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71" activeTab="0"/>
  </bookViews>
  <sheets>
    <sheet name="str1" sheetId="1" r:id="rId1"/>
    <sheet name="str2" sheetId="2" r:id="rId2"/>
    <sheet name="str3" sheetId="3" r:id="rId3"/>
    <sheet name="str4" sheetId="4" r:id="rId4"/>
    <sheet name="str5" sheetId="5" r:id="rId5"/>
    <sheet name="rozpis pro rozpocet" sheetId="6" r:id="rId6"/>
    <sheet name=" rozpis pro HS" sheetId="7" r:id="rId7"/>
    <sheet name="příl.1 - cp 2015" sheetId="8" r:id="rId8"/>
    <sheet name="příl.2 - NEI pro INV" sheetId="9" r:id="rId9"/>
    <sheet name="příl.3 - Osnova NEI 2015" sheetId="10" r:id="rId10"/>
    <sheet name="Rozdělení IRP" sheetId="11" r:id="rId11"/>
    <sheet name="pom1 - Přerozdělení IP" sheetId="12" r:id="rId12"/>
    <sheet name="pom2 - Poměr VaV" sheetId="13" r:id="rId13"/>
  </sheets>
  <definedNames>
    <definedName name="_xlnm._FilterDatabase" localSheetId="7" hidden="1">'příl.1 - cp 2015'!$A$5:$N$158</definedName>
    <definedName name="bla" localSheetId="7">#REF!</definedName>
    <definedName name="bla">#REF!</definedName>
    <definedName name="_xlnm.Print_Titles" localSheetId="7">'příl.1 - cp 2015'!$4:$5</definedName>
    <definedName name="_xlnm.Print_Area" localSheetId="7">'příl.1 - cp 2015'!$A$1:$O$166</definedName>
  </definedNames>
  <calcPr fullCalcOnLoad="1"/>
</workbook>
</file>

<file path=xl/comments7.xml><?xml version="1.0" encoding="utf-8"?>
<comments xmlns="http://schemas.openxmlformats.org/spreadsheetml/2006/main">
  <authors>
    <author>Tomanova</author>
  </authors>
  <commentList>
    <comment ref="F9" authorId="0">
      <text>
        <r>
          <rPr>
            <b/>
            <sz val="9"/>
            <rFont val="Tahoma"/>
            <family val="2"/>
          </rPr>
          <t>Příspěvek</t>
        </r>
        <r>
          <rPr>
            <sz val="9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9"/>
            <rFont val="Tahoma"/>
            <family val="2"/>
          </rPr>
          <t>Příspěvek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<sst xmlns="http://schemas.openxmlformats.org/spreadsheetml/2006/main" count="1430" uniqueCount="696">
  <si>
    <t>Příspěvek celkem</t>
  </si>
  <si>
    <t>SUKB</t>
  </si>
  <si>
    <t>index</t>
  </si>
  <si>
    <t>ř.</t>
  </si>
  <si>
    <t xml:space="preserve">   Činnost</t>
  </si>
  <si>
    <t xml:space="preserve">   C e l k e m</t>
  </si>
  <si>
    <t>Fakulta</t>
  </si>
  <si>
    <t>LF</t>
  </si>
  <si>
    <t>FF</t>
  </si>
  <si>
    <t>PrF</t>
  </si>
  <si>
    <t>FSS</t>
  </si>
  <si>
    <t>PřF</t>
  </si>
  <si>
    <t>FI</t>
  </si>
  <si>
    <t>PdF</t>
  </si>
  <si>
    <t>FSpS</t>
  </si>
  <si>
    <t>ESF</t>
  </si>
  <si>
    <t>celkem</t>
  </si>
  <si>
    <t>ÚVT</t>
  </si>
  <si>
    <t>RMU</t>
  </si>
  <si>
    <t>vzděl.č.</t>
  </si>
  <si>
    <t>ostatní</t>
  </si>
  <si>
    <t>podíl</t>
  </si>
  <si>
    <t>přínos</t>
  </si>
  <si>
    <t>odpisy</t>
  </si>
  <si>
    <t>CJV</t>
  </si>
  <si>
    <t>CZS</t>
  </si>
  <si>
    <t>plán</t>
  </si>
  <si>
    <t>č.</t>
  </si>
  <si>
    <t>akce</t>
  </si>
  <si>
    <t xml:space="preserve"> celkem účtováno přes rektorát</t>
  </si>
  <si>
    <t xml:space="preserve"> celkem účtováno přes FI</t>
  </si>
  <si>
    <t>z toho</t>
  </si>
  <si>
    <t>bez CA</t>
  </si>
  <si>
    <t>RR</t>
  </si>
  <si>
    <t>č.ř.</t>
  </si>
  <si>
    <t>MU celkem</t>
  </si>
  <si>
    <t>činnost</t>
  </si>
  <si>
    <t xml:space="preserve">Hospodářské </t>
  </si>
  <si>
    <t>středisko</t>
  </si>
  <si>
    <t>fakulty celkem</t>
  </si>
  <si>
    <t>Seznam příloh:</t>
  </si>
  <si>
    <t xml:space="preserve">příloha 1 - </t>
  </si>
  <si>
    <t>Plán</t>
  </si>
  <si>
    <t>Upravený</t>
  </si>
  <si>
    <t>Skutečnost</t>
  </si>
  <si>
    <t xml:space="preserve">   z toho:</t>
  </si>
  <si>
    <t xml:space="preserve">v tom - </t>
  </si>
  <si>
    <t>mzdy</t>
  </si>
  <si>
    <t>OON</t>
  </si>
  <si>
    <t>energie</t>
  </si>
  <si>
    <t>opravy, údržba</t>
  </si>
  <si>
    <t>materiál</t>
  </si>
  <si>
    <t>služby</t>
  </si>
  <si>
    <t>cestovné</t>
  </si>
  <si>
    <t>stipendia</t>
  </si>
  <si>
    <t>C-doktorská stipendia</t>
  </si>
  <si>
    <t>112*</t>
  </si>
  <si>
    <t>D-zahr.st.,CEEPUS,AKTION,Socrates</t>
  </si>
  <si>
    <t>113*</t>
  </si>
  <si>
    <t>F-vzdělávací projekty, I-rozvojové programy, J,M,H,E</t>
  </si>
  <si>
    <t>Ostatní dotace ze SR a od úz.celků bez VaV</t>
  </si>
  <si>
    <t>151*,161*</t>
  </si>
  <si>
    <t>Projekty VaV ze SR a od úz.celků</t>
  </si>
  <si>
    <t>Doplňková činnost</t>
  </si>
  <si>
    <t>8*</t>
  </si>
  <si>
    <t>111*</t>
  </si>
  <si>
    <t>Čerpání fondů</t>
  </si>
  <si>
    <t>na vzděl.č.</t>
  </si>
  <si>
    <t>z toho vzdělávací č.</t>
  </si>
  <si>
    <t>Cesnet - poplatky</t>
  </si>
  <si>
    <t>Celkem MU</t>
  </si>
  <si>
    <t>SKM</t>
  </si>
  <si>
    <t xml:space="preserve">příloha 3 -  </t>
  </si>
  <si>
    <t>Celkem</t>
  </si>
  <si>
    <t>RS</t>
  </si>
  <si>
    <t>Schváleno v AS fakulty dne:</t>
  </si>
  <si>
    <t>Podpis:</t>
  </si>
  <si>
    <t>energetický management</t>
  </si>
  <si>
    <t>audit vč.účet. a daň.poradenství, služby INTRASTAT</t>
  </si>
  <si>
    <t>poplatky, spojené s členstvím MU v zahr.org.+RVŠ</t>
  </si>
  <si>
    <t xml:space="preserve"> celkem nové náklady - účtováno přes ÚVT</t>
  </si>
  <si>
    <t>bez</t>
  </si>
  <si>
    <t>SPSSN</t>
  </si>
  <si>
    <t>UCT</t>
  </si>
  <si>
    <t xml:space="preserve">   financování nedotačních odpisů režijních pracovišť</t>
  </si>
  <si>
    <t xml:space="preserve">RMU </t>
  </si>
  <si>
    <t xml:space="preserve">pojištění zahr.cest </t>
  </si>
  <si>
    <t>pojištění majetku MU a studentů</t>
  </si>
  <si>
    <t>interní vzdělávání</t>
  </si>
  <si>
    <t>právní poradenství</t>
  </si>
  <si>
    <t>www stránky MU (překlady,digitalizace ...)</t>
  </si>
  <si>
    <t>ediční činnost</t>
  </si>
  <si>
    <t>Universitas</t>
  </si>
  <si>
    <t>pěvecký sbor MU</t>
  </si>
  <si>
    <t>nájem Řečkovice</t>
  </si>
  <si>
    <t>daň z nemovitostí</t>
  </si>
  <si>
    <t>věcná břemena</t>
  </si>
  <si>
    <t xml:space="preserve"> celkem účtováno přes FSpS</t>
  </si>
  <si>
    <t xml:space="preserve">   příspěvek na vzdělávací činnost</t>
  </si>
  <si>
    <t xml:space="preserve">  na Program</t>
  </si>
  <si>
    <t xml:space="preserve">Financování nedotačních odpisů fakult </t>
  </si>
  <si>
    <t xml:space="preserve">U3V </t>
  </si>
  <si>
    <t xml:space="preserve">Poradenské centrum </t>
  </si>
  <si>
    <t>studentské projekty (program rektora)</t>
  </si>
  <si>
    <t>nájem Šumavská</t>
  </si>
  <si>
    <t xml:space="preserve"> celkem účtováno přes SPSSN</t>
  </si>
  <si>
    <t>IBA</t>
  </si>
  <si>
    <t>provozní pasport (technologický pasport budov )</t>
  </si>
  <si>
    <t>časopis muni.cz vč.fotobanky</t>
  </si>
  <si>
    <t>Převody z fondů/použití fondů</t>
  </si>
  <si>
    <t>fondů</t>
  </si>
  <si>
    <t>FPP</t>
  </si>
  <si>
    <t>FÚUP</t>
  </si>
  <si>
    <t>FO</t>
  </si>
  <si>
    <t>Fstip</t>
  </si>
  <si>
    <t xml:space="preserve"> A-vzděl.č.,specif.VaV,SKM,vlastní,fondy:</t>
  </si>
  <si>
    <t>13* bez 139*,14*</t>
  </si>
  <si>
    <t>119*, 139*</t>
  </si>
  <si>
    <t xml:space="preserve">Účelové příspěvky  na VaV </t>
  </si>
  <si>
    <t>251*</t>
  </si>
  <si>
    <t>A-příspěvek na vzdělávací činnost</t>
  </si>
  <si>
    <t>Dotace na SKM, přísp.na ubytovací a soc.stip.</t>
  </si>
  <si>
    <t>Účelové příspěvky bez VaV</t>
  </si>
  <si>
    <t>VaV - ze SR a od úz.celků</t>
  </si>
  <si>
    <t>Vlastní zdroje (hl.č.za úplatu)</t>
  </si>
  <si>
    <t>Komentář:</t>
  </si>
  <si>
    <t>Výměnu NEI příspěvku za příspěvek na kapitálové výdaje plánujte v nákladech do ř.13 a plánovanou částku uveďte zde:</t>
  </si>
  <si>
    <t>rezerva</t>
  </si>
  <si>
    <t xml:space="preserve">Příspěvek do centralizovaných zdrojů celkem </t>
  </si>
  <si>
    <t xml:space="preserve">Účelové příspěvky bez VaV </t>
  </si>
  <si>
    <t xml:space="preserve">Účelové příspěvky na VaV </t>
  </si>
  <si>
    <t>odvody</t>
  </si>
  <si>
    <t>Centrum pro radiační,chem.a biol.bezpečnost</t>
  </si>
  <si>
    <t>výroční zprávy</t>
  </si>
  <si>
    <t>Mendel muzeum</t>
  </si>
  <si>
    <t>CTT</t>
  </si>
  <si>
    <t>celkem účtováno přes CTT</t>
  </si>
  <si>
    <t>Schválil:</t>
  </si>
  <si>
    <t>Příkazce operace:</t>
  </si>
  <si>
    <t>Správce rozpočtu:</t>
  </si>
  <si>
    <t>datum a podpis</t>
  </si>
  <si>
    <t>přidělené</t>
  </si>
  <si>
    <t>prostředky</t>
  </si>
  <si>
    <t>Fsoc</t>
  </si>
  <si>
    <t>velké opravy a údržba</t>
  </si>
  <si>
    <t>veletrhy (Gaudeamus a zahr.)</t>
  </si>
  <si>
    <t xml:space="preserve">provoz auly </t>
  </si>
  <si>
    <t>1a</t>
  </si>
  <si>
    <t>1b</t>
  </si>
  <si>
    <t>organizační zajištění projektů RMU</t>
  </si>
  <si>
    <t>Khonovo stipendium (CZS)</t>
  </si>
  <si>
    <t>nájem archiv</t>
  </si>
  <si>
    <t xml:space="preserve">IS MU (inf.systém MU) </t>
  </si>
  <si>
    <t xml:space="preserve">akademické soutěže studentů </t>
  </si>
  <si>
    <t xml:space="preserve">   institucionální podpora VaV</t>
  </si>
  <si>
    <t>institucionální podpora VaV</t>
  </si>
  <si>
    <t xml:space="preserve">výměna NIV/INV </t>
  </si>
  <si>
    <t xml:space="preserve">  na spolufin.VaVpI</t>
  </si>
  <si>
    <t>1c</t>
  </si>
  <si>
    <t>1d</t>
  </si>
  <si>
    <t>VaV - institucionální podpora</t>
  </si>
  <si>
    <t>z toho vnitro - ú.549 ?</t>
  </si>
  <si>
    <t>odbor veřejných zakázek</t>
  </si>
  <si>
    <t>Botanická zahrada</t>
  </si>
  <si>
    <t>4* bez FÚUP z dotací</t>
  </si>
  <si>
    <t>Příspěvek 1. Mandatorní výdaje</t>
  </si>
  <si>
    <t>Příspěvek 2. Celouniverzitní aktivity a celouniverzitní součásti</t>
  </si>
  <si>
    <t xml:space="preserve">   režijní pracoviště bez instit.podpory (CP 2)</t>
  </si>
  <si>
    <t xml:space="preserve">   součet CA (CP1)</t>
  </si>
  <si>
    <t>MV Finanční činnosti (ř. 1+2+3+4)</t>
  </si>
  <si>
    <t>CA bez RR</t>
  </si>
  <si>
    <t xml:space="preserve">   centralizované aktivity bez RR</t>
  </si>
  <si>
    <t xml:space="preserve">   rezerva rektora - RR </t>
  </si>
  <si>
    <t>% z přínosu</t>
  </si>
  <si>
    <t xml:space="preserve">Plán financování centralizovaných oprav </t>
  </si>
  <si>
    <t>celkem účtováno přes PdF</t>
  </si>
  <si>
    <t>celkem účtováno přes PřF</t>
  </si>
  <si>
    <t xml:space="preserve">            SPN (režie) - ú.547*</t>
  </si>
  <si>
    <t>podpora</t>
  </si>
  <si>
    <t>instituc.</t>
  </si>
  <si>
    <t xml:space="preserve">VII. Rozpis příspěvku a institucionální podpory VaV na jednotlivá hospodářská střediska </t>
  </si>
  <si>
    <t>propagační akce VaV (Festival vědy, …)</t>
  </si>
  <si>
    <t>Antarktická stanice</t>
  </si>
  <si>
    <t>expozice MU v Technickém muzeu - spolufinancování</t>
  </si>
  <si>
    <t>IP</t>
  </si>
  <si>
    <t>I. Normativní prostředky z MŠMT v tis. Kč</t>
  </si>
  <si>
    <t>NIV pro INV akce</t>
  </si>
  <si>
    <t>z toho rozpis ze SR</t>
  </si>
  <si>
    <t>z toho ze SR</t>
  </si>
  <si>
    <t>Projekty VaV z dotací ze zahr. a OP VaV</t>
  </si>
  <si>
    <t>152*,153*,157*,159*,167*,169*,19*,257*,259*,267*,269*</t>
  </si>
  <si>
    <t>Příspěvek 2. Celkem (CP1+CP2)</t>
  </si>
  <si>
    <t xml:space="preserve">příloha 2 - </t>
  </si>
  <si>
    <t xml:space="preserve">CP1 + CP2 </t>
  </si>
  <si>
    <t>MV + CP1 + CP2</t>
  </si>
  <si>
    <t>Náklady na tvorbu sociálního fondu ve výši 1 % z mezd (z ř.3) plánujte na ř. 5, tj. plán celkových odvodů bude 34+1=35 % resp. u dotačních projektů na řádky odpovídající příslušnému zdroji financování</t>
  </si>
  <si>
    <t xml:space="preserve">   Přínos na vzdělavací č. a instit.podpora celkem (ř.3)</t>
  </si>
  <si>
    <t xml:space="preserve">   Příspěvek. Celkem (ř.8+ř.13)</t>
  </si>
  <si>
    <t xml:space="preserve">   NEI související s INV </t>
  </si>
  <si>
    <t>A + K pro A</t>
  </si>
  <si>
    <t>CUS</t>
  </si>
  <si>
    <t>Ukazatel A</t>
  </si>
  <si>
    <t>K pro A</t>
  </si>
  <si>
    <t>UKAZATEL</t>
  </si>
  <si>
    <t>Index</t>
  </si>
  <si>
    <t>Cizinci počet</t>
  </si>
  <si>
    <t>CELKEM</t>
  </si>
  <si>
    <t>A+K</t>
  </si>
  <si>
    <t>Ceitec</t>
  </si>
  <si>
    <t>Snížené</t>
  </si>
  <si>
    <t>NEI</t>
  </si>
  <si>
    <t>Odvod</t>
  </si>
  <si>
    <t>z</t>
  </si>
  <si>
    <t>%</t>
  </si>
  <si>
    <t>výnosů</t>
  </si>
  <si>
    <t>výnosy*</t>
  </si>
  <si>
    <t>A + K</t>
  </si>
  <si>
    <t>OVaV</t>
  </si>
  <si>
    <t xml:space="preserve">  za INV příspěvek na centraliz.akce (zejm.stavby)</t>
  </si>
  <si>
    <t>požadavek</t>
  </si>
  <si>
    <t>ProvO</t>
  </si>
  <si>
    <t>IO</t>
  </si>
  <si>
    <t>OVZ</t>
  </si>
  <si>
    <t>PersO</t>
  </si>
  <si>
    <t>OVVM</t>
  </si>
  <si>
    <t>NMU</t>
  </si>
  <si>
    <t>Nakladatelství</t>
  </si>
  <si>
    <t>zapojení publikací MU do světové distrib.sítě</t>
  </si>
  <si>
    <t>x</t>
  </si>
  <si>
    <t>MM</t>
  </si>
  <si>
    <t xml:space="preserve">Komenského nám. </t>
  </si>
  <si>
    <t>nájem pro FI</t>
  </si>
  <si>
    <t>studentské aktivity</t>
  </si>
  <si>
    <t xml:space="preserve"> celkem účtováno přes UCT</t>
  </si>
  <si>
    <t>CEITEC CŘS</t>
  </si>
  <si>
    <t xml:space="preserve">   Institucionální podpora pro Ceitec, ÚVT a IBA</t>
  </si>
  <si>
    <t>Ceitec MU</t>
  </si>
  <si>
    <t xml:space="preserve">dokrytí </t>
  </si>
  <si>
    <t>Přiděleno po výměně</t>
  </si>
  <si>
    <t>k.č.</t>
  </si>
  <si>
    <t>FSpS vč. CUS</t>
  </si>
  <si>
    <t>č.činosti</t>
  </si>
  <si>
    <t>Financování odpisů režijních součástí (nedotačních) č.činnosti 1112</t>
  </si>
  <si>
    <t>NIV pro INV č.činnosti 1112</t>
  </si>
  <si>
    <t>UKB</t>
  </si>
  <si>
    <t>Celkem fak.</t>
  </si>
  <si>
    <t>po zaokr.</t>
  </si>
  <si>
    <t>Prof. prům. přep. stav</t>
  </si>
  <si>
    <t>Doc. prům. přep. stav</t>
  </si>
  <si>
    <t>K</t>
  </si>
  <si>
    <t>Ukazatel A + K pro A</t>
  </si>
  <si>
    <t>Ukazatel K  (VKM)</t>
  </si>
  <si>
    <t>Započítané body RIV v tis. Kč</t>
  </si>
  <si>
    <t>Účelové NEI na výzkum  v tis. Kč</t>
  </si>
  <si>
    <t>Příjmy z vlastní činnosti  v tis. Kč</t>
  </si>
  <si>
    <t>1</t>
  </si>
  <si>
    <t>2</t>
  </si>
  <si>
    <t>3</t>
  </si>
  <si>
    <t>4</t>
  </si>
  <si>
    <t>5</t>
  </si>
  <si>
    <t>6</t>
  </si>
  <si>
    <t>7</t>
  </si>
  <si>
    <t>8</t>
  </si>
  <si>
    <t>9</t>
  </si>
  <si>
    <t>K (VKM)</t>
  </si>
  <si>
    <t>Příspěvek 1 + 2 (MV+CP)</t>
  </si>
  <si>
    <t>MV + CP</t>
  </si>
  <si>
    <t>CELKEM MV + CP</t>
  </si>
  <si>
    <t>Rekapitulace:</t>
  </si>
  <si>
    <t>z toho RMU 1111 v CP</t>
  </si>
  <si>
    <t>zbývá na CP (ř.3-4)</t>
  </si>
  <si>
    <t>Přiděleno fak. + CJV+CUS</t>
  </si>
  <si>
    <t>rozdíl = chybí (ř.5-6)</t>
  </si>
  <si>
    <t>dofinancovat RMU z FPP (ř.8-9=ř.7)</t>
  </si>
  <si>
    <t>MV</t>
  </si>
  <si>
    <t>CP1 bez RR</t>
  </si>
  <si>
    <t>Nedot.odpisy rež.souč.</t>
  </si>
  <si>
    <t>podíl na MU</t>
  </si>
  <si>
    <t>A</t>
  </si>
  <si>
    <t>dokrytí</t>
  </si>
  <si>
    <t xml:space="preserve">FPP </t>
  </si>
  <si>
    <t>z centraliz.</t>
  </si>
  <si>
    <t>celkem + FPP</t>
  </si>
  <si>
    <t>Kooper.kredity</t>
  </si>
  <si>
    <t>Výkon podle</t>
  </si>
  <si>
    <t>koop.kreditů</t>
  </si>
  <si>
    <t>podle limit.stud.</t>
  </si>
  <si>
    <t>Příspěvek</t>
  </si>
  <si>
    <t>RMU*</t>
  </si>
  <si>
    <t>* podle pravidel pro sestavování rozpočtu</t>
  </si>
  <si>
    <t>Přidělená IP</t>
  </si>
  <si>
    <t>K rozdělení</t>
  </si>
  <si>
    <t>body po převodech</t>
  </si>
  <si>
    <t>podíl MU</t>
  </si>
  <si>
    <t>převod mezi HS</t>
  </si>
  <si>
    <t>FSS + MPÚ</t>
  </si>
  <si>
    <t>CEITEC</t>
  </si>
  <si>
    <t>RMU-GA MU</t>
  </si>
  <si>
    <t xml:space="preserve"> Výnosy celkem</t>
  </si>
  <si>
    <t xml:space="preserve"> Tvorba fondů</t>
  </si>
  <si>
    <t xml:space="preserve"> DO</t>
  </si>
  <si>
    <t xml:space="preserve"> Spolupříjemci</t>
  </si>
  <si>
    <t xml:space="preserve"> VaV výnosy</t>
  </si>
  <si>
    <t xml:space="preserve"> Tvorba fondů VaV</t>
  </si>
  <si>
    <t xml:space="preserve"> Spolupříjemci VaV</t>
  </si>
  <si>
    <t xml:space="preserve"> Snížené celkové výnosy</t>
  </si>
  <si>
    <t xml:space="preserve"> Snížené výnosy na VaV</t>
  </si>
  <si>
    <t xml:space="preserve"> poměr VaV / výnosy</t>
  </si>
  <si>
    <t>Ceitec CŘS</t>
  </si>
  <si>
    <t>CP2</t>
  </si>
  <si>
    <t xml:space="preserve">  splátky NFV</t>
  </si>
  <si>
    <t>periodické prohlídky zaměstnanců MU</t>
  </si>
  <si>
    <t>Kariérní centrum</t>
  </si>
  <si>
    <t>organizační zajištění projektů RMU - OVaV</t>
  </si>
  <si>
    <t>rozpis u RMU</t>
  </si>
  <si>
    <t>nájem FF (Veveří)</t>
  </si>
  <si>
    <t>kino Scala</t>
  </si>
  <si>
    <t>Antiviry - celouniverzitní licence</t>
  </si>
  <si>
    <t>VMWare roční podpora (virtuální servery)</t>
  </si>
  <si>
    <t>Statistica celouniverzitní licence</t>
  </si>
  <si>
    <t>SPSS univerzitní licence</t>
  </si>
  <si>
    <t>obnova PC vybavení CPS/UPC - nákup cca 150 ks PC</t>
  </si>
  <si>
    <t>Elektronické informační zdroje, knihovní systém Aleph</t>
  </si>
  <si>
    <t>roční podpora EIS Magion, INET, Oracle</t>
  </si>
  <si>
    <t>pozáruční servis hlasové sítě</t>
  </si>
  <si>
    <t>CPS - provoz, energie, opravy, údržba, úklid, ostraha</t>
  </si>
  <si>
    <t>MS Campus licence</t>
  </si>
  <si>
    <t>servisní podpora zařízení páteřní sítě (Cisco)</t>
  </si>
  <si>
    <t>WebLogic - weby MU</t>
  </si>
  <si>
    <t>licence ESRI, budovy/BMS, GIS, Archibus</t>
  </si>
  <si>
    <t>inteligentní budovy,BMS,podpora dostavby UKB, technol.pasport apod.</t>
  </si>
  <si>
    <t xml:space="preserve"> celkem účtováno přes SUKB</t>
  </si>
  <si>
    <t>Přiděleno 1</t>
  </si>
  <si>
    <t>Přínos podle normostud.</t>
  </si>
  <si>
    <t>3 = 1 + 2</t>
  </si>
  <si>
    <t>Přínos</t>
  </si>
  <si>
    <t>po úpravě</t>
  </si>
  <si>
    <t>Převod</t>
  </si>
  <si>
    <t>CJV + CUS</t>
  </si>
  <si>
    <t>Přiděleno 2</t>
  </si>
  <si>
    <t>pův.</t>
  </si>
  <si>
    <t>MU</t>
  </si>
  <si>
    <t>k výměně za IP</t>
  </si>
  <si>
    <t>pův. IP</t>
  </si>
  <si>
    <t>navýšení příspěvku</t>
  </si>
  <si>
    <t>snížení příspěvku</t>
  </si>
  <si>
    <t>CP1</t>
  </si>
  <si>
    <t>pův</t>
  </si>
  <si>
    <t>dle podílu fakult + Ceitec na IP</t>
  </si>
  <si>
    <t>výměny NEI / INV</t>
  </si>
  <si>
    <t xml:space="preserve"> = snížení IP</t>
  </si>
  <si>
    <t>Fakulty + Ceitec MU</t>
  </si>
  <si>
    <t>poměr</t>
  </si>
  <si>
    <t>nová</t>
  </si>
  <si>
    <t>6= 1+2+5</t>
  </si>
  <si>
    <t>10 = 7+8+9</t>
  </si>
  <si>
    <t>11= -2 -5 -8 -9</t>
  </si>
  <si>
    <t>bez GAMU:</t>
  </si>
  <si>
    <t>Centralizace  GA MU</t>
  </si>
  <si>
    <t>Celkem fakulty + Ceitec</t>
  </si>
  <si>
    <t>č.1112</t>
  </si>
  <si>
    <t>změny IP</t>
  </si>
  <si>
    <t>10a</t>
  </si>
  <si>
    <t>10b</t>
  </si>
  <si>
    <t>dle pom. tab.3</t>
  </si>
  <si>
    <t>Ukazatel K*</t>
  </si>
  <si>
    <r>
      <rPr>
        <sz val="10"/>
        <rFont val="Calibri"/>
        <family val="2"/>
      </rPr>
      <t>Pom. tab. 2 -</t>
    </r>
    <r>
      <rPr>
        <b/>
        <sz val="12"/>
        <rFont val="Calibri"/>
        <family val="2"/>
      </rPr>
      <t xml:space="preserve"> Poměr snížených výnosů VaV na celkových snížených výnosech</t>
    </r>
  </si>
  <si>
    <r>
      <rPr>
        <sz val="10"/>
        <rFont val="Calibri"/>
        <family val="2"/>
      </rPr>
      <t>Pom.tab.3 -</t>
    </r>
    <r>
      <rPr>
        <b/>
        <sz val="10"/>
        <rFont val="Calibri"/>
        <family val="2"/>
      </rPr>
      <t xml:space="preserve"> Podklady pro přerozdělení IP a příspěvku mezi fakultami + Ceitec MU a součástmi CTT, ÚVT a RMU</t>
    </r>
  </si>
  <si>
    <r>
      <t xml:space="preserve">Hodnocení výsledků </t>
    </r>
    <r>
      <rPr>
        <sz val="10"/>
        <color indexed="8"/>
        <rFont val="Calibri"/>
        <family val="2"/>
      </rPr>
      <t>v bodech</t>
    </r>
  </si>
  <si>
    <r>
      <t xml:space="preserve">dohodnuté převody </t>
    </r>
    <r>
      <rPr>
        <sz val="10"/>
        <color indexed="8"/>
        <rFont val="Calibri"/>
        <family val="2"/>
      </rPr>
      <t>v bodech</t>
    </r>
  </si>
  <si>
    <r>
      <t>IV. Výpočet přínosu - normativní prostředky celkem</t>
    </r>
    <r>
      <rPr>
        <sz val="12"/>
        <rFont val="Calibri"/>
        <family val="2"/>
      </rPr>
      <t xml:space="preserve"> </t>
    </r>
  </si>
  <si>
    <r>
      <t xml:space="preserve">V. Financování celouniverzitních aktivit a režijních pracovišť </t>
    </r>
    <r>
      <rPr>
        <sz val="10"/>
        <rFont val="Calibri"/>
        <family val="2"/>
      </rPr>
      <t>(v tis. Kč)</t>
    </r>
  </si>
  <si>
    <r>
      <t xml:space="preserve">   </t>
    </r>
    <r>
      <rPr>
        <sz val="8"/>
        <rFont val="Calibri"/>
        <family val="2"/>
      </rPr>
      <t>výměna NEI příspěvku za příspěvek na kapitálové výdaje+spoluf. OP VaVpI PO4</t>
    </r>
  </si>
  <si>
    <r>
      <t xml:space="preserve">   financování nedotačních odpisů fakult </t>
    </r>
    <r>
      <rPr>
        <sz val="9"/>
        <rFont val="Calibri"/>
        <family val="2"/>
      </rPr>
      <t>(odpisy majetku, který nebyl pořízen z dotace)</t>
    </r>
  </si>
  <si>
    <r>
      <t xml:space="preserve">Příspěvek 1. Celkem  MV1 </t>
    </r>
    <r>
      <rPr>
        <sz val="10"/>
        <rFont val="Calibri"/>
        <family val="2"/>
      </rPr>
      <t>(Příloha 1)</t>
    </r>
  </si>
  <si>
    <r>
      <t xml:space="preserve">   K rozdělení fakultám včetně CUS + CJV</t>
    </r>
    <r>
      <rPr>
        <sz val="10"/>
        <rFont val="Calibri"/>
        <family val="2"/>
      </rPr>
      <t>(ř.14-ř.15-ř.16)</t>
    </r>
  </si>
  <si>
    <r>
      <t xml:space="preserve">CA </t>
    </r>
    <r>
      <rPr>
        <i/>
        <vertAlign val="superscript"/>
        <sz val="10"/>
        <rFont val="Calibri"/>
        <family val="2"/>
      </rPr>
      <t>*)</t>
    </r>
  </si>
  <si>
    <r>
      <t xml:space="preserve">a) Rozpis příspěvku a a institucionální podpory VaV na příslušná hosp.střediska (HS) </t>
    </r>
    <r>
      <rPr>
        <sz val="10"/>
        <rFont val="Calibri"/>
        <family val="2"/>
      </rPr>
      <t>- bez rozpisu centralizovaných prostředků (CP)</t>
    </r>
  </si>
  <si>
    <r>
      <t xml:space="preserve">b) Rozpis příspěvku a institucionální podpory VaV </t>
    </r>
    <r>
      <rPr>
        <sz val="10"/>
        <rFont val="Calibri"/>
        <family val="2"/>
      </rPr>
      <t>včetně rozpisu centralizovaných prostředků na příslušná HS</t>
    </r>
  </si>
  <si>
    <t>zaokr.</t>
  </si>
  <si>
    <t>Účelové NEI na výzkum v tis. Kč</t>
  </si>
  <si>
    <t>Příjmy z vlastní činnosti v tis. Kč</t>
  </si>
  <si>
    <t>Prof. + doc. v tis. Kč</t>
  </si>
  <si>
    <t>zaměst. absolventů v tis. Kč</t>
  </si>
  <si>
    <t>Cizinci v tis. Kč</t>
  </si>
  <si>
    <t>Samoplátci počty</t>
  </si>
  <si>
    <t>Samoplátci v tis. Kč</t>
  </si>
  <si>
    <t>Vyslaní  studentodní</t>
  </si>
  <si>
    <t>Vyslaní v rámci mobilitních programů v tis. Kč</t>
  </si>
  <si>
    <t>Přijatí v rámci mobilitních programů v tis. Kč</t>
  </si>
  <si>
    <t>10</t>
  </si>
  <si>
    <t>Přijatí v rámci mobilitních programů studentodní</t>
  </si>
  <si>
    <t>Po zokr.</t>
  </si>
  <si>
    <t>č. 1111</t>
  </si>
  <si>
    <r>
      <t>č.</t>
    </r>
    <r>
      <rPr>
        <sz val="9"/>
        <color indexed="10"/>
        <rFont val="Calibri"/>
        <family val="2"/>
      </rPr>
      <t xml:space="preserve">1112 </t>
    </r>
    <r>
      <rPr>
        <sz val="9"/>
        <rFont val="Calibri"/>
        <family val="2"/>
      </rPr>
      <t>/ 1111</t>
    </r>
  </si>
  <si>
    <t>č.1111</t>
  </si>
  <si>
    <t>*včetně nedot.odpisů</t>
  </si>
  <si>
    <t>Fakulty celkem</t>
  </si>
  <si>
    <t>Režijní prac.</t>
  </si>
  <si>
    <r>
      <t xml:space="preserve">rež.prac. </t>
    </r>
    <r>
      <rPr>
        <i/>
        <sz val="10"/>
        <rFont val="Calibri"/>
        <family val="2"/>
      </rPr>
      <t>bez CA (CP2)</t>
    </r>
  </si>
  <si>
    <t>rok 2014</t>
  </si>
  <si>
    <t>kontrola:</t>
  </si>
  <si>
    <t>Zahraniční projekty VaV</t>
  </si>
  <si>
    <t>Zahr. projekty VaV v tis. Kč</t>
  </si>
  <si>
    <t>K          celkem  v tis. Kč (sl.1+2+3+4+5+6+7+8+9+10)</t>
  </si>
  <si>
    <t>podle ušetř.studií</t>
  </si>
  <si>
    <t>r o k   2 0 1 4</t>
  </si>
  <si>
    <t>Služby CrossRef, koordinace DOI na MU</t>
  </si>
  <si>
    <t>Mendel muzeum-energie</t>
  </si>
  <si>
    <t>nájem FF (Údolní 53)</t>
  </si>
  <si>
    <t>studie, oceňování nemovitostí</t>
  </si>
  <si>
    <t>koordinace rozvoje infrastruktury - RMU</t>
  </si>
  <si>
    <t>ASPI + Občanský zákoník</t>
  </si>
  <si>
    <t>ochrana duševního vlastnictví (vč.udržovacích popl.)</t>
  </si>
  <si>
    <t>galerijní pedagogika</t>
  </si>
  <si>
    <t>stěhování do UKB</t>
  </si>
  <si>
    <t>plošné snížení nákladů ÚVT</t>
  </si>
  <si>
    <t>licence budovy / BMS - roční údržba</t>
  </si>
  <si>
    <t>podpora dostavby UKB a souvis. Náklady</t>
  </si>
  <si>
    <t>rozvoj koncepce  Facility mangementu</t>
  </si>
  <si>
    <t>vybavení a provoz. Laboratoří BMS</t>
  </si>
  <si>
    <t xml:space="preserve"> celkem účtováno přes CEITEC CŘS</t>
  </si>
  <si>
    <t>kurzy češtiny</t>
  </si>
  <si>
    <t xml:space="preserve"> celkem účtováno přes CZS</t>
  </si>
  <si>
    <t>symfonický orchestr</t>
  </si>
  <si>
    <t xml:space="preserve"> celkem účtováno přes FF</t>
  </si>
  <si>
    <t>závazek MU vůči FMN - tvorba fondu na opravy (1% z FMN ročně)-Telč</t>
  </si>
  <si>
    <t>rozdělovaná částka</t>
  </si>
  <si>
    <t xml:space="preserve"> Ceitec CŘS</t>
  </si>
  <si>
    <t>ROK 2013 - skutečnost</t>
  </si>
  <si>
    <t>poměr přínosu příspěvku</t>
  </si>
  <si>
    <t>IRP</t>
  </si>
  <si>
    <t>MV - výměna NEI na INV a dotaci na OP VaVpI</t>
  </si>
  <si>
    <t>výměna NIV/INV + VaVpI</t>
  </si>
  <si>
    <r>
      <t>c) Rozpis příspěvku a IP</t>
    </r>
    <r>
      <rPr>
        <b/>
        <sz val="10"/>
        <color indexed="10"/>
        <rFont val="Calibri"/>
        <family val="2"/>
      </rPr>
      <t xml:space="preserve"> konečný </t>
    </r>
    <r>
      <rPr>
        <b/>
        <sz val="10"/>
        <rFont val="Calibri"/>
        <family val="2"/>
      </rPr>
      <t>- po přerozdělení mezi fakultami + Ceitec MU a součástmi CTT, ÚVT a RMU</t>
    </r>
  </si>
  <si>
    <t>PŘÍSPĚVEK CELKEM</t>
  </si>
  <si>
    <t>Přerozdělení IRP</t>
  </si>
  <si>
    <t>K dokrytí CP FPP</t>
  </si>
  <si>
    <t>č.č. 1111</t>
  </si>
  <si>
    <t>zaměst. Absolventi</t>
  </si>
  <si>
    <t>NEI OPRAVY - PLÁN (tis. Kč)</t>
  </si>
  <si>
    <t>opravy</t>
  </si>
  <si>
    <t>0 (*)</t>
  </si>
  <si>
    <t>(*) budou hrazeny z FRIM RMU</t>
  </si>
  <si>
    <t>č.č. 1182</t>
  </si>
  <si>
    <t>č.č. 1112</t>
  </si>
  <si>
    <t>č.č. 2112</t>
  </si>
  <si>
    <t>CP FPP</t>
  </si>
  <si>
    <t>z toho RMU</t>
  </si>
  <si>
    <t>3a</t>
  </si>
  <si>
    <t>3b</t>
  </si>
  <si>
    <t>3c</t>
  </si>
  <si>
    <t>3d</t>
  </si>
  <si>
    <t>3e</t>
  </si>
  <si>
    <t>3f</t>
  </si>
  <si>
    <t>3g</t>
  </si>
  <si>
    <t>3h</t>
  </si>
  <si>
    <t>3i</t>
  </si>
  <si>
    <t>3j</t>
  </si>
  <si>
    <t>3k</t>
  </si>
  <si>
    <t>3l</t>
  </si>
  <si>
    <t>FAKULTY CELKEM</t>
  </si>
  <si>
    <t>Rozdíl</t>
  </si>
  <si>
    <t>FR MU</t>
  </si>
  <si>
    <t>č.č. 1183</t>
  </si>
  <si>
    <t>GAMU (odbor VaV)</t>
  </si>
  <si>
    <t>FR MU (odbor rozvoje)</t>
  </si>
  <si>
    <t>Příspěvek 111*</t>
  </si>
  <si>
    <t>IRP*</t>
  </si>
  <si>
    <t>1008</t>
  </si>
  <si>
    <t>1009</t>
  </si>
  <si>
    <t>1012</t>
  </si>
  <si>
    <t>1014</t>
  </si>
  <si>
    <t>1015</t>
  </si>
  <si>
    <t>1016</t>
  </si>
  <si>
    <t>1017</t>
  </si>
  <si>
    <t>1019</t>
  </si>
  <si>
    <t>1020</t>
  </si>
  <si>
    <t>1021</t>
  </si>
  <si>
    <t>1023</t>
  </si>
  <si>
    <t>1024</t>
  </si>
  <si>
    <t>1025</t>
  </si>
  <si>
    <t>1026</t>
  </si>
  <si>
    <t>1028</t>
  </si>
  <si>
    <t>1027</t>
  </si>
  <si>
    <t>1029</t>
  </si>
  <si>
    <t>1032</t>
  </si>
  <si>
    <t>1037</t>
  </si>
  <si>
    <t>1040</t>
  </si>
  <si>
    <t>1052</t>
  </si>
  <si>
    <t>1053</t>
  </si>
  <si>
    <t>1060</t>
  </si>
  <si>
    <t>1061</t>
  </si>
  <si>
    <t>1062</t>
  </si>
  <si>
    <t>1063</t>
  </si>
  <si>
    <t>1064</t>
  </si>
  <si>
    <t>1074</t>
  </si>
  <si>
    <t>1055</t>
  </si>
  <si>
    <t>1075</t>
  </si>
  <si>
    <t>1078</t>
  </si>
  <si>
    <t>pronájem licence EES pro MU</t>
  </si>
  <si>
    <t>1081</t>
  </si>
  <si>
    <t>1084</t>
  </si>
  <si>
    <t>1085</t>
  </si>
  <si>
    <t>nájem FF (Solniční)</t>
  </si>
  <si>
    <t>nová zak.</t>
  </si>
  <si>
    <t>stěhování FF (CARLA)</t>
  </si>
  <si>
    <t>1086</t>
  </si>
  <si>
    <t>1088</t>
  </si>
  <si>
    <t>1105</t>
  </si>
  <si>
    <t>1403</t>
  </si>
  <si>
    <t>1054</t>
  </si>
  <si>
    <t>nová zak</t>
  </si>
  <si>
    <t>1080</t>
  </si>
  <si>
    <t xml:space="preserve"> celkem účtováno přes FSS</t>
  </si>
  <si>
    <t>poplatek INTERGRAM - Rádio R</t>
  </si>
  <si>
    <t xml:space="preserve"> celkem účtováno přes CEITEC MU</t>
  </si>
  <si>
    <t>ERA CHAIR</t>
  </si>
  <si>
    <t>skupina dr. Říhy</t>
  </si>
  <si>
    <t xml:space="preserve"> celkem účtováno přes SKM</t>
  </si>
  <si>
    <t>reko odpady a soc.zař. (Gorkého + Jaselská)</t>
  </si>
  <si>
    <t>oprava podatikového střešního límce</t>
  </si>
  <si>
    <t>oprava krytiny střechy</t>
  </si>
  <si>
    <t>plavecké centrum Campus - studie</t>
  </si>
  <si>
    <t>výměna podlahy v jídelně</t>
  </si>
  <si>
    <t>výměna oken</t>
  </si>
  <si>
    <t>oprava zborcené kanalizace botanické zahrady + předláždění</t>
  </si>
  <si>
    <t>rekonstrukce chodby IV.NP - spojené neinvestice</t>
  </si>
  <si>
    <t>oprava chodby - studijní odbor- podhledy, omítky</t>
  </si>
  <si>
    <t>oprava výměnou - 2ks vnitřních požárních dveří v 3.a 4.NP- schodiště 1</t>
  </si>
  <si>
    <r>
      <t>Rozpočet 2015</t>
    </r>
    <r>
      <rPr>
        <b/>
        <sz val="12"/>
        <color indexed="10"/>
        <rFont val="Calibri"/>
        <family val="2"/>
      </rPr>
      <t xml:space="preserve"> (v tis.Kč)</t>
    </r>
  </si>
  <si>
    <t>114*, 115*, 118*,</t>
  </si>
  <si>
    <t>2195, 261*</t>
  </si>
  <si>
    <t>114*, 115*, 118*</t>
  </si>
  <si>
    <t>117*, 12*</t>
  </si>
  <si>
    <t>zakázka</t>
  </si>
  <si>
    <t>OEF</t>
  </si>
  <si>
    <t>KQ</t>
  </si>
  <si>
    <t>StudO</t>
  </si>
  <si>
    <t>OPR</t>
  </si>
  <si>
    <t>OAZ</t>
  </si>
  <si>
    <t>personální poradenství (překlady, inzerce, poradenství apod.)</t>
  </si>
  <si>
    <t>TO</t>
  </si>
  <si>
    <r>
      <t>Rozdělení příspěvku</t>
    </r>
    <r>
      <rPr>
        <b/>
        <vertAlign val="superscript"/>
        <sz val="18"/>
        <rFont val="Calibri"/>
        <family val="2"/>
      </rPr>
      <t xml:space="preserve"> </t>
    </r>
    <r>
      <rPr>
        <b/>
        <sz val="18"/>
        <rFont val="Calibri"/>
        <family val="2"/>
      </rPr>
      <t xml:space="preserve"> MŠMT a institucionální podpory VaV na rok 2015 v rámci MU</t>
    </r>
  </si>
  <si>
    <t>rok 2015</t>
  </si>
  <si>
    <t>II. Výpočet přínosu fakult na výši příspěvku MŠMT na vzdělávací činnost pro MU na rok 2015</t>
  </si>
  <si>
    <t xml:space="preserve"> body RIV (2008 - 2012)</t>
  </si>
  <si>
    <r>
      <t xml:space="preserve"> IP - 1 2015 </t>
    </r>
    <r>
      <rPr>
        <sz val="10"/>
        <color indexed="8"/>
        <rFont val="Calibri"/>
        <family val="2"/>
      </rPr>
      <t>v tis. Kč</t>
    </r>
  </si>
  <si>
    <t>r o k   2 0 15</t>
  </si>
  <si>
    <t>NEI v PROGRAMU - PLÁN (tis. Kč)</t>
  </si>
  <si>
    <t>podpora dostavby UKB - SUKB</t>
  </si>
  <si>
    <t>Rekonstrukce knihovny právnické fakulty, Veveří</t>
  </si>
  <si>
    <t>VaV</t>
  </si>
  <si>
    <t>vzděl.</t>
  </si>
  <si>
    <t>Odbor</t>
  </si>
  <si>
    <t>koef.</t>
  </si>
  <si>
    <t>meziroční srovnání</t>
  </si>
  <si>
    <t>ROK 2014 - skutečnost</t>
  </si>
  <si>
    <t>Typ</t>
  </si>
  <si>
    <t>HS</t>
  </si>
  <si>
    <t>99 RMU</t>
  </si>
  <si>
    <t>∑</t>
  </si>
  <si>
    <t>71 CEITEC</t>
  </si>
  <si>
    <t>81 SKM</t>
  </si>
  <si>
    <t>83 UCT</t>
  </si>
  <si>
    <t>84 SPSSN</t>
  </si>
  <si>
    <t>85 IBA</t>
  </si>
  <si>
    <t>87 CTT</t>
  </si>
  <si>
    <t>92 ÚVT</t>
  </si>
  <si>
    <t>96 CJV</t>
  </si>
  <si>
    <t>97 CZS</t>
  </si>
  <si>
    <t>79 CŘS</t>
  </si>
  <si>
    <t>82 SUKB</t>
  </si>
  <si>
    <t xml:space="preserve">Mandatorní výdaje a financování celouniverzitních aktivit v roce 2015 </t>
  </si>
  <si>
    <t>41 PdF</t>
  </si>
  <si>
    <t>23 FSS</t>
  </si>
  <si>
    <t>31 PřF</t>
  </si>
  <si>
    <t>33 FI</t>
  </si>
  <si>
    <t>51 FSpS</t>
  </si>
  <si>
    <t>21 FF</t>
  </si>
  <si>
    <t xml:space="preserve">Financování odpisů </t>
  </si>
  <si>
    <t>provoz UCT</t>
  </si>
  <si>
    <t>provoz CEITEC MU</t>
  </si>
  <si>
    <t>provoz CEITEC CŘS</t>
  </si>
  <si>
    <t>provoz SKM</t>
  </si>
  <si>
    <t>provoz SUKB</t>
  </si>
  <si>
    <t>provoz SPSSN</t>
  </si>
  <si>
    <t>provoz IBA</t>
  </si>
  <si>
    <t>provoz CTT</t>
  </si>
  <si>
    <t>provoz ÚVT</t>
  </si>
  <si>
    <t>provoz CJV</t>
  </si>
  <si>
    <t>provoz CZS</t>
  </si>
  <si>
    <t>provoz RMU</t>
  </si>
  <si>
    <t>mezisoučet CP1</t>
  </si>
  <si>
    <t>mezisoučet CP2</t>
  </si>
  <si>
    <t>2015/14</t>
  </si>
  <si>
    <r>
      <t>Způsob rozdělení vychází z Pravidel sestavování rozpočtu MU pro rok 2015 (Směrnice MU č.</t>
    </r>
    <r>
      <rPr>
        <sz val="10"/>
        <rFont val="Calibri"/>
        <family val="2"/>
      </rPr>
      <t xml:space="preserve"> 13/2014)</t>
    </r>
  </si>
  <si>
    <r>
      <rPr>
        <sz val="12"/>
        <rFont val="Calibri"/>
        <family val="2"/>
      </rPr>
      <t>Pom. tab.1  -</t>
    </r>
    <r>
      <rPr>
        <b/>
        <sz val="12"/>
        <rFont val="Calibri"/>
        <family val="2"/>
      </rPr>
      <t xml:space="preserve"> Výpočet ukazatele K na rok 2015</t>
    </r>
  </si>
  <si>
    <t>III. Výpočet přínosu na institucionální podporu výzkumných organizací (dále IP) pro MU na rok 2015</t>
  </si>
  <si>
    <t>(dle výsledků 2013)</t>
  </si>
  <si>
    <r>
      <t xml:space="preserve"> IP - 2 2015 </t>
    </r>
    <r>
      <rPr>
        <sz val="10"/>
        <color indexed="8"/>
        <rFont val="Calibri"/>
        <family val="2"/>
      </rPr>
      <t>v tis. Kč</t>
    </r>
  </si>
  <si>
    <t>VI. Příspěvek fakult do centralizovaných zdrojů pro účetní období kalendářního roku 2015</t>
  </si>
  <si>
    <t>mezisoučet MV</t>
  </si>
  <si>
    <r>
      <t xml:space="preserve">Hosp.středisko: </t>
    </r>
  </si>
  <si>
    <t>&lt;doplnit č.HS a název&gt;</t>
  </si>
  <si>
    <t>Náklady celkem (ř.2+14až23)</t>
  </si>
  <si>
    <r>
      <t xml:space="preserve">111*,117*,12*,152*,153*,157*,159*,167*,169*,19*,211* (bez </t>
    </r>
    <r>
      <rPr>
        <sz val="8"/>
        <rFont val="Calibri"/>
        <family val="2"/>
      </rPr>
      <t>2115, 2116, 2117)</t>
    </r>
    <r>
      <rPr>
        <sz val="8"/>
        <rFont val="Calibri"/>
        <family val="2"/>
      </rPr>
      <t>,</t>
    </r>
    <r>
      <rPr>
        <sz val="8"/>
        <rFont val="Calibri"/>
        <family val="2"/>
      </rPr>
      <t xml:space="preserve"> 257*, 259*,267*,269*,4*</t>
    </r>
  </si>
  <si>
    <t>13a</t>
  </si>
  <si>
    <t>13b</t>
  </si>
  <si>
    <t>Strukturální fondy aj.proj.spoluf.EU</t>
  </si>
  <si>
    <t>2115, 2116, 2117, 2125, 2126, 213*, 214*, 2151, 22*</t>
  </si>
  <si>
    <t>Výnosy celkem (ř.25 až 39)</t>
  </si>
  <si>
    <r>
      <t xml:space="preserve">2115, 2116, 2117, </t>
    </r>
    <r>
      <rPr>
        <sz val="8"/>
        <rFont val="Calibri"/>
        <family val="2"/>
      </rPr>
      <t xml:space="preserve">2125, 2126, 213*, 214*, 2151, 22*, </t>
    </r>
  </si>
  <si>
    <t>Hospodářský výsledek dílčí (ř.25+29+33+37+38+39-2-23)</t>
  </si>
  <si>
    <t>Hospodářský výsledek (ř.24-1)</t>
  </si>
  <si>
    <t>Příspěvek na nedotační odpisy plánujte ve výnosech na ř. 25 (výnos je součástí rozpisu rozdělení příspěvku na HS, č.č.1112), náklad je součástí celkových nákladů na účetní odpisy na ř.11)</t>
  </si>
  <si>
    <t>Náklady na dotační odpisy plánujte na ř. 11, odpovídající částku účtovanou dle vyhl.504 do výnosů plánujte na ř. 37.</t>
  </si>
  <si>
    <t>Prostředky získané ze SR jako spolupříjemci (partneři) dotačních projektů plánujte - projekty VaV na ř. 22 a 36, ostatní na ř. 19 a 32.</t>
  </si>
  <si>
    <t>FRIM HS</t>
  </si>
  <si>
    <t>FRIM IO RMU</t>
  </si>
  <si>
    <t>FRIM (3,6 mil.)</t>
  </si>
  <si>
    <t>Evaluace VaV na MU</t>
  </si>
  <si>
    <t>Akademický senát</t>
  </si>
  <si>
    <t>mezisoučet MV+CP1+CP2</t>
  </si>
  <si>
    <t>1000+1122+1123</t>
  </si>
  <si>
    <t>mezisoučty pro podrobnosti pracovišť</t>
  </si>
  <si>
    <t xml:space="preserve">               RMU - odvod</t>
  </si>
  <si>
    <t>správa budov Tvrdého 14</t>
  </si>
  <si>
    <t>1087</t>
  </si>
  <si>
    <t>1091</t>
  </si>
  <si>
    <t>Grant Office</t>
  </si>
  <si>
    <t>*GA MU - centralizace</t>
  </si>
  <si>
    <t>tis. Kč</t>
  </si>
  <si>
    <t>8 = 3 - 6</t>
  </si>
  <si>
    <t>10 = 8 + 9</t>
  </si>
  <si>
    <t>potřeba CP bez výměny (odvod sl.6 - ř.2)</t>
  </si>
  <si>
    <t>součet ř.24  až 26</t>
  </si>
  <si>
    <r>
      <t xml:space="preserve">MU celkem </t>
    </r>
    <r>
      <rPr>
        <i/>
        <sz val="10"/>
        <rFont val="Calibri"/>
        <family val="2"/>
      </rPr>
      <t>(ř.10+23+27)</t>
    </r>
  </si>
  <si>
    <t>režijní prac.(ř.39 až 50)</t>
  </si>
  <si>
    <t>režijní prac.(ř.64 až 75)</t>
  </si>
  <si>
    <t>1079</t>
  </si>
  <si>
    <t>1073</t>
  </si>
  <si>
    <t>1082</t>
  </si>
  <si>
    <t>95. výročí založení MU</t>
  </si>
  <si>
    <t>1056</t>
  </si>
  <si>
    <t>kurz češtiny</t>
  </si>
  <si>
    <t>Přístup k licencím a SW (InCites,…)</t>
  </si>
  <si>
    <t>1083</t>
  </si>
  <si>
    <t>sloučeno se zak. 1053</t>
  </si>
  <si>
    <t>pasportizace budov</t>
  </si>
  <si>
    <t>1007</t>
  </si>
  <si>
    <t>1005</t>
  </si>
  <si>
    <t>1006</t>
  </si>
  <si>
    <t>údržba areálu UKB</t>
  </si>
  <si>
    <t>1011</t>
  </si>
  <si>
    <t>1077</t>
  </si>
  <si>
    <t xml:space="preserve">MV + CP1 </t>
  </si>
  <si>
    <t>přiděleno</t>
  </si>
  <si>
    <t>přiděleno bez CP1</t>
  </si>
  <si>
    <t xml:space="preserve">nové </t>
  </si>
  <si>
    <t xml:space="preserve"> nové</t>
  </si>
  <si>
    <t xml:space="preserve"> CP1 *</t>
  </si>
  <si>
    <t>CP1*</t>
  </si>
  <si>
    <t>12 = 3 + 11</t>
  </si>
  <si>
    <t>Přerozdělení části IRP na fakulty 2015</t>
  </si>
  <si>
    <t>podíl na odvodech</t>
  </si>
  <si>
    <t>ÚSTAVY CELKEM</t>
  </si>
  <si>
    <t>Přerozdělení části IRP na fakulty 2014</t>
  </si>
  <si>
    <t>1182+1183</t>
  </si>
  <si>
    <t>Osnova rozpočtu na rok 2015</t>
  </si>
  <si>
    <t>* včetně rozdělení 57 577 tis. na fakulty a ústavy, viz list "Rozdělení IRP"</t>
  </si>
  <si>
    <t>podklad k zaokr. pro rozpis</t>
  </si>
  <si>
    <t>č.č. 4769</t>
  </si>
  <si>
    <t>program NEI spolufinancování (3,6 mil. PrF)</t>
  </si>
  <si>
    <t>RR (rezerva rektora)</t>
  </si>
  <si>
    <t>bez GAMU, FR MU a RR</t>
  </si>
  <si>
    <t>CP RMU</t>
  </si>
  <si>
    <t>část projektů souvisí s vědeckou činností</t>
  </si>
  <si>
    <t>jako v předchozím roce</t>
  </si>
  <si>
    <r>
      <t>(</t>
    </r>
    <r>
      <rPr>
        <sz val="10"/>
        <rFont val="Calibri"/>
        <family val="2"/>
      </rPr>
      <t>z příspěvku MŠMT na ukazatel A+K a z IP na rozvoj) - v tis. Kč</t>
    </r>
  </si>
  <si>
    <r>
      <t>CP1</t>
    </r>
    <r>
      <rPr>
        <sz val="8"/>
        <color indexed="9"/>
        <rFont val="Calibri"/>
        <family val="2"/>
      </rPr>
      <t xml:space="preserve"> (č.č.1112)</t>
    </r>
  </si>
  <si>
    <r>
      <t xml:space="preserve">CP2 Centralizovaná střediska </t>
    </r>
    <r>
      <rPr>
        <sz val="8"/>
        <color indexed="9"/>
        <rFont val="Calibri"/>
        <family val="2"/>
      </rPr>
      <t>(č.č. 1111)</t>
    </r>
  </si>
  <si>
    <t>nová zak., souvisí s vědeckou činností - podávání projektů</t>
  </si>
  <si>
    <t>Náklady související s výzkumem. Možné celé hradit z IP</t>
  </si>
  <si>
    <t>Jedná se prakticky jen o vědecké výsledky</t>
  </si>
  <si>
    <t>kancelářský SW</t>
  </si>
  <si>
    <t>stejné % jako u financování provozu CTT</t>
  </si>
  <si>
    <t>zajištění udržitelnosti projektu COV</t>
  </si>
  <si>
    <t>nová expozice J.G.Mendel - oslavy 150. výročí</t>
  </si>
  <si>
    <t>vč.zak. 1083 InCites</t>
  </si>
  <si>
    <t>cesty souvisí také s vědeckou činností</t>
  </si>
  <si>
    <t>rezerva (1% z příspěvku na ukazatel A)</t>
  </si>
  <si>
    <r>
      <t xml:space="preserve">rezerva rektora </t>
    </r>
    <r>
      <rPr>
        <sz val="8"/>
        <rFont val="Calibri"/>
        <family val="2"/>
      </rPr>
      <t>(1% z příspěvku MŠMT)</t>
    </r>
  </si>
  <si>
    <t>výměna NEI/INV+ program</t>
  </si>
  <si>
    <t>výměna NEI/INV+VaVpI</t>
  </si>
  <si>
    <t>V Brně 14.3.2015</t>
  </si>
</sst>
</file>

<file path=xl/styles.xml><?xml version="1.0" encoding="utf-8"?>
<styleSheet xmlns="http://schemas.openxmlformats.org/spreadsheetml/2006/main">
  <numFmts count="3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Kč&quot;#,##0_);\(&quot;Kč&quot;#,##0\)"/>
    <numFmt numFmtId="173" formatCode="&quot;Kč&quot;#,##0_);[Red]\(&quot;Kč&quot;#,##0\)"/>
    <numFmt numFmtId="174" formatCode="&quot;Kč&quot;#,##0.00_);\(&quot;Kč&quot;#,##0.00\)"/>
    <numFmt numFmtId="175" formatCode="&quot;Kč&quot;#,##0.00_);[Red]\(&quot;Kč&quot;#,##0.00\)"/>
    <numFmt numFmtId="176" formatCode="_(&quot;Kč&quot;* #,##0_);_(&quot;Kč&quot;* \(#,##0\);_(&quot;Kč&quot;* &quot;-&quot;_);_(@_)"/>
    <numFmt numFmtId="177" formatCode="_(* #,##0_);_(* \(#,##0\);_(* &quot;-&quot;_);_(@_)"/>
    <numFmt numFmtId="178" formatCode="_(&quot;Kč&quot;* #,##0.00_);_(&quot;Kč&quot;* \(#,##0.00\);_(&quot;Kč&quot;* &quot;-&quot;??_);_(@_)"/>
    <numFmt numFmtId="179" formatCode="_(* #,##0.00_);_(* \(#,##0.00\);_(* &quot;-&quot;??_);_(@_)"/>
    <numFmt numFmtId="180" formatCode="#,##0.0"/>
    <numFmt numFmtId="181" formatCode="0.000"/>
    <numFmt numFmtId="182" formatCode="#,##0.000"/>
    <numFmt numFmtId="183" formatCode="_-* #,##0.0\ _K_č_-;\-* #,##0.0\ _K_č_-;_-* &quot;-&quot;??\ _K_č_-;_-@_-"/>
    <numFmt numFmtId="184" formatCode="0.000%"/>
    <numFmt numFmtId="185" formatCode="0.0000"/>
    <numFmt numFmtId="186" formatCode="0.0%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¥€-2]\ #\ ##,000_);[Red]\([$€-2]\ #\ ##,000\)"/>
  </numFmts>
  <fonts count="16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Arial"/>
      <family val="2"/>
    </font>
    <font>
      <b/>
      <i/>
      <sz val="16"/>
      <name val="Arial"/>
      <family val="2"/>
    </font>
    <font>
      <sz val="20"/>
      <name val="Arial"/>
      <family val="2"/>
    </font>
    <font>
      <b/>
      <i/>
      <sz val="20"/>
      <name val="Arial"/>
      <family val="2"/>
    </font>
    <font>
      <sz val="18"/>
      <name val="Arial"/>
      <family val="2"/>
    </font>
    <font>
      <sz val="10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12"/>
      <name val="Calibri"/>
      <family val="2"/>
    </font>
    <font>
      <b/>
      <sz val="18"/>
      <name val="Calibri"/>
      <family val="2"/>
    </font>
    <font>
      <b/>
      <vertAlign val="superscript"/>
      <sz val="18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sz val="10"/>
      <color indexed="12"/>
      <name val="Calibri"/>
      <family val="2"/>
    </font>
    <font>
      <i/>
      <vertAlign val="superscript"/>
      <sz val="10"/>
      <name val="Calibri"/>
      <family val="2"/>
    </font>
    <font>
      <b/>
      <sz val="12"/>
      <color indexed="10"/>
      <name val="Calibri"/>
      <family val="2"/>
    </font>
    <font>
      <b/>
      <sz val="10"/>
      <name val="Arial CE"/>
      <family val="0"/>
    </font>
    <font>
      <b/>
      <sz val="8"/>
      <name val="Arial CE"/>
      <family val="0"/>
    </font>
    <font>
      <b/>
      <sz val="10"/>
      <color indexed="10"/>
      <name val="Calibri"/>
      <family val="2"/>
    </font>
    <font>
      <i/>
      <sz val="8"/>
      <name val="Arial CE"/>
      <family val="0"/>
    </font>
    <font>
      <i/>
      <sz val="10"/>
      <name val="Arial CE"/>
      <family val="0"/>
    </font>
    <font>
      <sz val="9"/>
      <name val="Tahoma"/>
      <family val="2"/>
    </font>
    <font>
      <b/>
      <sz val="9"/>
      <name val="Tahoma"/>
      <family val="2"/>
    </font>
    <font>
      <sz val="8"/>
      <name val="Arial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0"/>
      <name val="Arial"/>
      <family val="2"/>
    </font>
    <font>
      <sz val="8"/>
      <color indexed="9"/>
      <name val="Calibri"/>
      <family val="2"/>
    </font>
    <font>
      <b/>
      <sz val="18"/>
      <color indexed="62"/>
      <name val="Cambria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8"/>
      <color indexed="10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9"/>
      <name val="Calibri"/>
      <family val="2"/>
    </font>
    <font>
      <i/>
      <sz val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8"/>
      <name val="Calibri"/>
      <family val="2"/>
    </font>
    <font>
      <sz val="10"/>
      <color indexed="10"/>
      <name val="Calibri"/>
      <family val="2"/>
    </font>
    <font>
      <b/>
      <sz val="8"/>
      <name val="Calibri"/>
      <family val="2"/>
    </font>
    <font>
      <sz val="8"/>
      <color indexed="18"/>
      <name val="Calibri"/>
      <family val="2"/>
    </font>
    <font>
      <sz val="7"/>
      <name val="Calibri"/>
      <family val="2"/>
    </font>
    <font>
      <b/>
      <sz val="9"/>
      <color indexed="10"/>
      <name val="Calibri"/>
      <family val="2"/>
    </font>
    <font>
      <i/>
      <sz val="8"/>
      <name val="Calibri"/>
      <family val="2"/>
    </font>
    <font>
      <i/>
      <vertAlign val="superscript"/>
      <sz val="9"/>
      <name val="Calibri"/>
      <family val="2"/>
    </font>
    <font>
      <i/>
      <sz val="8"/>
      <color indexed="10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sz val="12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59"/>
      <name val="Calibri"/>
      <family val="2"/>
    </font>
    <font>
      <b/>
      <i/>
      <sz val="10"/>
      <name val="Calibri"/>
      <family val="2"/>
    </font>
    <font>
      <sz val="8"/>
      <color indexed="12"/>
      <name val="Calibri"/>
      <family val="2"/>
    </font>
    <font>
      <vertAlign val="superscript"/>
      <sz val="10"/>
      <name val="Calibri"/>
      <family val="2"/>
    </font>
    <font>
      <i/>
      <sz val="10"/>
      <color indexed="8"/>
      <name val="Calibri"/>
      <family val="2"/>
    </font>
    <font>
      <i/>
      <sz val="10"/>
      <color indexed="12"/>
      <name val="Calibri"/>
      <family val="2"/>
    </font>
    <font>
      <i/>
      <sz val="10"/>
      <color indexed="21"/>
      <name val="Calibri"/>
      <family val="2"/>
    </font>
    <font>
      <sz val="9"/>
      <color indexed="12"/>
      <name val="Calibri"/>
      <family val="2"/>
    </font>
    <font>
      <vertAlign val="superscript"/>
      <sz val="10"/>
      <color indexed="12"/>
      <name val="Calibri"/>
      <family val="2"/>
    </font>
    <font>
      <i/>
      <sz val="10"/>
      <color indexed="9"/>
      <name val="Calibri"/>
      <family val="2"/>
    </font>
    <font>
      <i/>
      <vertAlign val="superscript"/>
      <sz val="10"/>
      <color indexed="9"/>
      <name val="Calibri"/>
      <family val="2"/>
    </font>
    <font>
      <i/>
      <sz val="10"/>
      <color indexed="10"/>
      <name val="Calibri"/>
      <family val="2"/>
    </font>
    <font>
      <b/>
      <i/>
      <sz val="10"/>
      <color indexed="9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b/>
      <sz val="16"/>
      <color indexed="9"/>
      <name val="Calibri"/>
      <family val="2"/>
    </font>
    <font>
      <b/>
      <sz val="16"/>
      <color indexed="22"/>
      <name val="Calibri"/>
      <family val="2"/>
    </font>
    <font>
      <b/>
      <sz val="16"/>
      <color indexed="23"/>
      <name val="Calibri"/>
      <family val="2"/>
    </font>
    <font>
      <sz val="16"/>
      <color indexed="62"/>
      <name val="Calibri"/>
      <family val="2"/>
    </font>
    <font>
      <sz val="16"/>
      <color indexed="23"/>
      <name val="Calibri"/>
      <family val="2"/>
    </font>
    <font>
      <i/>
      <sz val="11"/>
      <name val="Calibri"/>
      <family val="2"/>
    </font>
    <font>
      <i/>
      <sz val="10"/>
      <color indexed="30"/>
      <name val="Calibri"/>
      <family val="2"/>
    </font>
    <font>
      <b/>
      <i/>
      <sz val="10"/>
      <color indexed="12"/>
      <name val="Calibri"/>
      <family val="2"/>
    </font>
    <font>
      <b/>
      <i/>
      <sz val="10"/>
      <color indexed="10"/>
      <name val="Calibri"/>
      <family val="2"/>
    </font>
    <font>
      <sz val="9"/>
      <color indexed="49"/>
      <name val="Calibri"/>
      <family val="2"/>
    </font>
    <font>
      <b/>
      <sz val="9"/>
      <color indexed="49"/>
      <name val="Calibri"/>
      <family val="2"/>
    </font>
    <font>
      <b/>
      <sz val="11"/>
      <color indexed="10"/>
      <name val="Calibri"/>
      <family val="2"/>
    </font>
    <font>
      <b/>
      <sz val="12"/>
      <color indexed="30"/>
      <name val="Calibri"/>
      <family val="2"/>
    </font>
    <font>
      <b/>
      <sz val="8"/>
      <color indexed="30"/>
      <name val="Calibri"/>
      <family val="2"/>
    </font>
    <font>
      <b/>
      <sz val="10"/>
      <color indexed="30"/>
      <name val="Calibri"/>
      <family val="2"/>
    </font>
    <font>
      <sz val="8"/>
      <color indexed="30"/>
      <name val="Calibri"/>
      <family val="2"/>
    </font>
    <font>
      <b/>
      <i/>
      <sz val="8"/>
      <name val="Calibri"/>
      <family val="2"/>
    </font>
    <font>
      <i/>
      <sz val="8"/>
      <color indexed="30"/>
      <name val="Calibri"/>
      <family val="2"/>
    </font>
    <font>
      <b/>
      <sz val="8"/>
      <color indexed="10"/>
      <name val="Calibri"/>
      <family val="2"/>
    </font>
    <font>
      <sz val="9"/>
      <color indexed="30"/>
      <name val="Calibri"/>
      <family val="2"/>
    </font>
    <font>
      <b/>
      <sz val="9"/>
      <color indexed="30"/>
      <name val="Calibri"/>
      <family val="2"/>
    </font>
    <font>
      <sz val="8"/>
      <color indexed="4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8"/>
      <color rgb="FFFF0000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sz val="10"/>
      <color rgb="FFFF0000"/>
      <name val="Calibri"/>
      <family val="2"/>
    </font>
    <font>
      <b/>
      <sz val="8"/>
      <color theme="1"/>
      <name val="Calibri"/>
      <family val="2"/>
    </font>
    <font>
      <b/>
      <sz val="16"/>
      <color theme="1"/>
      <name val="Calibri"/>
      <family val="2"/>
    </font>
    <font>
      <b/>
      <sz val="16"/>
      <color theme="0"/>
      <name val="Calibri"/>
      <family val="2"/>
    </font>
    <font>
      <b/>
      <sz val="16"/>
      <color theme="0" tint="-0.1499900072813034"/>
      <name val="Calibri"/>
      <family val="2"/>
    </font>
    <font>
      <b/>
      <sz val="16"/>
      <color theme="0" tint="-0.4999699890613556"/>
      <name val="Calibri"/>
      <family val="2"/>
    </font>
    <font>
      <sz val="16"/>
      <color theme="4" tint="-0.24997000396251678"/>
      <name val="Calibri"/>
      <family val="2"/>
    </font>
    <font>
      <sz val="16"/>
      <color theme="0" tint="-0.4999699890613556"/>
      <name val="Calibri"/>
      <family val="2"/>
    </font>
    <font>
      <i/>
      <sz val="10"/>
      <color rgb="FF0033CC"/>
      <name val="Calibri"/>
      <family val="2"/>
    </font>
    <font>
      <b/>
      <sz val="10"/>
      <color rgb="FFFF0000"/>
      <name val="Calibri"/>
      <family val="2"/>
    </font>
    <font>
      <b/>
      <i/>
      <sz val="10"/>
      <color rgb="FFFF0000"/>
      <name val="Calibri"/>
      <family val="2"/>
    </font>
    <font>
      <sz val="9"/>
      <color theme="3" tint="0.39998000860214233"/>
      <name val="Calibri"/>
      <family val="2"/>
    </font>
    <font>
      <b/>
      <sz val="9"/>
      <color theme="3" tint="0.39998000860214233"/>
      <name val="Calibri"/>
      <family val="2"/>
    </font>
    <font>
      <b/>
      <sz val="11"/>
      <color rgb="FFFF0000"/>
      <name val="Calibri"/>
      <family val="2"/>
    </font>
    <font>
      <i/>
      <sz val="10"/>
      <color rgb="FFFF0000"/>
      <name val="Calibri"/>
      <family val="2"/>
    </font>
    <font>
      <i/>
      <sz val="10"/>
      <color theme="0"/>
      <name val="Calibri"/>
      <family val="2"/>
    </font>
    <font>
      <sz val="9"/>
      <color rgb="FFFF0000"/>
      <name val="Calibri"/>
      <family val="2"/>
    </font>
    <font>
      <b/>
      <sz val="12"/>
      <color rgb="FF0070C0"/>
      <name val="Calibri"/>
      <family val="2"/>
    </font>
    <font>
      <b/>
      <sz val="8"/>
      <color rgb="FF0070C0"/>
      <name val="Calibri"/>
      <family val="2"/>
    </font>
    <font>
      <b/>
      <sz val="10"/>
      <color rgb="FF0070C0"/>
      <name val="Calibri"/>
      <family val="2"/>
    </font>
    <font>
      <sz val="8"/>
      <color rgb="FF0070C0"/>
      <name val="Calibri"/>
      <family val="2"/>
    </font>
    <font>
      <i/>
      <sz val="8"/>
      <color rgb="FF0070C0"/>
      <name val="Calibri"/>
      <family val="2"/>
    </font>
    <font>
      <b/>
      <sz val="8"/>
      <color rgb="FFFF0000"/>
      <name val="Calibri"/>
      <family val="2"/>
    </font>
    <font>
      <sz val="9"/>
      <color rgb="FF0070C0"/>
      <name val="Calibri"/>
      <family val="2"/>
    </font>
    <font>
      <b/>
      <sz val="9"/>
      <color rgb="FF0070C0"/>
      <name val="Calibri"/>
      <family val="2"/>
    </font>
    <font>
      <sz val="8"/>
      <color theme="4"/>
      <name val="Calibri"/>
      <family val="2"/>
    </font>
    <font>
      <sz val="8"/>
      <color theme="0"/>
      <name val="Calibri"/>
      <family val="2"/>
    </font>
    <font>
      <b/>
      <sz val="8"/>
      <color theme="0"/>
      <name val="Calibri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1"/>
        <bgColor indexed="64"/>
      </patternFill>
    </fill>
    <fill>
      <patternFill patternType="lightGray">
        <fgColor indexed="41"/>
      </patternFill>
    </fill>
    <fill>
      <patternFill patternType="solid">
        <fgColor rgb="FFFF99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900102615356"/>
        <bgColor indexed="64"/>
      </patternFill>
    </fill>
  </fills>
  <borders count="2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medium"/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medium"/>
      <bottom style="hair"/>
    </border>
    <border>
      <left style="hair"/>
      <right style="medium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medium"/>
      <right style="medium"/>
      <top style="hair"/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  <border>
      <left style="medium"/>
      <right style="hair"/>
      <top style="hair"/>
      <bottom style="hair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medium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hair"/>
      <top style="thin"/>
      <bottom style="medium"/>
    </border>
    <border>
      <left style="thin"/>
      <right style="medium"/>
      <top style="thin"/>
      <bottom style="hair"/>
    </border>
    <border>
      <left style="medium"/>
      <right style="medium"/>
      <top style="thin"/>
      <bottom style="hair"/>
    </border>
    <border>
      <left style="thin">
        <color theme="4" tint="0.7999500036239624"/>
      </left>
      <right style="thin">
        <color theme="4" tint="0.7999500036239624"/>
      </right>
      <top style="thin">
        <color theme="4" tint="0.7999500036239624"/>
      </top>
      <bottom style="thin">
        <color theme="4" tint="0.7999500036239624"/>
      </bottom>
    </border>
    <border>
      <left style="thin">
        <color theme="4" tint="0.7999500036239624"/>
      </left>
      <right/>
      <top/>
      <bottom style="thin">
        <color theme="4" tint="0.7999500036239624"/>
      </bottom>
    </border>
    <border>
      <left/>
      <right style="thin">
        <color theme="4" tint="0.7999500036239624"/>
      </right>
      <top style="thin">
        <color theme="4" tint="0.7999500036239624"/>
      </top>
      <bottom style="thin">
        <color theme="4" tint="0.7999500036239624"/>
      </bottom>
    </border>
    <border>
      <left style="thin">
        <color theme="4" tint="0.7999500036239624"/>
      </left>
      <right/>
      <top style="thin">
        <color theme="4" tint="0.7999500036239624"/>
      </top>
      <bottom style="thin">
        <color theme="4" tint="0.7999500036239624"/>
      </bottom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thin"/>
    </border>
    <border>
      <left style="thin"/>
      <right style="hair"/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hair"/>
      <right style="thin"/>
      <top style="thin"/>
      <bottom style="thin"/>
    </border>
    <border>
      <left style="thin">
        <color theme="4" tint="0.7999200224876404"/>
      </left>
      <right style="thin">
        <color theme="4" tint="0.7999500036239624"/>
      </right>
      <top style="thin">
        <color theme="4" tint="0.7999500036239624"/>
      </top>
      <bottom style="thin">
        <color theme="4" tint="0.7999500036239624"/>
      </bottom>
    </border>
    <border>
      <left>
        <color indexed="63"/>
      </left>
      <right>
        <color indexed="63"/>
      </right>
      <top style="thin"/>
      <bottom style="hair"/>
    </border>
    <border>
      <left/>
      <right style="medium"/>
      <top style="thin"/>
      <bottom style="hair"/>
    </border>
    <border>
      <left style="medium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</border>
    <border>
      <left style="thin"/>
      <right style="hair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medium"/>
      <top style="medium"/>
      <bottom style="hair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>
        <color rgb="FF002060"/>
      </bottom>
    </border>
    <border>
      <left style="thin"/>
      <right style="thin"/>
      <top style="thin"/>
      <bottom style="medium">
        <color rgb="FF002060"/>
      </bottom>
    </border>
    <border>
      <left style="thin"/>
      <right>
        <color indexed="63"/>
      </right>
      <top style="thin"/>
      <bottom style="medium">
        <color rgb="FF002060"/>
      </bottom>
    </border>
    <border>
      <left style="medium"/>
      <right style="medium"/>
      <top style="thin"/>
      <bottom style="medium">
        <color rgb="FF002060"/>
      </bottom>
    </border>
    <border>
      <left style="thin"/>
      <right style="medium"/>
      <top style="thin"/>
      <bottom style="medium">
        <color rgb="FF002060"/>
      </bottom>
    </border>
    <border>
      <left style="medium"/>
      <right style="thin"/>
      <top style="thin"/>
      <bottom style="medium">
        <color rgb="FF002060"/>
      </bottom>
    </border>
    <border>
      <left style="thin"/>
      <right style="thin"/>
      <top>
        <color indexed="63"/>
      </top>
      <bottom style="medium">
        <color rgb="FF002060"/>
      </bottom>
    </border>
    <border>
      <left style="thin"/>
      <right style="medium"/>
      <top>
        <color indexed="63"/>
      </top>
      <bottom style="medium">
        <color rgb="FF002060"/>
      </bottom>
    </border>
    <border>
      <left style="medium"/>
      <right style="thin"/>
      <top>
        <color indexed="63"/>
      </top>
      <bottom style="medium">
        <color rgb="FF002060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1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119" fillId="8" borderId="0" applyNumberFormat="0" applyBorder="0" applyAlignment="0" applyProtection="0"/>
    <xf numFmtId="0" fontId="119" fillId="9" borderId="0" applyNumberFormat="0" applyBorder="0" applyAlignment="0" applyProtection="0"/>
    <xf numFmtId="0" fontId="119" fillId="10" borderId="0" applyNumberFormat="0" applyBorder="0" applyAlignment="0" applyProtection="0"/>
    <xf numFmtId="0" fontId="119" fillId="11" borderId="0" applyNumberFormat="0" applyBorder="0" applyAlignment="0" applyProtection="0"/>
    <xf numFmtId="0" fontId="119" fillId="6" borderId="0" applyNumberFormat="0" applyBorder="0" applyAlignment="0" applyProtection="0"/>
    <xf numFmtId="0" fontId="119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119" fillId="17" borderId="0" applyNumberFormat="0" applyBorder="0" applyAlignment="0" applyProtection="0"/>
    <xf numFmtId="0" fontId="119" fillId="14" borderId="0" applyNumberFormat="0" applyBorder="0" applyAlignment="0" applyProtection="0"/>
    <xf numFmtId="0" fontId="119" fillId="18" borderId="0" applyNumberFormat="0" applyBorder="0" applyAlignment="0" applyProtection="0"/>
    <xf numFmtId="0" fontId="119" fillId="19" borderId="0" applyNumberFormat="0" applyBorder="0" applyAlignment="0" applyProtection="0"/>
    <xf numFmtId="0" fontId="119" fillId="20" borderId="0" applyNumberFormat="0" applyBorder="0" applyAlignment="0" applyProtection="0"/>
    <xf numFmtId="0" fontId="119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120" fillId="26" borderId="0" applyNumberFormat="0" applyBorder="0" applyAlignment="0" applyProtection="0"/>
    <xf numFmtId="0" fontId="120" fillId="27" borderId="0" applyNumberFormat="0" applyBorder="0" applyAlignment="0" applyProtection="0"/>
    <xf numFmtId="0" fontId="120" fillId="28" borderId="0" applyNumberFormat="0" applyBorder="0" applyAlignment="0" applyProtection="0"/>
    <xf numFmtId="0" fontId="120" fillId="29" borderId="0" applyNumberFormat="0" applyBorder="0" applyAlignment="0" applyProtection="0"/>
    <xf numFmtId="0" fontId="120" fillId="30" borderId="0" applyNumberFormat="0" applyBorder="0" applyAlignment="0" applyProtection="0"/>
    <xf numFmtId="0" fontId="120" fillId="31" borderId="0" applyNumberFormat="0" applyBorder="0" applyAlignment="0" applyProtection="0"/>
    <xf numFmtId="0" fontId="8" fillId="0" borderId="1" applyNumberFormat="0" applyFill="0" applyAlignment="0" applyProtection="0"/>
    <xf numFmtId="0" fontId="8" fillId="0" borderId="1" applyNumberFormat="0" applyFill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32" borderId="2" applyNumberFormat="0" applyAlignment="0" applyProtection="0"/>
    <xf numFmtId="0" fontId="10" fillId="3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" fillId="34" borderId="6" applyNumberFormat="0" applyFont="0" applyAlignment="0" applyProtection="0"/>
    <xf numFmtId="0" fontId="4" fillId="34" borderId="6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8" applyNumberFormat="0" applyFill="0" applyAlignment="0" applyProtection="0"/>
    <xf numFmtId="0" fontId="19" fillId="7" borderId="9" applyNumberFormat="0" applyAlignment="0" applyProtection="0"/>
    <xf numFmtId="0" fontId="19" fillId="7" borderId="9" applyNumberFormat="0" applyAlignment="0" applyProtection="0"/>
    <xf numFmtId="0" fontId="20" fillId="35" borderId="9" applyNumberFormat="0" applyAlignment="0" applyProtection="0"/>
    <xf numFmtId="0" fontId="20" fillId="35" borderId="9" applyNumberFormat="0" applyAlignment="0" applyProtection="0"/>
    <xf numFmtId="0" fontId="21" fillId="35" borderId="10" applyNumberFormat="0" applyAlignment="0" applyProtection="0"/>
    <xf numFmtId="0" fontId="21" fillId="35" borderId="10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</cellStyleXfs>
  <cellXfs count="1619">
    <xf numFmtId="0" fontId="0" fillId="0" borderId="0" xfId="0" applyAlignment="1">
      <alignment/>
    </xf>
    <xf numFmtId="0" fontId="4" fillId="0" borderId="0" xfId="94">
      <alignment/>
      <protection/>
    </xf>
    <xf numFmtId="0" fontId="23" fillId="0" borderId="0" xfId="94" applyFont="1">
      <alignment/>
      <protection/>
    </xf>
    <xf numFmtId="0" fontId="23" fillId="0" borderId="0" xfId="94" applyFont="1" applyAlignment="1">
      <alignment horizontal="center"/>
      <protection/>
    </xf>
    <xf numFmtId="0" fontId="23" fillId="0" borderId="0" xfId="94" applyFont="1" applyFill="1">
      <alignment/>
      <protection/>
    </xf>
    <xf numFmtId="0" fontId="4" fillId="0" borderId="0" xfId="94" applyFill="1">
      <alignment/>
      <protection/>
    </xf>
    <xf numFmtId="0" fontId="26" fillId="0" borderId="0" xfId="94" applyFont="1" applyFill="1" applyAlignment="1">
      <alignment horizontal="left" vertical="justify"/>
      <protection/>
    </xf>
    <xf numFmtId="0" fontId="25" fillId="0" borderId="0" xfId="94" applyFont="1" applyFill="1">
      <alignment/>
      <protection/>
    </xf>
    <xf numFmtId="0" fontId="4" fillId="0" borderId="0" xfId="94" applyFont="1" applyAlignment="1">
      <alignment horizontal="center"/>
      <protection/>
    </xf>
    <xf numFmtId="0" fontId="4" fillId="0" borderId="0" xfId="94" applyFont="1">
      <alignment/>
      <protection/>
    </xf>
    <xf numFmtId="0" fontId="4" fillId="0" borderId="0" xfId="94" applyFont="1" applyFill="1">
      <alignment/>
      <protection/>
    </xf>
    <xf numFmtId="0" fontId="24" fillId="0" borderId="0" xfId="94" applyFont="1" applyFill="1" applyAlignment="1">
      <alignment horizontal="left" vertical="justify"/>
      <protection/>
    </xf>
    <xf numFmtId="0" fontId="124" fillId="0" borderId="0" xfId="0" applyFont="1" applyAlignment="1">
      <alignment/>
    </xf>
    <xf numFmtId="0" fontId="125" fillId="0" borderId="0" xfId="0" applyFont="1" applyAlignment="1">
      <alignment/>
    </xf>
    <xf numFmtId="0" fontId="126" fillId="0" borderId="0" xfId="0" applyFont="1" applyAlignment="1">
      <alignment/>
    </xf>
    <xf numFmtId="0" fontId="125" fillId="0" borderId="11" xfId="0" applyFont="1" applyBorder="1" applyAlignment="1">
      <alignment horizontal="center" wrapText="1"/>
    </xf>
    <xf numFmtId="0" fontId="125" fillId="0" borderId="11" xfId="0" applyFont="1" applyFill="1" applyBorder="1" applyAlignment="1">
      <alignment horizontal="center" wrapText="1"/>
    </xf>
    <xf numFmtId="4" fontId="125" fillId="0" borderId="11" xfId="0" applyNumberFormat="1" applyFont="1" applyBorder="1" applyAlignment="1">
      <alignment/>
    </xf>
    <xf numFmtId="3" fontId="125" fillId="0" borderId="11" xfId="0" applyNumberFormat="1" applyFont="1" applyFill="1" applyBorder="1" applyAlignment="1">
      <alignment/>
    </xf>
    <xf numFmtId="0" fontId="127" fillId="0" borderId="12" xfId="0" applyFont="1" applyFill="1" applyBorder="1" applyAlignment="1">
      <alignment/>
    </xf>
    <xf numFmtId="3" fontId="128" fillId="40" borderId="11" xfId="0" applyNumberFormat="1" applyFont="1" applyFill="1" applyBorder="1" applyAlignment="1">
      <alignment/>
    </xf>
    <xf numFmtId="3" fontId="128" fillId="0" borderId="11" xfId="0" applyNumberFormat="1" applyFont="1" applyFill="1" applyBorder="1" applyAlignment="1">
      <alignment/>
    </xf>
    <xf numFmtId="3" fontId="128" fillId="0" borderId="11" xfId="0" applyNumberFormat="1" applyFont="1" applyBorder="1" applyAlignment="1">
      <alignment/>
    </xf>
    <xf numFmtId="3" fontId="128" fillId="41" borderId="11" xfId="0" applyNumberFormat="1" applyFont="1" applyFill="1" applyBorder="1" applyAlignment="1">
      <alignment/>
    </xf>
    <xf numFmtId="0" fontId="127" fillId="0" borderId="0" xfId="0" applyFont="1" applyAlignment="1">
      <alignment/>
    </xf>
    <xf numFmtId="3" fontId="129" fillId="0" borderId="11" xfId="0" applyNumberFormat="1" applyFont="1" applyBorder="1" applyAlignment="1">
      <alignment/>
    </xf>
    <xf numFmtId="0" fontId="27" fillId="0" borderId="0" xfId="94" applyFont="1">
      <alignment/>
      <protection/>
    </xf>
    <xf numFmtId="4" fontId="127" fillId="0" borderId="0" xfId="0" applyNumberFormat="1" applyFont="1" applyFill="1" applyBorder="1" applyAlignment="1">
      <alignment/>
    </xf>
    <xf numFmtId="3" fontId="129" fillId="0" borderId="13" xfId="0" applyNumberFormat="1" applyFont="1" applyBorder="1" applyAlignment="1">
      <alignment/>
    </xf>
    <xf numFmtId="0" fontId="130" fillId="0" borderId="14" xfId="0" applyFont="1" applyBorder="1" applyAlignment="1">
      <alignment/>
    </xf>
    <xf numFmtId="0" fontId="130" fillId="0" borderId="15" xfId="0" applyFont="1" applyBorder="1" applyAlignment="1">
      <alignment horizontal="center" wrapText="1"/>
    </xf>
    <xf numFmtId="0" fontId="130" fillId="0" borderId="15" xfId="0" applyFont="1" applyFill="1" applyBorder="1" applyAlignment="1">
      <alignment horizontal="center" wrapText="1"/>
    </xf>
    <xf numFmtId="0" fontId="125" fillId="0" borderId="16" xfId="0" applyFont="1" applyBorder="1" applyAlignment="1">
      <alignment/>
    </xf>
    <xf numFmtId="3" fontId="131" fillId="42" borderId="17" xfId="0" applyNumberFormat="1" applyFont="1" applyFill="1" applyBorder="1" applyAlignment="1">
      <alignment/>
    </xf>
    <xf numFmtId="0" fontId="130" fillId="0" borderId="18" xfId="0" applyFont="1" applyFill="1" applyBorder="1" applyAlignment="1">
      <alignment/>
    </xf>
    <xf numFmtId="4" fontId="130" fillId="0" borderId="19" xfId="0" applyNumberFormat="1" applyFont="1" applyBorder="1" applyAlignment="1">
      <alignment/>
    </xf>
    <xf numFmtId="10" fontId="130" fillId="0" borderId="19" xfId="0" applyNumberFormat="1" applyFont="1" applyBorder="1" applyAlignment="1">
      <alignment/>
    </xf>
    <xf numFmtId="3" fontId="130" fillId="0" borderId="19" xfId="0" applyNumberFormat="1" applyFont="1" applyBorder="1" applyAlignment="1">
      <alignment/>
    </xf>
    <xf numFmtId="0" fontId="132" fillId="43" borderId="16" xfId="0" applyFont="1" applyFill="1" applyBorder="1" applyAlignment="1">
      <alignment wrapText="1"/>
    </xf>
    <xf numFmtId="0" fontId="128" fillId="40" borderId="16" xfId="0" applyFont="1" applyFill="1" applyBorder="1" applyAlignment="1">
      <alignment horizontal="left"/>
    </xf>
    <xf numFmtId="0" fontId="128" fillId="0" borderId="16" xfId="0" applyFont="1" applyBorder="1" applyAlignment="1">
      <alignment horizontal="left"/>
    </xf>
    <xf numFmtId="0" fontId="128" fillId="0" borderId="16" xfId="0" applyFont="1" applyFill="1" applyBorder="1" applyAlignment="1">
      <alignment horizontal="left"/>
    </xf>
    <xf numFmtId="0" fontId="132" fillId="43" borderId="20" xfId="0" applyFont="1" applyFill="1" applyBorder="1" applyAlignment="1">
      <alignment horizontal="left"/>
    </xf>
    <xf numFmtId="3" fontId="132" fillId="43" borderId="21" xfId="0" applyNumberFormat="1" applyFont="1" applyFill="1" applyBorder="1" applyAlignment="1">
      <alignment/>
    </xf>
    <xf numFmtId="0" fontId="133" fillId="0" borderId="0" xfId="0" applyFont="1" applyAlignment="1">
      <alignment/>
    </xf>
    <xf numFmtId="0" fontId="130" fillId="44" borderId="22" xfId="0" applyFont="1" applyFill="1" applyBorder="1" applyAlignment="1">
      <alignment horizontal="center" wrapText="1"/>
    </xf>
    <xf numFmtId="0" fontId="125" fillId="44" borderId="23" xfId="0" applyFont="1" applyFill="1" applyBorder="1" applyAlignment="1">
      <alignment horizontal="center" wrapText="1"/>
    </xf>
    <xf numFmtId="3" fontId="125" fillId="44" borderId="23" xfId="0" applyNumberFormat="1" applyFont="1" applyFill="1" applyBorder="1" applyAlignment="1">
      <alignment/>
    </xf>
    <xf numFmtId="3" fontId="130" fillId="44" borderId="24" xfId="0" applyNumberFormat="1" applyFont="1" applyFill="1" applyBorder="1" applyAlignment="1">
      <alignment/>
    </xf>
    <xf numFmtId="0" fontId="28" fillId="0" borderId="0" xfId="0" applyFont="1" applyAlignment="1">
      <alignment/>
    </xf>
    <xf numFmtId="0" fontId="28" fillId="0" borderId="25" xfId="0" applyFont="1" applyBorder="1" applyAlignment="1">
      <alignment horizontal="center"/>
    </xf>
    <xf numFmtId="0" fontId="28" fillId="0" borderId="26" xfId="0" applyFont="1" applyBorder="1" applyAlignment="1">
      <alignment horizontal="center"/>
    </xf>
    <xf numFmtId="0" fontId="28" fillId="0" borderId="27" xfId="0" applyFont="1" applyBorder="1" applyAlignment="1">
      <alignment horizontal="center"/>
    </xf>
    <xf numFmtId="0" fontId="28" fillId="0" borderId="28" xfId="0" applyFont="1" applyBorder="1" applyAlignment="1">
      <alignment horizontal="center"/>
    </xf>
    <xf numFmtId="0" fontId="28" fillId="0" borderId="29" xfId="0" applyFont="1" applyBorder="1" applyAlignment="1">
      <alignment/>
    </xf>
    <xf numFmtId="0" fontId="28" fillId="0" borderId="30" xfId="0" applyFont="1" applyBorder="1" applyAlignment="1">
      <alignment/>
    </xf>
    <xf numFmtId="0" fontId="28" fillId="0" borderId="31" xfId="0" applyFont="1" applyBorder="1" applyAlignment="1">
      <alignment/>
    </xf>
    <xf numFmtId="0" fontId="28" fillId="0" borderId="12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32" xfId="0" applyFont="1" applyBorder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Fill="1" applyAlignment="1">
      <alignment/>
    </xf>
    <xf numFmtId="0" fontId="32" fillId="0" borderId="0" xfId="0" applyFont="1" applyAlignment="1">
      <alignment/>
    </xf>
    <xf numFmtId="0" fontId="32" fillId="0" borderId="25" xfId="0" applyFont="1" applyBorder="1" applyAlignment="1">
      <alignment horizontal="center"/>
    </xf>
    <xf numFmtId="0" fontId="32" fillId="0" borderId="33" xfId="0" applyFont="1" applyBorder="1" applyAlignment="1">
      <alignment horizontal="center"/>
    </xf>
    <xf numFmtId="0" fontId="32" fillId="0" borderId="33" xfId="0" applyFont="1" applyBorder="1" applyAlignment="1">
      <alignment/>
    </xf>
    <xf numFmtId="0" fontId="32" fillId="44" borderId="34" xfId="0" applyFont="1" applyFill="1" applyBorder="1" applyAlignment="1">
      <alignment horizontal="center"/>
    </xf>
    <xf numFmtId="0" fontId="32" fillId="0" borderId="26" xfId="0" applyFont="1" applyBorder="1" applyAlignment="1">
      <alignment horizontal="center"/>
    </xf>
    <xf numFmtId="0" fontId="32" fillId="0" borderId="27" xfId="0" applyFont="1" applyBorder="1" applyAlignment="1">
      <alignment horizontal="center"/>
    </xf>
    <xf numFmtId="0" fontId="32" fillId="44" borderId="27" xfId="0" applyFont="1" applyFill="1" applyBorder="1" applyAlignment="1">
      <alignment horizontal="center"/>
    </xf>
    <xf numFmtId="0" fontId="32" fillId="44" borderId="35" xfId="0" applyFont="1" applyFill="1" applyBorder="1" applyAlignment="1">
      <alignment horizontal="center"/>
    </xf>
    <xf numFmtId="0" fontId="32" fillId="0" borderId="28" xfId="0" applyFont="1" applyBorder="1" applyAlignment="1">
      <alignment horizontal="center"/>
    </xf>
    <xf numFmtId="0" fontId="32" fillId="0" borderId="13" xfId="0" applyFont="1" applyBorder="1" applyAlignment="1">
      <alignment horizontal="center" wrapText="1"/>
    </xf>
    <xf numFmtId="0" fontId="32" fillId="0" borderId="13" xfId="0" applyFont="1" applyBorder="1" applyAlignment="1">
      <alignment horizontal="center"/>
    </xf>
    <xf numFmtId="0" fontId="32" fillId="44" borderId="13" xfId="0" applyFont="1" applyFill="1" applyBorder="1" applyAlignment="1">
      <alignment horizontal="center"/>
    </xf>
    <xf numFmtId="0" fontId="32" fillId="44" borderId="11" xfId="0" applyFont="1" applyFill="1" applyBorder="1" applyAlignment="1">
      <alignment horizontal="center"/>
    </xf>
    <xf numFmtId="0" fontId="32" fillId="44" borderId="36" xfId="0" applyFont="1" applyFill="1" applyBorder="1" applyAlignment="1">
      <alignment horizontal="center"/>
    </xf>
    <xf numFmtId="0" fontId="32" fillId="0" borderId="27" xfId="0" applyFont="1" applyBorder="1" applyAlignment="1">
      <alignment horizontal="center" wrapText="1"/>
    </xf>
    <xf numFmtId="3" fontId="32" fillId="0" borderId="16" xfId="0" applyNumberFormat="1" applyFont="1" applyBorder="1" applyAlignment="1">
      <alignment/>
    </xf>
    <xf numFmtId="0" fontId="32" fillId="0" borderId="11" xfId="0" applyFont="1" applyBorder="1" applyAlignment="1">
      <alignment/>
    </xf>
    <xf numFmtId="3" fontId="32" fillId="0" borderId="11" xfId="0" applyNumberFormat="1" applyFont="1" applyBorder="1" applyAlignment="1">
      <alignment/>
    </xf>
    <xf numFmtId="4" fontId="32" fillId="0" borderId="11" xfId="0" applyNumberFormat="1" applyFont="1" applyBorder="1" applyAlignment="1">
      <alignment/>
    </xf>
    <xf numFmtId="3" fontId="32" fillId="44" borderId="11" xfId="0" applyNumberFormat="1" applyFont="1" applyFill="1" applyBorder="1" applyAlignment="1">
      <alignment/>
    </xf>
    <xf numFmtId="3" fontId="64" fillId="0" borderId="11" xfId="0" applyNumberFormat="1" applyFont="1" applyBorder="1" applyAlignment="1">
      <alignment/>
    </xf>
    <xf numFmtId="3" fontId="32" fillId="44" borderId="23" xfId="0" applyNumberFormat="1" applyFont="1" applyFill="1" applyBorder="1" applyAlignment="1">
      <alignment/>
    </xf>
    <xf numFmtId="3" fontId="32" fillId="0" borderId="37" xfId="0" applyNumberFormat="1" applyFont="1" applyBorder="1" applyAlignment="1">
      <alignment/>
    </xf>
    <xf numFmtId="0" fontId="32" fillId="0" borderId="38" xfId="0" applyFont="1" applyBorder="1" applyAlignment="1">
      <alignment/>
    </xf>
    <xf numFmtId="3" fontId="32" fillId="0" borderId="38" xfId="0" applyNumberFormat="1" applyFont="1" applyBorder="1" applyAlignment="1">
      <alignment/>
    </xf>
    <xf numFmtId="4" fontId="32" fillId="0" borderId="38" xfId="0" applyNumberFormat="1" applyFont="1" applyBorder="1" applyAlignment="1">
      <alignment/>
    </xf>
    <xf numFmtId="3" fontId="32" fillId="44" borderId="38" xfId="0" applyNumberFormat="1" applyFont="1" applyFill="1" applyBorder="1" applyAlignment="1">
      <alignment/>
    </xf>
    <xf numFmtId="3" fontId="64" fillId="0" borderId="38" xfId="0" applyNumberFormat="1" applyFont="1" applyBorder="1" applyAlignment="1">
      <alignment/>
    </xf>
    <xf numFmtId="3" fontId="32" fillId="44" borderId="39" xfId="0" applyNumberFormat="1" applyFont="1" applyFill="1" applyBorder="1" applyAlignment="1">
      <alignment/>
    </xf>
    <xf numFmtId="3" fontId="65" fillId="0" borderId="18" xfId="0" applyNumberFormat="1" applyFont="1" applyBorder="1" applyAlignment="1">
      <alignment/>
    </xf>
    <xf numFmtId="3" fontId="65" fillId="0" borderId="19" xfId="0" applyNumberFormat="1" applyFont="1" applyBorder="1" applyAlignment="1">
      <alignment/>
    </xf>
    <xf numFmtId="4" fontId="65" fillId="0" borderId="19" xfId="0" applyNumberFormat="1" applyFont="1" applyBorder="1" applyAlignment="1">
      <alignment/>
    </xf>
    <xf numFmtId="3" fontId="65" fillId="44" borderId="19" xfId="0" applyNumberFormat="1" applyFont="1" applyFill="1" applyBorder="1" applyAlignment="1">
      <alignment/>
    </xf>
    <xf numFmtId="3" fontId="65" fillId="44" borderId="24" xfId="0" applyNumberFormat="1" applyFont="1" applyFill="1" applyBorder="1" applyAlignment="1">
      <alignment/>
    </xf>
    <xf numFmtId="0" fontId="32" fillId="0" borderId="29" xfId="0" applyFont="1" applyBorder="1" applyAlignment="1">
      <alignment/>
    </xf>
    <xf numFmtId="3" fontId="32" fillId="0" borderId="28" xfId="0" applyNumberFormat="1" applyFont="1" applyBorder="1" applyAlignment="1">
      <alignment/>
    </xf>
    <xf numFmtId="0" fontId="32" fillId="0" borderId="13" xfId="0" applyFont="1" applyBorder="1" applyAlignment="1">
      <alignment/>
    </xf>
    <xf numFmtId="3" fontId="32" fillId="0" borderId="13" xfId="0" applyNumberFormat="1" applyFont="1" applyBorder="1" applyAlignment="1">
      <alignment/>
    </xf>
    <xf numFmtId="4" fontId="32" fillId="0" borderId="13" xfId="0" applyNumberFormat="1" applyFont="1" applyBorder="1" applyAlignment="1">
      <alignment/>
    </xf>
    <xf numFmtId="3" fontId="32" fillId="44" borderId="13" xfId="0" applyNumberFormat="1" applyFont="1" applyFill="1" applyBorder="1" applyAlignment="1">
      <alignment/>
    </xf>
    <xf numFmtId="3" fontId="64" fillId="0" borderId="13" xfId="0" applyNumberFormat="1" applyFont="1" applyBorder="1" applyAlignment="1">
      <alignment/>
    </xf>
    <xf numFmtId="3" fontId="32" fillId="44" borderId="36" xfId="0" applyNumberFormat="1" applyFont="1" applyFill="1" applyBorder="1" applyAlignment="1">
      <alignment/>
    </xf>
    <xf numFmtId="0" fontId="32" fillId="0" borderId="30" xfId="0" applyFont="1" applyBorder="1" applyAlignment="1">
      <alignment/>
    </xf>
    <xf numFmtId="3" fontId="32" fillId="0" borderId="18" xfId="0" applyNumberFormat="1" applyFont="1" applyBorder="1" applyAlignment="1">
      <alignment/>
    </xf>
    <xf numFmtId="3" fontId="32" fillId="0" borderId="19" xfId="0" applyNumberFormat="1" applyFont="1" applyBorder="1" applyAlignment="1">
      <alignment/>
    </xf>
    <xf numFmtId="4" fontId="32" fillId="0" borderId="19" xfId="0" applyNumberFormat="1" applyFont="1" applyBorder="1" applyAlignment="1">
      <alignment/>
    </xf>
    <xf numFmtId="3" fontId="32" fillId="44" borderId="19" xfId="0" applyNumberFormat="1" applyFont="1" applyFill="1" applyBorder="1" applyAlignment="1">
      <alignment/>
    </xf>
    <xf numFmtId="3" fontId="32" fillId="44" borderId="24" xfId="0" applyNumberFormat="1" applyFont="1" applyFill="1" applyBorder="1" applyAlignment="1">
      <alignment/>
    </xf>
    <xf numFmtId="0" fontId="32" fillId="0" borderId="0" xfId="0" applyFont="1" applyBorder="1" applyAlignment="1">
      <alignment/>
    </xf>
    <xf numFmtId="0" fontId="32" fillId="0" borderId="16" xfId="0" applyFont="1" applyBorder="1" applyAlignment="1">
      <alignment/>
    </xf>
    <xf numFmtId="0" fontId="32" fillId="0" borderId="37" xfId="0" applyFont="1" applyBorder="1" applyAlignment="1">
      <alignment/>
    </xf>
    <xf numFmtId="0" fontId="32" fillId="0" borderId="40" xfId="0" applyFont="1" applyBorder="1" applyAlignment="1">
      <alignment/>
    </xf>
    <xf numFmtId="0" fontId="32" fillId="0" borderId="0" xfId="0" applyFont="1" applyFill="1" applyAlignment="1">
      <alignment/>
    </xf>
    <xf numFmtId="0" fontId="32" fillId="0" borderId="41" xfId="0" applyFont="1" applyFill="1" applyBorder="1" applyAlignment="1">
      <alignment/>
    </xf>
    <xf numFmtId="0" fontId="32" fillId="0" borderId="41" xfId="0" applyFont="1" applyBorder="1" applyAlignment="1">
      <alignment/>
    </xf>
    <xf numFmtId="3" fontId="32" fillId="0" borderId="41" xfId="0" applyNumberFormat="1" applyFont="1" applyBorder="1" applyAlignment="1">
      <alignment/>
    </xf>
    <xf numFmtId="3" fontId="32" fillId="0" borderId="42" xfId="0" applyNumberFormat="1" applyFont="1" applyBorder="1" applyAlignment="1">
      <alignment/>
    </xf>
    <xf numFmtId="0" fontId="34" fillId="0" borderId="0" xfId="0" applyFont="1" applyFill="1" applyAlignment="1">
      <alignment/>
    </xf>
    <xf numFmtId="0" fontId="30" fillId="0" borderId="0" xfId="0" applyFont="1" applyAlignment="1">
      <alignment/>
    </xf>
    <xf numFmtId="3" fontId="28" fillId="0" borderId="0" xfId="0" applyNumberFormat="1" applyFont="1" applyAlignment="1">
      <alignment/>
    </xf>
    <xf numFmtId="0" fontId="34" fillId="0" borderId="0" xfId="123" applyFont="1">
      <alignment/>
      <protection/>
    </xf>
    <xf numFmtId="0" fontId="28" fillId="0" borderId="43" xfId="0" applyFont="1" applyBorder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4" fillId="0" borderId="0" xfId="0" applyFont="1" applyFill="1" applyAlignment="1">
      <alignment/>
    </xf>
    <xf numFmtId="0" fontId="64" fillId="0" borderId="0" xfId="0" applyFont="1" applyAlignment="1">
      <alignment/>
    </xf>
    <xf numFmtId="3" fontId="32" fillId="0" borderId="0" xfId="0" applyNumberFormat="1" applyFont="1" applyAlignment="1">
      <alignment/>
    </xf>
    <xf numFmtId="0" fontId="66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68" fillId="0" borderId="0" xfId="0" applyFont="1" applyFill="1" applyAlignment="1">
      <alignment/>
    </xf>
    <xf numFmtId="0" fontId="29" fillId="0" borderId="0" xfId="0" applyFont="1" applyFill="1" applyAlignment="1">
      <alignment wrapText="1"/>
    </xf>
    <xf numFmtId="0" fontId="29" fillId="0" borderId="0" xfId="0" applyFont="1" applyAlignment="1">
      <alignment wrapText="1"/>
    </xf>
    <xf numFmtId="0" fontId="29" fillId="0" borderId="44" xfId="0" applyFont="1" applyBorder="1" applyAlignment="1">
      <alignment/>
    </xf>
    <xf numFmtId="0" fontId="28" fillId="0" borderId="43" xfId="0" applyFont="1" applyFill="1" applyBorder="1" applyAlignment="1">
      <alignment/>
    </xf>
    <xf numFmtId="0" fontId="28" fillId="0" borderId="45" xfId="0" applyFont="1" applyFill="1" applyBorder="1" applyAlignment="1">
      <alignment/>
    </xf>
    <xf numFmtId="0" fontId="28" fillId="0" borderId="46" xfId="0" applyFont="1" applyFill="1" applyBorder="1" applyAlignment="1">
      <alignment horizontal="center"/>
    </xf>
    <xf numFmtId="0" fontId="28" fillId="0" borderId="46" xfId="0" applyFont="1" applyFill="1" applyBorder="1" applyAlignment="1">
      <alignment/>
    </xf>
    <xf numFmtId="0" fontId="30" fillId="0" borderId="47" xfId="0" applyFont="1" applyFill="1" applyBorder="1" applyAlignment="1">
      <alignment horizontal="center"/>
    </xf>
    <xf numFmtId="0" fontId="30" fillId="45" borderId="47" xfId="0" applyFont="1" applyFill="1" applyBorder="1" applyAlignment="1">
      <alignment horizontal="center"/>
    </xf>
    <xf numFmtId="0" fontId="28" fillId="0" borderId="47" xfId="0" applyFont="1" applyFill="1" applyBorder="1" applyAlignment="1">
      <alignment horizontal="center"/>
    </xf>
    <xf numFmtId="0" fontId="28" fillId="0" borderId="48" xfId="0" applyFont="1" applyFill="1" applyBorder="1" applyAlignment="1">
      <alignment horizontal="center"/>
    </xf>
    <xf numFmtId="0" fontId="28" fillId="0" borderId="49" xfId="0" applyFont="1" applyFill="1" applyBorder="1" applyAlignment="1">
      <alignment horizontal="center"/>
    </xf>
    <xf numFmtId="0" fontId="28" fillId="0" borderId="50" xfId="0" applyFont="1" applyFill="1" applyBorder="1" applyAlignment="1">
      <alignment/>
    </xf>
    <xf numFmtId="0" fontId="28" fillId="0" borderId="44" xfId="0" applyFont="1" applyFill="1" applyBorder="1" applyAlignment="1">
      <alignment horizontal="center"/>
    </xf>
    <xf numFmtId="0" fontId="28" fillId="0" borderId="44" xfId="0" applyFont="1" applyFill="1" applyBorder="1" applyAlignment="1">
      <alignment/>
    </xf>
    <xf numFmtId="0" fontId="30" fillId="0" borderId="51" xfId="0" applyFont="1" applyFill="1" applyBorder="1" applyAlignment="1">
      <alignment horizontal="center"/>
    </xf>
    <xf numFmtId="0" fontId="30" fillId="45" borderId="51" xfId="0" applyFont="1" applyFill="1" applyBorder="1" applyAlignment="1">
      <alignment horizontal="center"/>
    </xf>
    <xf numFmtId="0" fontId="28" fillId="46" borderId="51" xfId="0" applyFont="1" applyFill="1" applyBorder="1" applyAlignment="1">
      <alignment horizontal="center"/>
    </xf>
    <xf numFmtId="0" fontId="28" fillId="0" borderId="51" xfId="0" applyFont="1" applyFill="1" applyBorder="1" applyAlignment="1">
      <alignment horizontal="center"/>
    </xf>
    <xf numFmtId="0" fontId="28" fillId="0" borderId="52" xfId="0" applyFont="1" applyFill="1" applyBorder="1" applyAlignment="1">
      <alignment horizontal="center"/>
    </xf>
    <xf numFmtId="0" fontId="28" fillId="0" borderId="53" xfId="0" applyFont="1" applyFill="1" applyBorder="1" applyAlignment="1">
      <alignment horizontal="center"/>
    </xf>
    <xf numFmtId="0" fontId="28" fillId="0" borderId="54" xfId="0" applyFont="1" applyFill="1" applyBorder="1" applyAlignment="1">
      <alignment/>
    </xf>
    <xf numFmtId="3" fontId="28" fillId="0" borderId="55" xfId="0" applyNumberFormat="1" applyFont="1" applyFill="1" applyBorder="1" applyAlignment="1">
      <alignment/>
    </xf>
    <xf numFmtId="0" fontId="28" fillId="0" borderId="55" xfId="0" applyFont="1" applyFill="1" applyBorder="1" applyAlignment="1">
      <alignment/>
    </xf>
    <xf numFmtId="3" fontId="30" fillId="0" borderId="56" xfId="0" applyNumberFormat="1" applyFont="1" applyFill="1" applyBorder="1" applyAlignment="1">
      <alignment/>
    </xf>
    <xf numFmtId="3" fontId="30" fillId="45" borderId="56" xfId="0" applyNumberFormat="1" applyFont="1" applyFill="1" applyBorder="1" applyAlignment="1">
      <alignment/>
    </xf>
    <xf numFmtId="3" fontId="28" fillId="46" borderId="56" xfId="0" applyNumberFormat="1" applyFont="1" applyFill="1" applyBorder="1" applyAlignment="1">
      <alignment/>
    </xf>
    <xf numFmtId="3" fontId="28" fillId="0" borderId="56" xfId="0" applyNumberFormat="1" applyFont="1" applyFill="1" applyBorder="1" applyAlignment="1">
      <alignment/>
    </xf>
    <xf numFmtId="2" fontId="28" fillId="0" borderId="57" xfId="0" applyNumberFormat="1" applyFont="1" applyFill="1" applyBorder="1" applyAlignment="1">
      <alignment horizontal="center"/>
    </xf>
    <xf numFmtId="3" fontId="53" fillId="0" borderId="0" xfId="0" applyNumberFormat="1" applyFont="1" applyFill="1" applyAlignment="1">
      <alignment horizontal="left"/>
    </xf>
    <xf numFmtId="0" fontId="28" fillId="0" borderId="58" xfId="0" applyFont="1" applyFill="1" applyBorder="1" applyAlignment="1">
      <alignment horizontal="center"/>
    </xf>
    <xf numFmtId="0" fontId="28" fillId="0" borderId="12" xfId="0" applyFont="1" applyFill="1" applyBorder="1" applyAlignment="1">
      <alignment/>
    </xf>
    <xf numFmtId="3" fontId="28" fillId="0" borderId="0" xfId="0" applyNumberFormat="1" applyFont="1" applyFill="1" applyBorder="1" applyAlignment="1">
      <alignment/>
    </xf>
    <xf numFmtId="0" fontId="28" fillId="0" borderId="0" xfId="0" applyFont="1" applyFill="1" applyBorder="1" applyAlignment="1">
      <alignment/>
    </xf>
    <xf numFmtId="3" fontId="30" fillId="0" borderId="59" xfId="0" applyNumberFormat="1" applyFont="1" applyFill="1" applyBorder="1" applyAlignment="1">
      <alignment/>
    </xf>
    <xf numFmtId="3" fontId="30" fillId="45" borderId="59" xfId="0" applyNumberFormat="1" applyFont="1" applyFill="1" applyBorder="1" applyAlignment="1">
      <alignment/>
    </xf>
    <xf numFmtId="3" fontId="28" fillId="46" borderId="59" xfId="0" applyNumberFormat="1" applyFont="1" applyFill="1" applyBorder="1" applyAlignment="1">
      <alignment/>
    </xf>
    <xf numFmtId="3" fontId="28" fillId="0" borderId="59" xfId="0" applyNumberFormat="1" applyFont="1" applyFill="1" applyBorder="1" applyAlignment="1">
      <alignment/>
    </xf>
    <xf numFmtId="2" fontId="28" fillId="0" borderId="60" xfId="0" applyNumberFormat="1" applyFont="1" applyFill="1" applyBorder="1" applyAlignment="1">
      <alignment horizontal="center"/>
    </xf>
    <xf numFmtId="0" fontId="28" fillId="0" borderId="40" xfId="0" applyFont="1" applyFill="1" applyBorder="1" applyAlignment="1">
      <alignment horizontal="center"/>
    </xf>
    <xf numFmtId="0" fontId="28" fillId="0" borderId="61" xfId="0" applyFont="1" applyFill="1" applyBorder="1" applyAlignment="1">
      <alignment/>
    </xf>
    <xf numFmtId="3" fontId="28" fillId="0" borderId="32" xfId="0" applyNumberFormat="1" applyFont="1" applyFill="1" applyBorder="1" applyAlignment="1">
      <alignment/>
    </xf>
    <xf numFmtId="0" fontId="28" fillId="0" borderId="32" xfId="0" applyFont="1" applyFill="1" applyBorder="1" applyAlignment="1">
      <alignment/>
    </xf>
    <xf numFmtId="3" fontId="30" fillId="0" borderId="62" xfId="0" applyNumberFormat="1" applyFont="1" applyFill="1" applyBorder="1" applyAlignment="1">
      <alignment/>
    </xf>
    <xf numFmtId="3" fontId="30" fillId="45" borderId="62" xfId="0" applyNumberFormat="1" applyFont="1" applyFill="1" applyBorder="1" applyAlignment="1">
      <alignment/>
    </xf>
    <xf numFmtId="3" fontId="28" fillId="46" borderId="62" xfId="0" applyNumberFormat="1" applyFont="1" applyFill="1" applyBorder="1" applyAlignment="1">
      <alignment/>
    </xf>
    <xf numFmtId="3" fontId="28" fillId="0" borderId="62" xfId="0" applyNumberFormat="1" applyFont="1" applyFill="1" applyBorder="1" applyAlignment="1">
      <alignment/>
    </xf>
    <xf numFmtId="2" fontId="28" fillId="0" borderId="63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2" fontId="28" fillId="0" borderId="0" xfId="0" applyNumberFormat="1" applyFont="1" applyFill="1" applyBorder="1" applyAlignment="1">
      <alignment horizontal="center"/>
    </xf>
    <xf numFmtId="0" fontId="69" fillId="0" borderId="0" xfId="0" applyFont="1" applyFill="1" applyAlignment="1">
      <alignment/>
    </xf>
    <xf numFmtId="0" fontId="28" fillId="0" borderId="0" xfId="0" applyFont="1" applyFill="1" applyAlignment="1">
      <alignment horizontal="center"/>
    </xf>
    <xf numFmtId="0" fontId="29" fillId="0" borderId="0" xfId="0" applyFont="1" applyAlignment="1">
      <alignment horizontal="center"/>
    </xf>
    <xf numFmtId="0" fontId="28" fillId="47" borderId="47" xfId="0" applyFont="1" applyFill="1" applyBorder="1" applyAlignment="1">
      <alignment horizontal="center"/>
    </xf>
    <xf numFmtId="0" fontId="32" fillId="33" borderId="51" xfId="0" applyFont="1" applyFill="1" applyBorder="1" applyAlignment="1">
      <alignment horizontal="center"/>
    </xf>
    <xf numFmtId="3" fontId="32" fillId="33" borderId="64" xfId="0" applyNumberFormat="1" applyFont="1" applyFill="1" applyBorder="1" applyAlignment="1">
      <alignment/>
    </xf>
    <xf numFmtId="0" fontId="29" fillId="0" borderId="65" xfId="0" applyFont="1" applyFill="1" applyBorder="1" applyAlignment="1">
      <alignment horizontal="center"/>
    </xf>
    <xf numFmtId="3" fontId="29" fillId="0" borderId="16" xfId="0" applyNumberFormat="1" applyFont="1" applyFill="1" applyBorder="1" applyAlignment="1">
      <alignment/>
    </xf>
    <xf numFmtId="3" fontId="29" fillId="0" borderId="11" xfId="0" applyNumberFormat="1" applyFont="1" applyFill="1" applyBorder="1" applyAlignment="1">
      <alignment/>
    </xf>
    <xf numFmtId="3" fontId="29" fillId="0" borderId="23" xfId="0" applyNumberFormat="1" applyFont="1" applyFill="1" applyBorder="1" applyAlignment="1">
      <alignment/>
    </xf>
    <xf numFmtId="3" fontId="32" fillId="33" borderId="66" xfId="0" applyNumberFormat="1" applyFont="1" applyFill="1" applyBorder="1" applyAlignment="1">
      <alignment/>
    </xf>
    <xf numFmtId="0" fontId="29" fillId="0" borderId="58" xfId="0" applyFont="1" applyFill="1" applyBorder="1" applyAlignment="1">
      <alignment horizontal="center"/>
    </xf>
    <xf numFmtId="3" fontId="32" fillId="33" borderId="62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4" fontId="32" fillId="0" borderId="0" xfId="0" applyNumberFormat="1" applyFont="1" applyFill="1" applyBorder="1" applyAlignment="1">
      <alignment/>
    </xf>
    <xf numFmtId="3" fontId="32" fillId="0" borderId="0" xfId="0" applyNumberFormat="1" applyFont="1" applyFill="1" applyBorder="1" applyAlignment="1">
      <alignment/>
    </xf>
    <xf numFmtId="0" fontId="37" fillId="0" borderId="0" xfId="0" applyFont="1" applyAlignment="1">
      <alignment/>
    </xf>
    <xf numFmtId="0" fontId="67" fillId="0" borderId="0" xfId="0" applyFont="1" applyFill="1" applyAlignment="1">
      <alignment/>
    </xf>
    <xf numFmtId="0" fontId="32" fillId="0" borderId="61" xfId="0" applyFont="1" applyFill="1" applyBorder="1" applyAlignment="1">
      <alignment/>
    </xf>
    <xf numFmtId="0" fontId="28" fillId="0" borderId="14" xfId="0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/>
    </xf>
    <xf numFmtId="0" fontId="28" fillId="0" borderId="22" xfId="0" applyFont="1" applyFill="1" applyBorder="1" applyAlignment="1">
      <alignment horizontal="center"/>
    </xf>
    <xf numFmtId="0" fontId="28" fillId="47" borderId="51" xfId="0" applyFont="1" applyFill="1" applyBorder="1" applyAlignment="1">
      <alignment horizontal="center"/>
    </xf>
    <xf numFmtId="0" fontId="28" fillId="0" borderId="67" xfId="0" applyFont="1" applyFill="1" applyBorder="1" applyAlignment="1">
      <alignment horizontal="center"/>
    </xf>
    <xf numFmtId="0" fontId="28" fillId="0" borderId="68" xfId="0" applyFont="1" applyFill="1" applyBorder="1" applyAlignment="1">
      <alignment/>
    </xf>
    <xf numFmtId="3" fontId="28" fillId="0" borderId="28" xfId="0" applyNumberFormat="1" applyFont="1" applyFill="1" applyBorder="1" applyAlignment="1">
      <alignment/>
    </xf>
    <xf numFmtId="3" fontId="28" fillId="0" borderId="13" xfId="0" applyNumberFormat="1" applyFont="1" applyFill="1" applyBorder="1" applyAlignment="1">
      <alignment/>
    </xf>
    <xf numFmtId="3" fontId="28" fillId="0" borderId="36" xfId="0" applyNumberFormat="1" applyFont="1" applyFill="1" applyBorder="1" applyAlignment="1">
      <alignment/>
    </xf>
    <xf numFmtId="0" fontId="28" fillId="0" borderId="65" xfId="0" applyFont="1" applyFill="1" applyBorder="1" applyAlignment="1">
      <alignment horizontal="center"/>
    </xf>
    <xf numFmtId="0" fontId="28" fillId="0" borderId="69" xfId="0" applyFont="1" applyFill="1" applyBorder="1" applyAlignment="1">
      <alignment/>
    </xf>
    <xf numFmtId="3" fontId="28" fillId="0" borderId="16" xfId="0" applyNumberFormat="1" applyFont="1" applyFill="1" applyBorder="1" applyAlignment="1">
      <alignment/>
    </xf>
    <xf numFmtId="3" fontId="28" fillId="0" borderId="11" xfId="0" applyNumberFormat="1" applyFont="1" applyFill="1" applyBorder="1" applyAlignment="1">
      <alignment/>
    </xf>
    <xf numFmtId="3" fontId="28" fillId="0" borderId="23" xfId="0" applyNumberFormat="1" applyFont="1" applyFill="1" applyBorder="1" applyAlignment="1">
      <alignment/>
    </xf>
    <xf numFmtId="0" fontId="28" fillId="48" borderId="69" xfId="0" applyFont="1" applyFill="1" applyBorder="1" applyAlignment="1">
      <alignment/>
    </xf>
    <xf numFmtId="0" fontId="28" fillId="48" borderId="60" xfId="0" applyFont="1" applyFill="1" applyBorder="1" applyAlignment="1">
      <alignment/>
    </xf>
    <xf numFmtId="3" fontId="28" fillId="0" borderId="26" xfId="0" applyNumberFormat="1" applyFont="1" applyFill="1" applyBorder="1" applyAlignment="1">
      <alignment/>
    </xf>
    <xf numFmtId="3" fontId="28" fillId="0" borderId="27" xfId="0" applyNumberFormat="1" applyFont="1" applyFill="1" applyBorder="1" applyAlignment="1">
      <alignment/>
    </xf>
    <xf numFmtId="0" fontId="28" fillId="0" borderId="18" xfId="0" applyFont="1" applyFill="1" applyBorder="1" applyAlignment="1">
      <alignment/>
    </xf>
    <xf numFmtId="0" fontId="28" fillId="0" borderId="24" xfId="0" applyFont="1" applyFill="1" applyBorder="1" applyAlignment="1">
      <alignment/>
    </xf>
    <xf numFmtId="3" fontId="28" fillId="0" borderId="18" xfId="0" applyNumberFormat="1" applyFont="1" applyFill="1" applyBorder="1" applyAlignment="1">
      <alignment/>
    </xf>
    <xf numFmtId="3" fontId="28" fillId="0" borderId="19" xfId="0" applyNumberFormat="1" applyFont="1" applyFill="1" applyBorder="1" applyAlignment="1">
      <alignment/>
    </xf>
    <xf numFmtId="10" fontId="28" fillId="0" borderId="19" xfId="0" applyNumberFormat="1" applyFont="1" applyFill="1" applyBorder="1" applyAlignment="1">
      <alignment/>
    </xf>
    <xf numFmtId="3" fontId="28" fillId="0" borderId="24" xfId="0" applyNumberFormat="1" applyFont="1" applyFill="1" applyBorder="1" applyAlignment="1">
      <alignment/>
    </xf>
    <xf numFmtId="0" fontId="29" fillId="0" borderId="14" xfId="0" applyFont="1" applyBorder="1" applyAlignment="1">
      <alignment horizontal="center" wrapText="1"/>
    </xf>
    <xf numFmtId="9" fontId="29" fillId="16" borderId="15" xfId="0" applyNumberFormat="1" applyFont="1" applyFill="1" applyBorder="1" applyAlignment="1">
      <alignment horizontal="center" wrapText="1"/>
    </xf>
    <xf numFmtId="0" fontId="70" fillId="0" borderId="22" xfId="0" applyFont="1" applyFill="1" applyBorder="1" applyAlignment="1">
      <alignment/>
    </xf>
    <xf numFmtId="0" fontId="29" fillId="0" borderId="14" xfId="0" applyFont="1" applyBorder="1" applyAlignment="1">
      <alignment wrapText="1"/>
    </xf>
    <xf numFmtId="0" fontId="71" fillId="16" borderId="14" xfId="97" applyFont="1" applyFill="1" applyBorder="1" applyAlignment="1">
      <alignment horizontal="center" vertical="center"/>
      <protection/>
    </xf>
    <xf numFmtId="0" fontId="71" fillId="16" borderId="15" xfId="97" applyFont="1" applyFill="1" applyBorder="1" applyAlignment="1">
      <alignment horizontal="center" vertical="center"/>
      <protection/>
    </xf>
    <xf numFmtId="0" fontId="29" fillId="48" borderId="15" xfId="97" applyFont="1" applyFill="1" applyBorder="1" applyAlignment="1">
      <alignment horizontal="center" vertical="center"/>
      <protection/>
    </xf>
    <xf numFmtId="49" fontId="29" fillId="0" borderId="16" xfId="0" applyNumberFormat="1" applyFont="1" applyFill="1" applyBorder="1" applyAlignment="1">
      <alignment horizontal="center" vertical="top" wrapText="1"/>
    </xf>
    <xf numFmtId="49" fontId="29" fillId="0" borderId="11" xfId="0" applyNumberFormat="1" applyFont="1" applyFill="1" applyBorder="1" applyAlignment="1">
      <alignment horizontal="center" vertical="top" wrapText="1"/>
    </xf>
    <xf numFmtId="49" fontId="29" fillId="49" borderId="23" xfId="0" applyNumberFormat="1" applyFont="1" applyFill="1" applyBorder="1" applyAlignment="1">
      <alignment horizontal="center" vertical="top" wrapText="1"/>
    </xf>
    <xf numFmtId="0" fontId="72" fillId="0" borderId="0" xfId="0" applyFont="1" applyAlignment="1">
      <alignment/>
    </xf>
    <xf numFmtId="0" fontId="29" fillId="0" borderId="70" xfId="0" applyFont="1" applyFill="1" applyBorder="1" applyAlignment="1">
      <alignment horizontal="center" wrapText="1"/>
    </xf>
    <xf numFmtId="0" fontId="29" fillId="0" borderId="71" xfId="0" applyFont="1" applyFill="1" applyBorder="1" applyAlignment="1">
      <alignment horizontal="center" wrapText="1"/>
    </xf>
    <xf numFmtId="49" fontId="29" fillId="16" borderId="59" xfId="0" applyNumberFormat="1" applyFont="1" applyFill="1" applyBorder="1" applyAlignment="1">
      <alignment horizontal="center" wrapText="1"/>
    </xf>
    <xf numFmtId="0" fontId="29" fillId="0" borderId="70" xfId="0" applyFont="1" applyFill="1" applyBorder="1" applyAlignment="1">
      <alignment horizontal="center"/>
    </xf>
    <xf numFmtId="0" fontId="29" fillId="0" borderId="71" xfId="0" applyFont="1" applyFill="1" applyBorder="1" applyAlignment="1">
      <alignment/>
    </xf>
    <xf numFmtId="4" fontId="29" fillId="0" borderId="16" xfId="0" applyNumberFormat="1" applyFont="1" applyFill="1" applyBorder="1" applyAlignment="1">
      <alignment/>
    </xf>
    <xf numFmtId="3" fontId="29" fillId="49" borderId="23" xfId="0" applyNumberFormat="1" applyFont="1" applyFill="1" applyBorder="1" applyAlignment="1">
      <alignment/>
    </xf>
    <xf numFmtId="4" fontId="29" fillId="0" borderId="11" xfId="0" applyNumberFormat="1" applyFont="1" applyFill="1" applyBorder="1" applyAlignment="1">
      <alignment/>
    </xf>
    <xf numFmtId="0" fontId="29" fillId="0" borderId="72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4" fontId="29" fillId="0" borderId="26" xfId="0" applyNumberFormat="1" applyFont="1" applyFill="1" applyBorder="1" applyAlignment="1">
      <alignment/>
    </xf>
    <xf numFmtId="4" fontId="29" fillId="0" borderId="27" xfId="0" applyNumberFormat="1" applyFont="1" applyFill="1" applyBorder="1" applyAlignment="1">
      <alignment/>
    </xf>
    <xf numFmtId="0" fontId="29" fillId="0" borderId="40" xfId="0" applyFont="1" applyFill="1" applyBorder="1" applyAlignment="1">
      <alignment/>
    </xf>
    <xf numFmtId="0" fontId="70" fillId="0" borderId="40" xfId="0" applyFont="1" applyFill="1" applyBorder="1" applyAlignment="1">
      <alignment horizontal="left"/>
    </xf>
    <xf numFmtId="4" fontId="70" fillId="0" borderId="18" xfId="0" applyNumberFormat="1" applyFont="1" applyFill="1" applyBorder="1" applyAlignment="1">
      <alignment/>
    </xf>
    <xf numFmtId="3" fontId="70" fillId="49" borderId="24" xfId="0" applyNumberFormat="1" applyFont="1" applyFill="1" applyBorder="1" applyAlignment="1">
      <alignment/>
    </xf>
    <xf numFmtId="3" fontId="70" fillId="0" borderId="18" xfId="0" applyNumberFormat="1" applyFont="1" applyFill="1" applyBorder="1" applyAlignment="1">
      <alignment/>
    </xf>
    <xf numFmtId="4" fontId="70" fillId="0" borderId="19" xfId="0" applyNumberFormat="1" applyFont="1" applyFill="1" applyBorder="1" applyAlignment="1">
      <alignment/>
    </xf>
    <xf numFmtId="3" fontId="70" fillId="0" borderId="19" xfId="0" applyNumberFormat="1" applyFont="1" applyFill="1" applyBorder="1" applyAlignment="1">
      <alignment/>
    </xf>
    <xf numFmtId="0" fontId="29" fillId="48" borderId="73" xfId="123" applyFont="1" applyFill="1" applyBorder="1" applyAlignment="1">
      <alignment vertical="center" wrapText="1"/>
      <protection/>
    </xf>
    <xf numFmtId="182" fontId="29" fillId="0" borderId="11" xfId="0" applyNumberFormat="1" applyFont="1" applyFill="1" applyBorder="1" applyAlignment="1">
      <alignment/>
    </xf>
    <xf numFmtId="0" fontId="70" fillId="16" borderId="16" xfId="0" applyFont="1" applyFill="1" applyBorder="1" applyAlignment="1">
      <alignment/>
    </xf>
    <xf numFmtId="0" fontId="70" fillId="16" borderId="11" xfId="0" applyFont="1" applyFill="1" applyBorder="1" applyAlignment="1">
      <alignment/>
    </xf>
    <xf numFmtId="4" fontId="70" fillId="16" borderId="11" xfId="0" applyNumberFormat="1" applyFont="1" applyFill="1" applyBorder="1" applyAlignment="1">
      <alignment/>
    </xf>
    <xf numFmtId="0" fontId="32" fillId="33" borderId="47" xfId="0" applyFont="1" applyFill="1" applyBorder="1" applyAlignment="1">
      <alignment horizontal="center"/>
    </xf>
    <xf numFmtId="0" fontId="32" fillId="33" borderId="43" xfId="0" applyFont="1" applyFill="1" applyBorder="1" applyAlignment="1">
      <alignment horizontal="center"/>
    </xf>
    <xf numFmtId="0" fontId="32" fillId="33" borderId="49" xfId="0" applyFont="1" applyFill="1" applyBorder="1" applyAlignment="1">
      <alignment horizontal="center"/>
    </xf>
    <xf numFmtId="0" fontId="32" fillId="0" borderId="67" xfId="0" applyFont="1" applyFill="1" applyBorder="1" applyAlignment="1">
      <alignment horizontal="center"/>
    </xf>
    <xf numFmtId="0" fontId="32" fillId="0" borderId="74" xfId="0" applyFont="1" applyFill="1" applyBorder="1" applyAlignment="1">
      <alignment/>
    </xf>
    <xf numFmtId="4" fontId="32" fillId="33" borderId="64" xfId="0" applyNumberFormat="1" applyFont="1" applyFill="1" applyBorder="1" applyAlignment="1">
      <alignment/>
    </xf>
    <xf numFmtId="0" fontId="32" fillId="0" borderId="65" xfId="0" applyFont="1" applyFill="1" applyBorder="1" applyAlignment="1">
      <alignment horizontal="center"/>
    </xf>
    <xf numFmtId="0" fontId="32" fillId="0" borderId="72" xfId="0" applyFont="1" applyFill="1" applyBorder="1" applyAlignment="1">
      <alignment/>
    </xf>
    <xf numFmtId="4" fontId="32" fillId="33" borderId="66" xfId="0" applyNumberFormat="1" applyFont="1" applyFill="1" applyBorder="1" applyAlignment="1">
      <alignment/>
    </xf>
    <xf numFmtId="4" fontId="32" fillId="33" borderId="75" xfId="0" applyNumberFormat="1" applyFont="1" applyFill="1" applyBorder="1" applyAlignment="1">
      <alignment/>
    </xf>
    <xf numFmtId="0" fontId="32" fillId="0" borderId="76" xfId="0" applyFont="1" applyFill="1" applyBorder="1" applyAlignment="1">
      <alignment horizontal="center"/>
    </xf>
    <xf numFmtId="0" fontId="32" fillId="0" borderId="77" xfId="0" applyFont="1" applyFill="1" applyBorder="1" applyAlignment="1">
      <alignment/>
    </xf>
    <xf numFmtId="3" fontId="32" fillId="33" borderId="17" xfId="0" applyNumberFormat="1" applyFont="1" applyFill="1" applyBorder="1" applyAlignment="1">
      <alignment/>
    </xf>
    <xf numFmtId="4" fontId="32" fillId="33" borderId="17" xfId="0" applyNumberFormat="1" applyFont="1" applyFill="1" applyBorder="1" applyAlignment="1">
      <alignment/>
    </xf>
    <xf numFmtId="0" fontId="32" fillId="0" borderId="18" xfId="0" applyFont="1" applyFill="1" applyBorder="1" applyAlignment="1">
      <alignment/>
    </xf>
    <xf numFmtId="4" fontId="32" fillId="33" borderId="40" xfId="0" applyNumberFormat="1" applyFont="1" applyFill="1" applyBorder="1" applyAlignment="1">
      <alignment/>
    </xf>
    <xf numFmtId="0" fontId="65" fillId="0" borderId="0" xfId="0" applyFont="1" applyAlignment="1">
      <alignment/>
    </xf>
    <xf numFmtId="0" fontId="33" fillId="0" borderId="0" xfId="0" applyFont="1" applyAlignment="1">
      <alignment/>
    </xf>
    <xf numFmtId="0" fontId="29" fillId="0" borderId="0" xfId="123" applyFont="1">
      <alignment/>
      <protection/>
    </xf>
    <xf numFmtId="3" fontId="28" fillId="44" borderId="64" xfId="0" applyNumberFormat="1" applyFont="1" applyFill="1" applyBorder="1" applyAlignment="1">
      <alignment/>
    </xf>
    <xf numFmtId="182" fontId="28" fillId="0" borderId="0" xfId="0" applyNumberFormat="1" applyFont="1" applyAlignment="1">
      <alignment/>
    </xf>
    <xf numFmtId="4" fontId="28" fillId="0" borderId="0" xfId="0" applyNumberFormat="1" applyFont="1" applyAlignment="1">
      <alignment/>
    </xf>
    <xf numFmtId="0" fontId="28" fillId="0" borderId="0" xfId="123" applyFont="1">
      <alignment/>
      <protection/>
    </xf>
    <xf numFmtId="0" fontId="29" fillId="0" borderId="49" xfId="0" applyFont="1" applyFill="1" applyBorder="1" applyAlignment="1">
      <alignment horizontal="center"/>
    </xf>
    <xf numFmtId="0" fontId="29" fillId="0" borderId="21" xfId="0" applyFont="1" applyFill="1" applyBorder="1" applyAlignment="1">
      <alignment horizontal="center" wrapText="1"/>
    </xf>
    <xf numFmtId="0" fontId="29" fillId="0" borderId="52" xfId="0" applyFont="1" applyFill="1" applyBorder="1" applyAlignment="1">
      <alignment horizontal="center"/>
    </xf>
    <xf numFmtId="0" fontId="29" fillId="0" borderId="44" xfId="0" applyFont="1" applyFill="1" applyBorder="1" applyAlignment="1">
      <alignment horizontal="center"/>
    </xf>
    <xf numFmtId="3" fontId="64" fillId="0" borderId="34" xfId="0" applyNumberFormat="1" applyFont="1" applyFill="1" applyBorder="1" applyAlignment="1">
      <alignment/>
    </xf>
    <xf numFmtId="3" fontId="32" fillId="0" borderId="78" xfId="0" applyNumberFormat="1" applyFont="1" applyFill="1" applyBorder="1" applyAlignment="1">
      <alignment/>
    </xf>
    <xf numFmtId="3" fontId="32" fillId="0" borderId="15" xfId="0" applyNumberFormat="1" applyFont="1" applyFill="1" applyBorder="1" applyAlignment="1">
      <alignment/>
    </xf>
    <xf numFmtId="3" fontId="28" fillId="0" borderId="0" xfId="0" applyNumberFormat="1" applyFont="1" applyFill="1" applyAlignment="1">
      <alignment/>
    </xf>
    <xf numFmtId="3" fontId="64" fillId="0" borderId="23" xfId="0" applyNumberFormat="1" applyFont="1" applyFill="1" applyBorder="1" applyAlignment="1">
      <alignment/>
    </xf>
    <xf numFmtId="3" fontId="32" fillId="0" borderId="73" xfId="0" applyNumberFormat="1" applyFont="1" applyFill="1" applyBorder="1" applyAlignment="1">
      <alignment/>
    </xf>
    <xf numFmtId="3" fontId="32" fillId="0" borderId="11" xfId="0" applyNumberFormat="1" applyFont="1" applyFill="1" applyBorder="1" applyAlignment="1">
      <alignment/>
    </xf>
    <xf numFmtId="3" fontId="28" fillId="48" borderId="38" xfId="0" applyNumberFormat="1" applyFont="1" applyFill="1" applyBorder="1" applyAlignment="1">
      <alignment/>
    </xf>
    <xf numFmtId="3" fontId="28" fillId="48" borderId="79" xfId="0" applyNumberFormat="1" applyFont="1" applyFill="1" applyBorder="1" applyAlignment="1">
      <alignment/>
    </xf>
    <xf numFmtId="0" fontId="30" fillId="0" borderId="20" xfId="0" applyFont="1" applyFill="1" applyBorder="1" applyAlignment="1">
      <alignment/>
    </xf>
    <xf numFmtId="0" fontId="30" fillId="0" borderId="80" xfId="0" applyFont="1" applyFill="1" applyBorder="1" applyAlignment="1">
      <alignment/>
    </xf>
    <xf numFmtId="3" fontId="64" fillId="0" borderId="20" xfId="0" applyNumberFormat="1" applyFont="1" applyFill="1" applyBorder="1" applyAlignment="1">
      <alignment/>
    </xf>
    <xf numFmtId="3" fontId="64" fillId="0" borderId="21" xfId="0" applyNumberFormat="1" applyFont="1" applyFill="1" applyBorder="1" applyAlignment="1">
      <alignment/>
    </xf>
    <xf numFmtId="3" fontId="64" fillId="0" borderId="81" xfId="0" applyNumberFormat="1" applyFont="1" applyFill="1" applyBorder="1" applyAlignment="1">
      <alignment/>
    </xf>
    <xf numFmtId="3" fontId="64" fillId="0" borderId="82" xfId="0" applyNumberFormat="1" applyFont="1" applyFill="1" applyBorder="1" applyAlignment="1">
      <alignment/>
    </xf>
    <xf numFmtId="3" fontId="73" fillId="0" borderId="0" xfId="0" applyNumberFormat="1" applyFont="1" applyAlignment="1">
      <alignment/>
    </xf>
    <xf numFmtId="3" fontId="73" fillId="0" borderId="0" xfId="0" applyNumberFormat="1" applyFont="1" applyFill="1" applyBorder="1" applyAlignment="1">
      <alignment/>
    </xf>
    <xf numFmtId="0" fontId="64" fillId="0" borderId="0" xfId="0" applyFont="1" applyBorder="1" applyAlignment="1">
      <alignment/>
    </xf>
    <xf numFmtId="0" fontId="74" fillId="0" borderId="0" xfId="0" applyFont="1" applyAlignment="1">
      <alignment/>
    </xf>
    <xf numFmtId="0" fontId="34" fillId="0" borderId="0" xfId="0" applyFont="1" applyAlignment="1">
      <alignment/>
    </xf>
    <xf numFmtId="0" fontId="32" fillId="0" borderId="83" xfId="124" applyFont="1" applyBorder="1">
      <alignment/>
      <protection/>
    </xf>
    <xf numFmtId="0" fontId="28" fillId="0" borderId="46" xfId="0" applyFont="1" applyBorder="1" applyAlignment="1">
      <alignment/>
    </xf>
    <xf numFmtId="3" fontId="28" fillId="0" borderId="47" xfId="0" applyNumberFormat="1" applyFont="1" applyBorder="1" applyAlignment="1">
      <alignment/>
    </xf>
    <xf numFmtId="0" fontId="28" fillId="0" borderId="84" xfId="0" applyFont="1" applyBorder="1" applyAlignment="1">
      <alignment horizontal="center"/>
    </xf>
    <xf numFmtId="3" fontId="28" fillId="0" borderId="85" xfId="0" applyNumberFormat="1" applyFont="1" applyFill="1" applyBorder="1" applyAlignment="1">
      <alignment/>
    </xf>
    <xf numFmtId="3" fontId="28" fillId="0" borderId="59" xfId="0" applyNumberFormat="1" applyFont="1" applyBorder="1" applyAlignment="1">
      <alignment/>
    </xf>
    <xf numFmtId="0" fontId="70" fillId="0" borderId="0" xfId="0" applyFont="1" applyAlignment="1">
      <alignment/>
    </xf>
    <xf numFmtId="0" fontId="28" fillId="0" borderId="18" xfId="0" applyFont="1" applyBorder="1" applyAlignment="1">
      <alignment horizontal="center"/>
    </xf>
    <xf numFmtId="3" fontId="30" fillId="0" borderId="62" xfId="0" applyNumberFormat="1" applyFont="1" applyBorder="1" applyAlignment="1">
      <alignment/>
    </xf>
    <xf numFmtId="3" fontId="59" fillId="0" borderId="0" xfId="0" applyNumberFormat="1" applyFont="1" applyBorder="1" applyAlignment="1">
      <alignment/>
    </xf>
    <xf numFmtId="0" fontId="75" fillId="0" borderId="0" xfId="0" applyFont="1" applyAlignment="1">
      <alignment/>
    </xf>
    <xf numFmtId="0" fontId="65" fillId="0" borderId="0" xfId="0" applyFont="1" applyFill="1" applyBorder="1" applyAlignment="1">
      <alignment/>
    </xf>
    <xf numFmtId="0" fontId="59" fillId="0" borderId="0" xfId="0" applyFont="1" applyAlignment="1">
      <alignment/>
    </xf>
    <xf numFmtId="0" fontId="28" fillId="0" borderId="53" xfId="0" applyFont="1" applyBorder="1" applyAlignment="1">
      <alignment horizontal="center"/>
    </xf>
    <xf numFmtId="0" fontId="28" fillId="0" borderId="55" xfId="0" applyFont="1" applyBorder="1" applyAlignment="1">
      <alignment/>
    </xf>
    <xf numFmtId="3" fontId="28" fillId="0" borderId="56" xfId="0" applyNumberFormat="1" applyFont="1" applyBorder="1" applyAlignment="1">
      <alignment/>
    </xf>
    <xf numFmtId="3" fontId="76" fillId="0" borderId="0" xfId="0" applyNumberFormat="1" applyFont="1" applyAlignment="1">
      <alignment/>
    </xf>
    <xf numFmtId="0" fontId="57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25" xfId="0" applyFont="1" applyBorder="1" applyAlignment="1">
      <alignment horizontal="center"/>
    </xf>
    <xf numFmtId="3" fontId="38" fillId="0" borderId="47" xfId="0" applyNumberFormat="1" applyFont="1" applyBorder="1" applyAlignment="1">
      <alignment/>
    </xf>
    <xf numFmtId="3" fontId="59" fillId="0" borderId="0" xfId="0" applyNumberFormat="1" applyFont="1" applyAlignment="1">
      <alignment/>
    </xf>
    <xf numFmtId="0" fontId="28" fillId="0" borderId="37" xfId="0" applyFont="1" applyBorder="1" applyAlignment="1">
      <alignment horizontal="center"/>
    </xf>
    <xf numFmtId="0" fontId="28" fillId="0" borderId="86" xfId="0" applyFont="1" applyBorder="1" applyAlignment="1">
      <alignment/>
    </xf>
    <xf numFmtId="3" fontId="28" fillId="0" borderId="75" xfId="0" applyNumberFormat="1" applyFont="1" applyBorder="1" applyAlignment="1">
      <alignment/>
    </xf>
    <xf numFmtId="3" fontId="30" fillId="0" borderId="0" xfId="0" applyNumberFormat="1" applyFont="1" applyAlignment="1">
      <alignment/>
    </xf>
    <xf numFmtId="0" fontId="28" fillId="0" borderId="0" xfId="0" applyFont="1" applyBorder="1" applyAlignment="1">
      <alignment horizontal="center"/>
    </xf>
    <xf numFmtId="0" fontId="59" fillId="0" borderId="0" xfId="0" applyFont="1" applyFill="1" applyAlignment="1">
      <alignment/>
    </xf>
    <xf numFmtId="0" fontId="28" fillId="0" borderId="87" xfId="0" applyFont="1" applyFill="1" applyBorder="1" applyAlignment="1">
      <alignment horizontal="left"/>
    </xf>
    <xf numFmtId="0" fontId="28" fillId="0" borderId="88" xfId="0" applyFont="1" applyFill="1" applyBorder="1" applyAlignment="1">
      <alignment/>
    </xf>
    <xf numFmtId="0" fontId="30" fillId="0" borderId="88" xfId="0" applyFont="1" applyFill="1" applyBorder="1" applyAlignment="1">
      <alignment/>
    </xf>
    <xf numFmtId="0" fontId="30" fillId="0" borderId="89" xfId="0" applyFont="1" applyFill="1" applyBorder="1" applyAlignment="1">
      <alignment/>
    </xf>
    <xf numFmtId="0" fontId="28" fillId="0" borderId="84" xfId="0" applyFont="1" applyFill="1" applyBorder="1" applyAlignment="1">
      <alignment horizontal="center"/>
    </xf>
    <xf numFmtId="0" fontId="28" fillId="0" borderId="90" xfId="0" applyFont="1" applyFill="1" applyBorder="1" applyAlignment="1">
      <alignment/>
    </xf>
    <xf numFmtId="0" fontId="28" fillId="0" borderId="91" xfId="0" applyFont="1" applyFill="1" applyBorder="1" applyAlignment="1">
      <alignment/>
    </xf>
    <xf numFmtId="0" fontId="30" fillId="0" borderId="91" xfId="0" applyFont="1" applyFill="1" applyBorder="1" applyAlignment="1">
      <alignment/>
    </xf>
    <xf numFmtId="0" fontId="30" fillId="0" borderId="92" xfId="0" applyFont="1" applyFill="1" applyBorder="1" applyAlignment="1">
      <alignment/>
    </xf>
    <xf numFmtId="3" fontId="30" fillId="0" borderId="85" xfId="0" applyNumberFormat="1" applyFont="1" applyFill="1" applyBorder="1" applyAlignment="1">
      <alignment/>
    </xf>
    <xf numFmtId="0" fontId="28" fillId="0" borderId="93" xfId="0" applyFont="1" applyFill="1" applyBorder="1" applyAlignment="1">
      <alignment horizontal="center"/>
    </xf>
    <xf numFmtId="0" fontId="28" fillId="0" borderId="94" xfId="0" applyFont="1" applyFill="1" applyBorder="1" applyAlignment="1">
      <alignment/>
    </xf>
    <xf numFmtId="0" fontId="28" fillId="0" borderId="95" xfId="0" applyFont="1" applyFill="1" applyBorder="1" applyAlignment="1">
      <alignment/>
    </xf>
    <xf numFmtId="0" fontId="30" fillId="0" borderId="95" xfId="0" applyFont="1" applyFill="1" applyBorder="1" applyAlignment="1">
      <alignment/>
    </xf>
    <xf numFmtId="0" fontId="30" fillId="0" borderId="96" xfId="0" applyFont="1" applyFill="1" applyBorder="1" applyAlignment="1">
      <alignment/>
    </xf>
    <xf numFmtId="3" fontId="30" fillId="0" borderId="97" xfId="0" applyNumberFormat="1" applyFont="1" applyFill="1" applyBorder="1" applyAlignment="1">
      <alignment/>
    </xf>
    <xf numFmtId="0" fontId="53" fillId="0" borderId="0" xfId="0" applyFont="1" applyAlignment="1">
      <alignment/>
    </xf>
    <xf numFmtId="0" fontId="28" fillId="0" borderId="18" xfId="0" applyFont="1" applyFill="1" applyBorder="1" applyAlignment="1">
      <alignment horizontal="center"/>
    </xf>
    <xf numFmtId="0" fontId="30" fillId="0" borderId="98" xfId="0" applyFont="1" applyFill="1" applyBorder="1" applyAlignment="1">
      <alignment/>
    </xf>
    <xf numFmtId="0" fontId="30" fillId="0" borderId="99" xfId="0" applyFont="1" applyFill="1" applyBorder="1" applyAlignment="1">
      <alignment/>
    </xf>
    <xf numFmtId="0" fontId="30" fillId="0" borderId="100" xfId="0" applyFont="1" applyFill="1" applyBorder="1" applyAlignment="1">
      <alignment/>
    </xf>
    <xf numFmtId="3" fontId="30" fillId="0" borderId="0" xfId="0" applyNumberFormat="1" applyFont="1" applyFill="1" applyAlignment="1">
      <alignment/>
    </xf>
    <xf numFmtId="2" fontId="53" fillId="0" borderId="0" xfId="0" applyNumberFormat="1" applyFont="1" applyAlignment="1">
      <alignment/>
    </xf>
    <xf numFmtId="0" fontId="63" fillId="0" borderId="0" xfId="0" applyFont="1" applyFill="1" applyAlignment="1">
      <alignment/>
    </xf>
    <xf numFmtId="2" fontId="63" fillId="0" borderId="0" xfId="0" applyNumberFormat="1" applyFont="1" applyFill="1" applyAlignment="1">
      <alignment/>
    </xf>
    <xf numFmtId="0" fontId="57" fillId="0" borderId="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7" fillId="0" borderId="0" xfId="0" applyFont="1" applyFill="1" applyAlignment="1">
      <alignment/>
    </xf>
    <xf numFmtId="0" fontId="57" fillId="0" borderId="58" xfId="0" applyFont="1" applyFill="1" applyBorder="1" applyAlignment="1">
      <alignment/>
    </xf>
    <xf numFmtId="180" fontId="77" fillId="0" borderId="0" xfId="0" applyNumberFormat="1" applyFont="1" applyFill="1" applyBorder="1" applyAlignment="1">
      <alignment/>
    </xf>
    <xf numFmtId="180" fontId="77" fillId="0" borderId="43" xfId="0" applyNumberFormat="1" applyFont="1" applyFill="1" applyBorder="1" applyAlignment="1">
      <alignment/>
    </xf>
    <xf numFmtId="0" fontId="57" fillId="0" borderId="60" xfId="0" applyFont="1" applyFill="1" applyBorder="1" applyAlignment="1">
      <alignment/>
    </xf>
    <xf numFmtId="0" fontId="60" fillId="0" borderId="43" xfId="0" applyFont="1" applyFill="1" applyBorder="1" applyAlignment="1">
      <alignment horizontal="center"/>
    </xf>
    <xf numFmtId="0" fontId="38" fillId="0" borderId="43" xfId="0" applyFont="1" applyFill="1" applyBorder="1" applyAlignment="1">
      <alignment horizontal="center"/>
    </xf>
    <xf numFmtId="0" fontId="38" fillId="0" borderId="101" xfId="0" applyFont="1" applyFill="1" applyBorder="1" applyAlignment="1">
      <alignment horizontal="center" wrapText="1"/>
    </xf>
    <xf numFmtId="0" fontId="38" fillId="0" borderId="102" xfId="0" applyFont="1" applyFill="1" applyBorder="1" applyAlignment="1">
      <alignment horizontal="center"/>
    </xf>
    <xf numFmtId="0" fontId="38" fillId="0" borderId="46" xfId="0" applyFont="1" applyFill="1" applyBorder="1" applyAlignment="1">
      <alignment horizontal="center"/>
    </xf>
    <xf numFmtId="0" fontId="60" fillId="0" borderId="43" xfId="0" applyFont="1" applyFill="1" applyBorder="1" applyAlignment="1">
      <alignment horizontal="left"/>
    </xf>
    <xf numFmtId="0" fontId="60" fillId="0" borderId="34" xfId="0" applyFont="1" applyFill="1" applyBorder="1" applyAlignment="1">
      <alignment horizontal="center"/>
    </xf>
    <xf numFmtId="0" fontId="77" fillId="0" borderId="0" xfId="0" applyFont="1" applyFill="1" applyAlignment="1">
      <alignment/>
    </xf>
    <xf numFmtId="0" fontId="38" fillId="0" borderId="58" xfId="0" applyFont="1" applyFill="1" applyBorder="1" applyAlignment="1">
      <alignment/>
    </xf>
    <xf numFmtId="0" fontId="38" fillId="0" borderId="103" xfId="0" applyFont="1" applyFill="1" applyBorder="1" applyAlignment="1">
      <alignment horizontal="center" wrapText="1"/>
    </xf>
    <xf numFmtId="0" fontId="38" fillId="0" borderId="104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60" fillId="0" borderId="58" xfId="0" applyFont="1" applyFill="1" applyBorder="1" applyAlignment="1">
      <alignment horizontal="left"/>
    </xf>
    <xf numFmtId="0" fontId="60" fillId="0" borderId="35" xfId="0" applyFont="1" applyFill="1" applyBorder="1" applyAlignment="1">
      <alignment horizontal="center"/>
    </xf>
    <xf numFmtId="0" fontId="60" fillId="0" borderId="49" xfId="0" applyFont="1" applyFill="1" applyBorder="1" applyAlignment="1">
      <alignment/>
    </xf>
    <xf numFmtId="0" fontId="38" fillId="0" borderId="105" xfId="0" applyFont="1" applyFill="1" applyBorder="1" applyAlignment="1">
      <alignment horizontal="center" wrapText="1"/>
    </xf>
    <xf numFmtId="0" fontId="38" fillId="0" borderId="106" xfId="0" applyFont="1" applyFill="1" applyBorder="1" applyAlignment="1">
      <alignment horizontal="center"/>
    </xf>
    <xf numFmtId="0" fontId="38" fillId="0" borderId="44" xfId="0" applyFont="1" applyFill="1" applyBorder="1" applyAlignment="1">
      <alignment horizontal="center"/>
    </xf>
    <xf numFmtId="0" fontId="38" fillId="0" borderId="107" xfId="0" applyFont="1" applyFill="1" applyBorder="1" applyAlignment="1">
      <alignment horizontal="center"/>
    </xf>
    <xf numFmtId="0" fontId="38" fillId="44" borderId="97" xfId="0" applyFont="1" applyFill="1" applyBorder="1" applyAlignment="1">
      <alignment horizontal="center"/>
    </xf>
    <xf numFmtId="0" fontId="60" fillId="0" borderId="49" xfId="0" applyFont="1" applyFill="1" applyBorder="1" applyAlignment="1">
      <alignment horizontal="left"/>
    </xf>
    <xf numFmtId="0" fontId="60" fillId="0" borderId="42" xfId="0" applyFont="1" applyFill="1" applyBorder="1" applyAlignment="1">
      <alignment/>
    </xf>
    <xf numFmtId="0" fontId="38" fillId="0" borderId="108" xfId="0" applyFont="1" applyFill="1" applyBorder="1" applyAlignment="1">
      <alignment/>
    </xf>
    <xf numFmtId="0" fontId="38" fillId="0" borderId="87" xfId="0" applyFont="1" applyFill="1" applyBorder="1" applyAlignment="1">
      <alignment horizontal="center"/>
    </xf>
    <xf numFmtId="0" fontId="38" fillId="0" borderId="88" xfId="0" applyFont="1" applyFill="1" applyBorder="1" applyAlignment="1">
      <alignment horizontal="center"/>
    </xf>
    <xf numFmtId="1" fontId="38" fillId="0" borderId="89" xfId="0" applyNumberFormat="1" applyFont="1" applyFill="1" applyBorder="1" applyAlignment="1">
      <alignment horizontal="center"/>
    </xf>
    <xf numFmtId="1" fontId="38" fillId="0" borderId="108" xfId="0" applyNumberFormat="1" applyFont="1" applyFill="1" applyBorder="1" applyAlignment="1">
      <alignment horizontal="center"/>
    </xf>
    <xf numFmtId="0" fontId="38" fillId="0" borderId="58" xfId="0" applyFont="1" applyFill="1" applyBorder="1" applyAlignment="1">
      <alignment horizontal="left"/>
    </xf>
    <xf numFmtId="0" fontId="38" fillId="0" borderId="35" xfId="0" applyFont="1" applyFill="1" applyBorder="1" applyAlignment="1">
      <alignment/>
    </xf>
    <xf numFmtId="0" fontId="38" fillId="0" borderId="109" xfId="0" applyFont="1" applyFill="1" applyBorder="1" applyAlignment="1">
      <alignment/>
    </xf>
    <xf numFmtId="0" fontId="38" fillId="0" borderId="110" xfId="0" applyFont="1" applyFill="1" applyBorder="1" applyAlignment="1">
      <alignment horizontal="center"/>
    </xf>
    <xf numFmtId="0" fontId="38" fillId="0" borderId="111" xfId="0" applyFont="1" applyFill="1" applyBorder="1" applyAlignment="1">
      <alignment horizontal="center"/>
    </xf>
    <xf numFmtId="0" fontId="38" fillId="0" borderId="112" xfId="0" applyFont="1" applyFill="1" applyBorder="1" applyAlignment="1">
      <alignment horizontal="center"/>
    </xf>
    <xf numFmtId="0" fontId="38" fillId="0" borderId="109" xfId="0" applyFont="1" applyFill="1" applyBorder="1" applyAlignment="1">
      <alignment horizontal="center"/>
    </xf>
    <xf numFmtId="0" fontId="38" fillId="44" borderId="113" xfId="0" applyFont="1" applyFill="1" applyBorder="1" applyAlignment="1">
      <alignment horizontal="center"/>
    </xf>
    <xf numFmtId="3" fontId="38" fillId="0" borderId="87" xfId="0" applyNumberFormat="1" applyFont="1" applyFill="1" applyBorder="1" applyAlignment="1">
      <alignment/>
    </xf>
    <xf numFmtId="3" fontId="38" fillId="0" borderId="88" xfId="0" applyNumberFormat="1" applyFont="1" applyFill="1" applyBorder="1" applyAlignment="1">
      <alignment/>
    </xf>
    <xf numFmtId="10" fontId="38" fillId="0" borderId="88" xfId="0" applyNumberFormat="1" applyFont="1" applyFill="1" applyBorder="1" applyAlignment="1">
      <alignment/>
    </xf>
    <xf numFmtId="3" fontId="38" fillId="0" borderId="89" xfId="0" applyNumberFormat="1" applyFont="1" applyFill="1" applyBorder="1" applyAlignment="1">
      <alignment/>
    </xf>
    <xf numFmtId="3" fontId="38" fillId="0" borderId="43" xfId="0" applyNumberFormat="1" applyFont="1" applyFill="1" applyBorder="1" applyAlignment="1">
      <alignment horizontal="left"/>
    </xf>
    <xf numFmtId="3" fontId="38" fillId="0" borderId="34" xfId="0" applyNumberFormat="1" applyFont="1" applyFill="1" applyBorder="1" applyAlignment="1">
      <alignment/>
    </xf>
    <xf numFmtId="0" fontId="38" fillId="0" borderId="114" xfId="0" applyFont="1" applyFill="1" applyBorder="1" applyAlignment="1">
      <alignment/>
    </xf>
    <xf numFmtId="3" fontId="38" fillId="0" borderId="90" xfId="0" applyNumberFormat="1" applyFont="1" applyFill="1" applyBorder="1" applyAlignment="1">
      <alignment/>
    </xf>
    <xf numFmtId="3" fontId="38" fillId="0" borderId="91" xfId="0" applyNumberFormat="1" applyFont="1" applyFill="1" applyBorder="1" applyAlignment="1">
      <alignment/>
    </xf>
    <xf numFmtId="10" fontId="38" fillId="0" borderId="91" xfId="0" applyNumberFormat="1" applyFont="1" applyFill="1" applyBorder="1" applyAlignment="1">
      <alignment/>
    </xf>
    <xf numFmtId="3" fontId="38" fillId="0" borderId="92" xfId="0" applyNumberFormat="1" applyFont="1" applyFill="1" applyBorder="1" applyAlignment="1">
      <alignment/>
    </xf>
    <xf numFmtId="3" fontId="38" fillId="0" borderId="114" xfId="0" applyNumberFormat="1" applyFont="1" applyFill="1" applyBorder="1" applyAlignment="1">
      <alignment/>
    </xf>
    <xf numFmtId="3" fontId="38" fillId="0" borderId="114" xfId="0" applyNumberFormat="1" applyFont="1" applyFill="1" applyBorder="1" applyAlignment="1">
      <alignment horizontal="left"/>
    </xf>
    <xf numFmtId="3" fontId="38" fillId="0" borderId="115" xfId="0" applyNumberFormat="1" applyFont="1" applyFill="1" applyBorder="1" applyAlignment="1">
      <alignment/>
    </xf>
    <xf numFmtId="3" fontId="38" fillId="0" borderId="116" xfId="0" applyNumberFormat="1" applyFont="1" applyFill="1" applyBorder="1" applyAlignment="1">
      <alignment horizontal="left"/>
    </xf>
    <xf numFmtId="3" fontId="38" fillId="0" borderId="117" xfId="0" applyNumberFormat="1" applyFont="1" applyFill="1" applyBorder="1" applyAlignment="1">
      <alignment/>
    </xf>
    <xf numFmtId="3" fontId="60" fillId="44" borderId="58" xfId="0" applyNumberFormat="1" applyFont="1" applyFill="1" applyBorder="1" applyAlignment="1">
      <alignment horizontal="left"/>
    </xf>
    <xf numFmtId="3" fontId="38" fillId="44" borderId="35" xfId="0" applyNumberFormat="1" applyFont="1" applyFill="1" applyBorder="1" applyAlignment="1">
      <alignment/>
    </xf>
    <xf numFmtId="3" fontId="60" fillId="44" borderId="49" xfId="0" applyNumberFormat="1" applyFont="1" applyFill="1" applyBorder="1" applyAlignment="1">
      <alignment horizontal="left"/>
    </xf>
    <xf numFmtId="3" fontId="38" fillId="44" borderId="42" xfId="0" applyNumberFormat="1" applyFont="1" applyFill="1" applyBorder="1" applyAlignment="1">
      <alignment/>
    </xf>
    <xf numFmtId="0" fontId="28" fillId="0" borderId="114" xfId="93" applyFont="1" applyFill="1" applyBorder="1">
      <alignment/>
      <protection/>
    </xf>
    <xf numFmtId="3" fontId="28" fillId="0" borderId="91" xfId="93" applyNumberFormat="1" applyFont="1" applyFill="1" applyBorder="1">
      <alignment/>
      <protection/>
    </xf>
    <xf numFmtId="3" fontId="77" fillId="0" borderId="0" xfId="0" applyNumberFormat="1" applyFont="1" applyFill="1" applyBorder="1" applyAlignment="1">
      <alignment horizontal="left"/>
    </xf>
    <xf numFmtId="3" fontId="57" fillId="0" borderId="0" xfId="0" applyNumberFormat="1" applyFont="1" applyFill="1" applyBorder="1" applyAlignment="1">
      <alignment/>
    </xf>
    <xf numFmtId="0" fontId="28" fillId="0" borderId="114" xfId="0" applyFont="1" applyFill="1" applyBorder="1" applyAlignment="1">
      <alignment/>
    </xf>
    <xf numFmtId="0" fontId="31" fillId="0" borderId="114" xfId="0" applyFont="1" applyFill="1" applyBorder="1" applyAlignment="1">
      <alignment/>
    </xf>
    <xf numFmtId="3" fontId="70" fillId="0" borderId="0" xfId="0" applyNumberFormat="1" applyFont="1" applyFill="1" applyBorder="1" applyAlignment="1">
      <alignment horizontal="right"/>
    </xf>
    <xf numFmtId="0" fontId="60" fillId="0" borderId="109" xfId="0" applyFont="1" applyFill="1" applyBorder="1" applyAlignment="1">
      <alignment/>
    </xf>
    <xf numFmtId="3" fontId="60" fillId="0" borderId="110" xfId="0" applyNumberFormat="1" applyFont="1" applyFill="1" applyBorder="1" applyAlignment="1">
      <alignment/>
    </xf>
    <xf numFmtId="3" fontId="60" fillId="0" borderId="111" xfId="0" applyNumberFormat="1" applyFont="1" applyFill="1" applyBorder="1" applyAlignment="1">
      <alignment/>
    </xf>
    <xf numFmtId="10" fontId="60" fillId="0" borderId="111" xfId="0" applyNumberFormat="1" applyFont="1" applyFill="1" applyBorder="1" applyAlignment="1">
      <alignment/>
    </xf>
    <xf numFmtId="3" fontId="60" fillId="0" borderId="112" xfId="0" applyNumberFormat="1" applyFont="1" applyFill="1" applyBorder="1" applyAlignment="1">
      <alignment/>
    </xf>
    <xf numFmtId="3" fontId="60" fillId="0" borderId="109" xfId="0" applyNumberFormat="1" applyFont="1" applyFill="1" applyBorder="1" applyAlignment="1">
      <alignment/>
    </xf>
    <xf numFmtId="3" fontId="29" fillId="0" borderId="0" xfId="0" applyNumberFormat="1" applyFont="1" applyFill="1" applyAlignment="1">
      <alignment horizontal="right"/>
    </xf>
    <xf numFmtId="0" fontId="53" fillId="0" borderId="0" xfId="0" applyFont="1" applyFill="1" applyAlignment="1">
      <alignment/>
    </xf>
    <xf numFmtId="0" fontId="74" fillId="0" borderId="0" xfId="0" applyFont="1" applyFill="1" applyAlignment="1">
      <alignment horizontal="left"/>
    </xf>
    <xf numFmtId="3" fontId="29" fillId="0" borderId="0" xfId="0" applyNumberFormat="1" applyFont="1" applyFill="1" applyAlignment="1">
      <alignment/>
    </xf>
    <xf numFmtId="0" fontId="57" fillId="0" borderId="14" xfId="0" applyFont="1" applyFill="1" applyBorder="1" applyAlignment="1">
      <alignment horizontal="center"/>
    </xf>
    <xf numFmtId="3" fontId="29" fillId="0" borderId="22" xfId="0" applyNumberFormat="1" applyFont="1" applyFill="1" applyBorder="1" applyAlignment="1">
      <alignment/>
    </xf>
    <xf numFmtId="0" fontId="57" fillId="0" borderId="16" xfId="0" applyFont="1" applyFill="1" applyBorder="1" applyAlignment="1">
      <alignment horizontal="center"/>
    </xf>
    <xf numFmtId="3" fontId="57" fillId="0" borderId="23" xfId="0" applyNumberFormat="1" applyFont="1" applyFill="1" applyBorder="1" applyAlignment="1">
      <alignment/>
    </xf>
    <xf numFmtId="0" fontId="57" fillId="0" borderId="20" xfId="0" applyFont="1" applyFill="1" applyBorder="1" applyAlignment="1">
      <alignment horizontal="center"/>
    </xf>
    <xf numFmtId="3" fontId="78" fillId="37" borderId="81" xfId="0" applyNumberFormat="1" applyFont="1" applyFill="1" applyBorder="1" applyAlignment="1">
      <alignment/>
    </xf>
    <xf numFmtId="2" fontId="57" fillId="0" borderId="0" xfId="0" applyNumberFormat="1" applyFont="1" applyFill="1" applyAlignment="1">
      <alignment/>
    </xf>
    <xf numFmtId="0" fontId="79" fillId="0" borderId="0" xfId="0" applyFont="1" applyFill="1" applyAlignment="1">
      <alignment/>
    </xf>
    <xf numFmtId="0" fontId="57" fillId="0" borderId="0" xfId="0" applyFont="1" applyFill="1" applyBorder="1" applyAlignment="1">
      <alignment horizontal="center"/>
    </xf>
    <xf numFmtId="0" fontId="57" fillId="0" borderId="0" xfId="0" applyFont="1" applyFill="1" applyAlignment="1">
      <alignment horizontal="center"/>
    </xf>
    <xf numFmtId="1" fontId="57" fillId="0" borderId="0" xfId="0" applyNumberFormat="1" applyFont="1" applyFill="1" applyBorder="1" applyAlignment="1">
      <alignment/>
    </xf>
    <xf numFmtId="1" fontId="57" fillId="0" borderId="0" xfId="0" applyNumberFormat="1" applyFont="1" applyFill="1" applyAlignment="1">
      <alignment/>
    </xf>
    <xf numFmtId="3" fontId="57" fillId="0" borderId="0" xfId="0" applyNumberFormat="1" applyFont="1" applyFill="1" applyAlignment="1">
      <alignment/>
    </xf>
    <xf numFmtId="0" fontId="80" fillId="0" borderId="0" xfId="0" applyFont="1" applyAlignment="1">
      <alignment/>
    </xf>
    <xf numFmtId="0" fontId="69" fillId="0" borderId="0" xfId="0" applyFont="1" applyAlignment="1">
      <alignment/>
    </xf>
    <xf numFmtId="0" fontId="28" fillId="0" borderId="45" xfId="0" applyFont="1" applyBorder="1" applyAlignment="1">
      <alignment/>
    </xf>
    <xf numFmtId="0" fontId="28" fillId="0" borderId="58" xfId="0" applyFont="1" applyBorder="1" applyAlignment="1">
      <alignment/>
    </xf>
    <xf numFmtId="0" fontId="28" fillId="0" borderId="118" xfId="0" applyFont="1" applyBorder="1" applyAlignment="1">
      <alignment horizontal="center"/>
    </xf>
    <xf numFmtId="0" fontId="28" fillId="0" borderId="49" xfId="0" applyFont="1" applyBorder="1" applyAlignment="1">
      <alignment horizontal="center"/>
    </xf>
    <xf numFmtId="0" fontId="28" fillId="0" borderId="50" xfId="0" applyFont="1" applyBorder="1" applyAlignment="1">
      <alignment/>
    </xf>
    <xf numFmtId="0" fontId="28" fillId="0" borderId="44" xfId="0" applyFont="1" applyBorder="1" applyAlignment="1">
      <alignment/>
    </xf>
    <xf numFmtId="0" fontId="28" fillId="0" borderId="44" xfId="0" applyFont="1" applyBorder="1" applyAlignment="1">
      <alignment horizontal="center"/>
    </xf>
    <xf numFmtId="0" fontId="28" fillId="0" borderId="119" xfId="0" applyFont="1" applyBorder="1" applyAlignment="1">
      <alignment horizontal="center"/>
    </xf>
    <xf numFmtId="0" fontId="39" fillId="0" borderId="120" xfId="0" applyFont="1" applyBorder="1" applyAlignment="1">
      <alignment horizontal="center"/>
    </xf>
    <xf numFmtId="0" fontId="28" fillId="0" borderId="58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3" fontId="28" fillId="0" borderId="88" xfId="0" applyNumberFormat="1" applyFont="1" applyBorder="1" applyAlignment="1">
      <alignment/>
    </xf>
    <xf numFmtId="3" fontId="39" fillId="0" borderId="121" xfId="0" applyNumberFormat="1" applyFont="1" applyBorder="1" applyAlignment="1">
      <alignment/>
    </xf>
    <xf numFmtId="3" fontId="28" fillId="50" borderId="25" xfId="0" applyNumberFormat="1" applyFont="1" applyFill="1" applyBorder="1" applyAlignment="1">
      <alignment/>
    </xf>
    <xf numFmtId="3" fontId="28" fillId="0" borderId="0" xfId="0" applyNumberFormat="1" applyFont="1" applyBorder="1" applyAlignment="1">
      <alignment/>
    </xf>
    <xf numFmtId="3" fontId="69" fillId="0" borderId="0" xfId="0" applyNumberFormat="1" applyFont="1" applyFill="1" applyBorder="1" applyAlignment="1">
      <alignment/>
    </xf>
    <xf numFmtId="3" fontId="81" fillId="0" borderId="0" xfId="0" applyNumberFormat="1" applyFont="1" applyFill="1" applyBorder="1" applyAlignment="1">
      <alignment/>
    </xf>
    <xf numFmtId="0" fontId="28" fillId="0" borderId="114" xfId="0" applyFont="1" applyBorder="1" applyAlignment="1">
      <alignment horizontal="center"/>
    </xf>
    <xf numFmtId="0" fontId="28" fillId="0" borderId="122" xfId="0" applyFont="1" applyBorder="1" applyAlignment="1">
      <alignment horizontal="center"/>
    </xf>
    <xf numFmtId="3" fontId="28" fillId="0" borderId="123" xfId="0" applyNumberFormat="1" applyFont="1" applyBorder="1" applyAlignment="1">
      <alignment/>
    </xf>
    <xf numFmtId="3" fontId="39" fillId="0" borderId="124" xfId="0" applyNumberFormat="1" applyFont="1" applyBorder="1" applyAlignment="1">
      <alignment/>
    </xf>
    <xf numFmtId="3" fontId="28" fillId="50" borderId="84" xfId="0" applyNumberFormat="1" applyFont="1" applyFill="1" applyBorder="1" applyAlignment="1">
      <alignment/>
    </xf>
    <xf numFmtId="3" fontId="28" fillId="0" borderId="90" xfId="0" applyNumberFormat="1" applyFont="1" applyBorder="1" applyAlignment="1">
      <alignment/>
    </xf>
    <xf numFmtId="3" fontId="28" fillId="0" borderId="91" xfId="0" applyNumberFormat="1" applyFont="1" applyBorder="1" applyAlignment="1">
      <alignment/>
    </xf>
    <xf numFmtId="0" fontId="28" fillId="0" borderId="125" xfId="0" applyFont="1" applyBorder="1" applyAlignment="1">
      <alignment horizontal="center"/>
    </xf>
    <xf numFmtId="3" fontId="39" fillId="0" borderId="126" xfId="0" applyNumberFormat="1" applyFont="1" applyBorder="1" applyAlignment="1">
      <alignment/>
    </xf>
    <xf numFmtId="3" fontId="28" fillId="50" borderId="26" xfId="0" applyNumberFormat="1" applyFont="1" applyFill="1" applyBorder="1" applyAlignment="1">
      <alignment/>
    </xf>
    <xf numFmtId="3" fontId="82" fillId="33" borderId="18" xfId="0" applyNumberFormat="1" applyFont="1" applyFill="1" applyBorder="1" applyAlignment="1">
      <alignment/>
    </xf>
    <xf numFmtId="0" fontId="61" fillId="0" borderId="0" xfId="0" applyFont="1" applyAlignment="1">
      <alignment/>
    </xf>
    <xf numFmtId="0" fontId="28" fillId="0" borderId="127" xfId="0" applyFont="1" applyBorder="1" applyAlignment="1">
      <alignment horizontal="center"/>
    </xf>
    <xf numFmtId="0" fontId="28" fillId="0" borderId="128" xfId="0" applyFont="1" applyBorder="1" applyAlignment="1">
      <alignment horizontal="center"/>
    </xf>
    <xf numFmtId="3" fontId="30" fillId="33" borderId="129" xfId="0" applyNumberFormat="1" applyFont="1" applyFill="1" applyBorder="1" applyAlignment="1">
      <alignment/>
    </xf>
    <xf numFmtId="3" fontId="28" fillId="0" borderId="130" xfId="0" applyNumberFormat="1" applyFont="1" applyBorder="1" applyAlignment="1">
      <alignment/>
    </xf>
    <xf numFmtId="3" fontId="28" fillId="0" borderId="131" xfId="0" applyNumberFormat="1" applyFont="1" applyBorder="1" applyAlignment="1">
      <alignment/>
    </xf>
    <xf numFmtId="3" fontId="39" fillId="0" borderId="132" xfId="0" applyNumberFormat="1" applyFont="1" applyBorder="1" applyAlignment="1">
      <alignment/>
    </xf>
    <xf numFmtId="3" fontId="39" fillId="0" borderId="92" xfId="0" applyNumberFormat="1" applyFont="1" applyBorder="1" applyAlignment="1">
      <alignment/>
    </xf>
    <xf numFmtId="0" fontId="30" fillId="0" borderId="32" xfId="0" applyFont="1" applyBorder="1" applyAlignment="1">
      <alignment/>
    </xf>
    <xf numFmtId="3" fontId="30" fillId="33" borderId="18" xfId="0" applyNumberFormat="1" applyFont="1" applyFill="1" applyBorder="1" applyAlignment="1">
      <alignment/>
    </xf>
    <xf numFmtId="0" fontId="28" fillId="0" borderId="129" xfId="0" applyFont="1" applyBorder="1" applyAlignment="1">
      <alignment horizontal="center"/>
    </xf>
    <xf numFmtId="0" fontId="28" fillId="0" borderId="29" xfId="0" applyFont="1" applyFill="1" applyBorder="1" applyAlignment="1">
      <alignment/>
    </xf>
    <xf numFmtId="0" fontId="28" fillId="0" borderId="30" xfId="0" applyFont="1" applyFill="1" applyBorder="1" applyAlignment="1">
      <alignment/>
    </xf>
    <xf numFmtId="3" fontId="30" fillId="33" borderId="84" xfId="0" applyNumberFormat="1" applyFont="1" applyFill="1" applyBorder="1" applyAlignment="1">
      <alignment/>
    </xf>
    <xf numFmtId="0" fontId="28" fillId="0" borderId="71" xfId="0" applyFont="1" applyFill="1" applyBorder="1" applyAlignment="1">
      <alignment/>
    </xf>
    <xf numFmtId="3" fontId="28" fillId="0" borderId="133" xfId="0" applyNumberFormat="1" applyFont="1" applyBorder="1" applyAlignment="1">
      <alignment/>
    </xf>
    <xf numFmtId="3" fontId="28" fillId="0" borderId="134" xfId="0" applyNumberFormat="1" applyFont="1" applyBorder="1" applyAlignment="1">
      <alignment/>
    </xf>
    <xf numFmtId="3" fontId="39" fillId="0" borderId="135" xfId="0" applyNumberFormat="1" applyFont="1" applyBorder="1" applyAlignment="1">
      <alignment/>
    </xf>
    <xf numFmtId="0" fontId="31" fillId="0" borderId="0" xfId="0" applyFont="1" applyBorder="1" applyAlignment="1">
      <alignment/>
    </xf>
    <xf numFmtId="0" fontId="30" fillId="0" borderId="32" xfId="0" applyFont="1" applyFill="1" applyBorder="1" applyAlignment="1">
      <alignment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3" fontId="134" fillId="0" borderId="0" xfId="0" applyNumberFormat="1" applyFont="1" applyFill="1" applyAlignment="1">
      <alignment/>
    </xf>
    <xf numFmtId="0" fontId="28" fillId="0" borderId="41" xfId="0" applyFont="1" applyBorder="1" applyAlignment="1">
      <alignment horizontal="center"/>
    </xf>
    <xf numFmtId="0" fontId="31" fillId="0" borderId="50" xfId="0" applyFont="1" applyBorder="1" applyAlignment="1">
      <alignment horizontal="center"/>
    </xf>
    <xf numFmtId="0" fontId="31" fillId="0" borderId="136" xfId="0" applyFont="1" applyBorder="1" applyAlignment="1">
      <alignment horizontal="center"/>
    </xf>
    <xf numFmtId="0" fontId="31" fillId="0" borderId="44" xfId="0" applyFont="1" applyBorder="1" applyAlignment="1">
      <alignment horizontal="center"/>
    </xf>
    <xf numFmtId="0" fontId="28" fillId="0" borderId="40" xfId="0" applyFont="1" applyBorder="1" applyAlignment="1">
      <alignment horizontal="center"/>
    </xf>
    <xf numFmtId="0" fontId="28" fillId="0" borderId="32" xfId="0" applyFont="1" applyBorder="1" applyAlignment="1">
      <alignment horizontal="right"/>
    </xf>
    <xf numFmtId="0" fontId="28" fillId="0" borderId="32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31" fillId="0" borderId="61" xfId="0" applyFont="1" applyBorder="1" applyAlignment="1">
      <alignment horizontal="center"/>
    </xf>
    <xf numFmtId="0" fontId="31" fillId="0" borderId="99" xfId="0" applyFont="1" applyBorder="1" applyAlignment="1">
      <alignment horizontal="center"/>
    </xf>
    <xf numFmtId="0" fontId="31" fillId="0" borderId="32" xfId="0" applyFont="1" applyBorder="1" applyAlignment="1">
      <alignment horizontal="center"/>
    </xf>
    <xf numFmtId="0" fontId="28" fillId="34" borderId="18" xfId="0" applyFont="1" applyFill="1" applyBorder="1" applyAlignment="1">
      <alignment horizontal="center"/>
    </xf>
    <xf numFmtId="3" fontId="30" fillId="33" borderId="53" xfId="0" applyNumberFormat="1" applyFont="1" applyFill="1" applyBorder="1" applyAlignment="1">
      <alignment/>
    </xf>
    <xf numFmtId="3" fontId="28" fillId="0" borderId="27" xfId="0" applyNumberFormat="1" applyFont="1" applyBorder="1" applyAlignment="1">
      <alignment/>
    </xf>
    <xf numFmtId="3" fontId="31" fillId="0" borderId="12" xfId="0" applyNumberFormat="1" applyFont="1" applyBorder="1" applyAlignment="1">
      <alignment/>
    </xf>
    <xf numFmtId="3" fontId="85" fillId="0" borderId="104" xfId="0" applyNumberFormat="1" applyFont="1" applyFill="1" applyBorder="1" applyAlignment="1">
      <alignment/>
    </xf>
    <xf numFmtId="3" fontId="31" fillId="0" borderId="0" xfId="0" applyNumberFormat="1" applyFont="1" applyFill="1" applyBorder="1" applyAlignment="1">
      <alignment/>
    </xf>
    <xf numFmtId="3" fontId="86" fillId="0" borderId="35" xfId="0" applyNumberFormat="1" applyFont="1" applyFill="1" applyBorder="1" applyAlignment="1">
      <alignment/>
    </xf>
    <xf numFmtId="3" fontId="28" fillId="34" borderId="129" xfId="0" applyNumberFormat="1" applyFont="1" applyFill="1" applyBorder="1" applyAlignment="1">
      <alignment/>
    </xf>
    <xf numFmtId="3" fontId="28" fillId="0" borderId="137" xfId="0" applyNumberFormat="1" applyFont="1" applyBorder="1" applyAlignment="1">
      <alignment/>
    </xf>
    <xf numFmtId="0" fontId="28" fillId="0" borderId="30" xfId="0" applyFont="1" applyBorder="1" applyAlignment="1">
      <alignment horizontal="center"/>
    </xf>
    <xf numFmtId="3" fontId="28" fillId="0" borderId="138" xfId="0" applyNumberFormat="1" applyFont="1" applyBorder="1" applyAlignment="1">
      <alignment/>
    </xf>
    <xf numFmtId="3" fontId="31" fillId="0" borderId="91" xfId="0" applyNumberFormat="1" applyFont="1" applyFill="1" applyBorder="1" applyAlignment="1">
      <alignment/>
    </xf>
    <xf numFmtId="3" fontId="31" fillId="0" borderId="92" xfId="0" applyNumberFormat="1" applyFont="1" applyFill="1" applyBorder="1" applyAlignment="1">
      <alignment/>
    </xf>
    <xf numFmtId="3" fontId="86" fillId="0" borderId="115" xfId="0" applyNumberFormat="1" applyFont="1" applyFill="1" applyBorder="1" applyAlignment="1">
      <alignment/>
    </xf>
    <xf numFmtId="3" fontId="28" fillId="0" borderId="115" xfId="0" applyNumberFormat="1" applyFont="1" applyBorder="1" applyAlignment="1">
      <alignment/>
    </xf>
    <xf numFmtId="3" fontId="87" fillId="0" borderId="91" xfId="0" applyNumberFormat="1" applyFont="1" applyFill="1" applyBorder="1" applyAlignment="1">
      <alignment/>
    </xf>
    <xf numFmtId="0" fontId="28" fillId="0" borderId="139" xfId="0" applyFont="1" applyBorder="1" applyAlignment="1">
      <alignment horizontal="center"/>
    </xf>
    <xf numFmtId="0" fontId="28" fillId="0" borderId="139" xfId="0" applyFont="1" applyBorder="1" applyAlignment="1">
      <alignment/>
    </xf>
    <xf numFmtId="3" fontId="31" fillId="0" borderId="140" xfId="0" applyNumberFormat="1" applyFont="1" applyFill="1" applyBorder="1" applyAlignment="1">
      <alignment/>
    </xf>
    <xf numFmtId="3" fontId="86" fillId="0" borderId="117" xfId="0" applyNumberFormat="1" applyFont="1" applyFill="1" applyBorder="1" applyAlignment="1">
      <alignment/>
    </xf>
    <xf numFmtId="3" fontId="28" fillId="0" borderId="141" xfId="0" applyNumberFormat="1" applyFont="1" applyBorder="1" applyAlignment="1">
      <alignment/>
    </xf>
    <xf numFmtId="3" fontId="28" fillId="0" borderId="142" xfId="0" applyNumberFormat="1" applyFont="1" applyBorder="1" applyAlignment="1">
      <alignment/>
    </xf>
    <xf numFmtId="0" fontId="31" fillId="0" borderId="71" xfId="0" applyFont="1" applyBorder="1" applyAlignment="1">
      <alignment horizontal="left"/>
    </xf>
    <xf numFmtId="0" fontId="31" fillId="0" borderId="71" xfId="0" applyFont="1" applyBorder="1" applyAlignment="1">
      <alignment/>
    </xf>
    <xf numFmtId="3" fontId="31" fillId="0" borderId="72" xfId="0" applyNumberFormat="1" applyFont="1" applyBorder="1" applyAlignment="1">
      <alignment/>
    </xf>
    <xf numFmtId="3" fontId="31" fillId="0" borderId="23" xfId="0" applyNumberFormat="1" applyFont="1" applyBorder="1" applyAlignment="1">
      <alignment/>
    </xf>
    <xf numFmtId="3" fontId="31" fillId="0" borderId="138" xfId="0" applyNumberFormat="1" applyFont="1" applyBorder="1" applyAlignment="1">
      <alignment/>
    </xf>
    <xf numFmtId="3" fontId="31" fillId="0" borderId="143" xfId="0" applyNumberFormat="1" applyFont="1" applyBorder="1" applyAlignment="1">
      <alignment/>
    </xf>
    <xf numFmtId="3" fontId="31" fillId="0" borderId="35" xfId="0" applyNumberFormat="1" applyFont="1" applyBorder="1" applyAlignment="1">
      <alignment/>
    </xf>
    <xf numFmtId="3" fontId="31" fillId="0" borderId="115" xfId="0" applyNumberFormat="1" applyFont="1" applyBorder="1" applyAlignment="1">
      <alignment/>
    </xf>
    <xf numFmtId="3" fontId="29" fillId="0" borderId="85" xfId="0" applyNumberFormat="1" applyFont="1" applyBorder="1" applyAlignment="1">
      <alignment/>
    </xf>
    <xf numFmtId="0" fontId="28" fillId="0" borderId="144" xfId="0" applyFont="1" applyBorder="1" applyAlignment="1">
      <alignment horizontal="center"/>
    </xf>
    <xf numFmtId="3" fontId="31" fillId="0" borderId="96" xfId="0" applyNumberFormat="1" applyFont="1" applyFill="1" applyBorder="1" applyAlignment="1">
      <alignment/>
    </xf>
    <xf numFmtId="3" fontId="86" fillId="0" borderId="142" xfId="0" applyNumberFormat="1" applyFont="1" applyFill="1" applyBorder="1" applyAlignment="1">
      <alignment/>
    </xf>
    <xf numFmtId="3" fontId="31" fillId="0" borderId="142" xfId="0" applyNumberFormat="1" applyFont="1" applyBorder="1" applyAlignment="1">
      <alignment/>
    </xf>
    <xf numFmtId="0" fontId="65" fillId="0" borderId="0" xfId="0" applyFont="1" applyBorder="1" applyAlignment="1">
      <alignment/>
    </xf>
    <xf numFmtId="3" fontId="31" fillId="0" borderId="145" xfId="0" applyNumberFormat="1" applyFont="1" applyBorder="1" applyAlignment="1">
      <alignment/>
    </xf>
    <xf numFmtId="0" fontId="31" fillId="0" borderId="0" xfId="0" applyFont="1" applyAlignment="1">
      <alignment/>
    </xf>
    <xf numFmtId="3" fontId="31" fillId="0" borderId="73" xfId="0" applyNumberFormat="1" applyFont="1" applyBorder="1" applyAlignment="1">
      <alignment/>
    </xf>
    <xf numFmtId="0" fontId="38" fillId="0" borderId="0" xfId="0" applyFont="1" applyFill="1" applyAlignment="1">
      <alignment/>
    </xf>
    <xf numFmtId="0" fontId="28" fillId="0" borderId="102" xfId="0" applyFont="1" applyBorder="1" applyAlignment="1">
      <alignment horizontal="center"/>
    </xf>
    <xf numFmtId="0" fontId="29" fillId="0" borderId="48" xfId="0" applyFont="1" applyBorder="1" applyAlignment="1">
      <alignment horizontal="left"/>
    </xf>
    <xf numFmtId="0" fontId="30" fillId="0" borderId="25" xfId="0" applyFont="1" applyBorder="1" applyAlignment="1">
      <alignment horizontal="center"/>
    </xf>
    <xf numFmtId="0" fontId="30" fillId="0" borderId="46" xfId="0" applyFont="1" applyBorder="1" applyAlignment="1">
      <alignment horizontal="center"/>
    </xf>
    <xf numFmtId="0" fontId="32" fillId="0" borderId="101" xfId="0" applyFont="1" applyBorder="1" applyAlignment="1">
      <alignment horizontal="center"/>
    </xf>
    <xf numFmtId="0" fontId="29" fillId="0" borderId="47" xfId="0" applyFont="1" applyBorder="1" applyAlignment="1">
      <alignment horizontal="center"/>
    </xf>
    <xf numFmtId="0" fontId="28" fillId="0" borderId="49" xfId="0" applyFont="1" applyBorder="1" applyAlignment="1">
      <alignment/>
    </xf>
    <xf numFmtId="0" fontId="30" fillId="0" borderId="44" xfId="0" applyFont="1" applyBorder="1" applyAlignment="1">
      <alignment/>
    </xf>
    <xf numFmtId="0" fontId="28" fillId="0" borderId="106" xfId="0" applyFont="1" applyBorder="1" applyAlignment="1">
      <alignment horizontal="center"/>
    </xf>
    <xf numFmtId="0" fontId="30" fillId="0" borderId="52" xfId="0" applyFont="1" applyBorder="1" applyAlignment="1">
      <alignment horizontal="left"/>
    </xf>
    <xf numFmtId="0" fontId="30" fillId="0" borderId="146" xfId="0" applyFont="1" applyBorder="1" applyAlignment="1">
      <alignment horizontal="center"/>
    </xf>
    <xf numFmtId="0" fontId="30" fillId="0" borderId="44" xfId="0" applyFont="1" applyBorder="1" applyAlignment="1">
      <alignment horizontal="center"/>
    </xf>
    <xf numFmtId="0" fontId="32" fillId="0" borderId="105" xfId="0" applyFont="1" applyBorder="1" applyAlignment="1">
      <alignment horizontal="center"/>
    </xf>
    <xf numFmtId="0" fontId="32" fillId="0" borderId="44" xfId="0" applyFont="1" applyBorder="1" applyAlignment="1">
      <alignment horizontal="center"/>
    </xf>
    <xf numFmtId="0" fontId="32" fillId="0" borderId="106" xfId="0" applyFont="1" applyBorder="1" applyAlignment="1">
      <alignment horizontal="center"/>
    </xf>
    <xf numFmtId="0" fontId="29" fillId="0" borderId="51" xfId="0" applyFont="1" applyBorder="1" applyAlignment="1">
      <alignment horizontal="center"/>
    </xf>
    <xf numFmtId="0" fontId="30" fillId="33" borderId="49" xfId="0" applyFont="1" applyFill="1" applyBorder="1" applyAlignment="1">
      <alignment/>
    </xf>
    <xf numFmtId="0" fontId="30" fillId="33" borderId="44" xfId="0" applyFont="1" applyFill="1" applyBorder="1" applyAlignment="1">
      <alignment/>
    </xf>
    <xf numFmtId="0" fontId="32" fillId="33" borderId="99" xfId="0" applyFont="1" applyFill="1" applyBorder="1" applyAlignment="1">
      <alignment horizontal="center"/>
    </xf>
    <xf numFmtId="0" fontId="70" fillId="33" borderId="52" xfId="0" applyFont="1" applyFill="1" applyBorder="1" applyAlignment="1">
      <alignment horizontal="left"/>
    </xf>
    <xf numFmtId="3" fontId="30" fillId="33" borderId="32" xfId="0" applyNumberFormat="1" applyFont="1" applyFill="1" applyBorder="1" applyAlignment="1">
      <alignment/>
    </xf>
    <xf numFmtId="3" fontId="64" fillId="33" borderId="32" xfId="0" applyNumberFormat="1" applyFont="1" applyFill="1" applyBorder="1" applyAlignment="1">
      <alignment/>
    </xf>
    <xf numFmtId="3" fontId="64" fillId="33" borderId="99" xfId="0" applyNumberFormat="1" applyFont="1" applyFill="1" applyBorder="1" applyAlignment="1">
      <alignment/>
    </xf>
    <xf numFmtId="3" fontId="29" fillId="33" borderId="62" xfId="0" applyNumberFormat="1" applyFont="1" applyFill="1" applyBorder="1" applyAlignment="1">
      <alignment/>
    </xf>
    <xf numFmtId="0" fontId="32" fillId="0" borderId="58" xfId="0" applyFont="1" applyBorder="1" applyAlignment="1">
      <alignment/>
    </xf>
    <xf numFmtId="3" fontId="28" fillId="0" borderId="53" xfId="0" applyNumberFormat="1" applyFont="1" applyBorder="1" applyAlignment="1">
      <alignment/>
    </xf>
    <xf numFmtId="3" fontId="32" fillId="0" borderId="55" xfId="0" applyNumberFormat="1" applyFont="1" applyBorder="1" applyAlignment="1">
      <alignment/>
    </xf>
    <xf numFmtId="3" fontId="32" fillId="0" borderId="88" xfId="0" applyNumberFormat="1" applyFont="1" applyBorder="1" applyAlignment="1">
      <alignment/>
    </xf>
    <xf numFmtId="3" fontId="29" fillId="0" borderId="56" xfId="0" applyNumberFormat="1" applyFont="1" applyBorder="1" applyAlignment="1">
      <alignment/>
    </xf>
    <xf numFmtId="0" fontId="65" fillId="0" borderId="58" xfId="0" applyFont="1" applyBorder="1" applyAlignment="1">
      <alignment/>
    </xf>
    <xf numFmtId="0" fontId="65" fillId="0" borderId="29" xfId="0" applyFont="1" applyBorder="1" applyAlignment="1">
      <alignment/>
    </xf>
    <xf numFmtId="0" fontId="65" fillId="0" borderId="131" xfId="0" applyFont="1" applyBorder="1" applyAlignment="1">
      <alignment horizontal="center"/>
    </xf>
    <xf numFmtId="0" fontId="74" fillId="0" borderId="147" xfId="0" applyFont="1" applyBorder="1" applyAlignment="1">
      <alignment horizontal="left"/>
    </xf>
    <xf numFmtId="3" fontId="31" fillId="0" borderId="129" xfId="0" applyNumberFormat="1" applyFont="1" applyBorder="1" applyAlignment="1">
      <alignment/>
    </xf>
    <xf numFmtId="3" fontId="65" fillId="0" borderId="29" xfId="0" applyNumberFormat="1" applyFont="1" applyBorder="1" applyAlignment="1">
      <alignment/>
    </xf>
    <xf numFmtId="3" fontId="65" fillId="0" borderId="130" xfId="0" applyNumberFormat="1" applyFont="1" applyBorder="1" applyAlignment="1">
      <alignment/>
    </xf>
    <xf numFmtId="3" fontId="65" fillId="0" borderId="131" xfId="0" applyNumberFormat="1" applyFont="1" applyBorder="1" applyAlignment="1">
      <alignment/>
    </xf>
    <xf numFmtId="3" fontId="74" fillId="0" borderId="148" xfId="0" applyNumberFormat="1" applyFont="1" applyBorder="1" applyAlignment="1">
      <alignment/>
    </xf>
    <xf numFmtId="0" fontId="65" fillId="0" borderId="0" xfId="0" applyFont="1" applyAlignment="1">
      <alignment horizontal="center" wrapText="1"/>
    </xf>
    <xf numFmtId="0" fontId="74" fillId="0" borderId="58" xfId="0" applyFont="1" applyBorder="1" applyAlignment="1">
      <alignment/>
    </xf>
    <xf numFmtId="0" fontId="74" fillId="0" borderId="0" xfId="0" applyFont="1" applyBorder="1" applyAlignment="1">
      <alignment/>
    </xf>
    <xf numFmtId="0" fontId="74" fillId="51" borderId="29" xfId="0" applyFont="1" applyFill="1" applyBorder="1" applyAlignment="1">
      <alignment/>
    </xf>
    <xf numFmtId="0" fontId="74" fillId="51" borderId="147" xfId="0" applyFont="1" applyFill="1" applyBorder="1" applyAlignment="1">
      <alignment horizontal="left"/>
    </xf>
    <xf numFmtId="3" fontId="74" fillId="51" borderId="129" xfId="0" applyNumberFormat="1" applyFont="1" applyFill="1" applyBorder="1" applyAlignment="1">
      <alignment/>
    </xf>
    <xf numFmtId="3" fontId="74" fillId="51" borderId="29" xfId="0" applyNumberFormat="1" applyFont="1" applyFill="1" applyBorder="1" applyAlignment="1">
      <alignment/>
    </xf>
    <xf numFmtId="3" fontId="74" fillId="51" borderId="130" xfId="0" applyNumberFormat="1" applyFont="1" applyFill="1" applyBorder="1" applyAlignment="1">
      <alignment/>
    </xf>
    <xf numFmtId="3" fontId="74" fillId="51" borderId="131" xfId="0" applyNumberFormat="1" applyFont="1" applyFill="1" applyBorder="1" applyAlignment="1">
      <alignment/>
    </xf>
    <xf numFmtId="0" fontId="32" fillId="0" borderId="131" xfId="0" applyFont="1" applyBorder="1" applyAlignment="1">
      <alignment horizontal="center"/>
    </xf>
    <xf numFmtId="0" fontId="29" fillId="0" borderId="147" xfId="0" applyFont="1" applyBorder="1" applyAlignment="1">
      <alignment horizontal="left"/>
    </xf>
    <xf numFmtId="3" fontId="28" fillId="0" borderId="129" xfId="0" applyNumberFormat="1" applyFont="1" applyBorder="1" applyAlignment="1">
      <alignment/>
    </xf>
    <xf numFmtId="3" fontId="32" fillId="0" borderId="29" xfId="0" applyNumberFormat="1" applyFont="1" applyBorder="1" applyAlignment="1">
      <alignment/>
    </xf>
    <xf numFmtId="3" fontId="32" fillId="0" borderId="130" xfId="0" applyNumberFormat="1" applyFont="1" applyBorder="1" applyAlignment="1">
      <alignment/>
    </xf>
    <xf numFmtId="3" fontId="32" fillId="0" borderId="131" xfId="0" applyNumberFormat="1" applyFont="1" applyBorder="1" applyAlignment="1">
      <alignment/>
    </xf>
    <xf numFmtId="3" fontId="29" fillId="0" borderId="148" xfId="0" applyNumberFormat="1" applyFont="1" applyBorder="1" applyAlignment="1">
      <alignment/>
    </xf>
    <xf numFmtId="0" fontId="32" fillId="0" borderId="30" xfId="0" applyFont="1" applyFill="1" applyBorder="1" applyAlignment="1">
      <alignment/>
    </xf>
    <xf numFmtId="0" fontId="32" fillId="0" borderId="29" xfId="0" applyFont="1" applyFill="1" applyBorder="1" applyAlignment="1">
      <alignment/>
    </xf>
    <xf numFmtId="0" fontId="29" fillId="0" borderId="147" xfId="0" applyFont="1" applyFill="1" applyBorder="1" applyAlignment="1">
      <alignment horizontal="left"/>
    </xf>
    <xf numFmtId="0" fontId="29" fillId="0" borderId="149" xfId="0" applyFont="1" applyFill="1" applyBorder="1" applyAlignment="1">
      <alignment horizontal="left"/>
    </xf>
    <xf numFmtId="0" fontId="29" fillId="0" borderId="149" xfId="0" applyFont="1" applyBorder="1" applyAlignment="1">
      <alignment horizontal="left"/>
    </xf>
    <xf numFmtId="0" fontId="30" fillId="33" borderId="40" xfId="0" applyFont="1" applyFill="1" applyBorder="1" applyAlignment="1">
      <alignment/>
    </xf>
    <xf numFmtId="0" fontId="30" fillId="33" borderId="32" xfId="0" applyFont="1" applyFill="1" applyBorder="1" applyAlignment="1">
      <alignment/>
    </xf>
    <xf numFmtId="0" fontId="70" fillId="33" borderId="63" xfId="0" applyFont="1" applyFill="1" applyBorder="1" applyAlignment="1">
      <alignment horizontal="left"/>
    </xf>
    <xf numFmtId="3" fontId="32" fillId="0" borderId="30" xfId="0" applyNumberFormat="1" applyFont="1" applyBorder="1" applyAlignment="1">
      <alignment/>
    </xf>
    <xf numFmtId="3" fontId="32" fillId="0" borderId="91" xfId="0" applyNumberFormat="1" applyFont="1" applyBorder="1" applyAlignment="1">
      <alignment/>
    </xf>
    <xf numFmtId="0" fontId="32" fillId="0" borderId="70" xfId="0" applyFont="1" applyBorder="1" applyAlignment="1">
      <alignment/>
    </xf>
    <xf numFmtId="0" fontId="32" fillId="0" borderId="139" xfId="0" applyFont="1" applyBorder="1" applyAlignment="1">
      <alignment/>
    </xf>
    <xf numFmtId="0" fontId="32" fillId="0" borderId="140" xfId="0" applyFont="1" applyBorder="1" applyAlignment="1">
      <alignment horizontal="center"/>
    </xf>
    <xf numFmtId="0" fontId="29" fillId="0" borderId="150" xfId="0" applyFont="1" applyBorder="1" applyAlignment="1">
      <alignment horizontal="left"/>
    </xf>
    <xf numFmtId="3" fontId="32" fillId="0" borderId="139" xfId="0" applyNumberFormat="1" applyFont="1" applyBorder="1" applyAlignment="1">
      <alignment/>
    </xf>
    <xf numFmtId="3" fontId="32" fillId="0" borderId="140" xfId="0" applyNumberFormat="1" applyFont="1" applyBorder="1" applyAlignment="1">
      <alignment/>
    </xf>
    <xf numFmtId="3" fontId="29" fillId="0" borderId="151" xfId="0" applyNumberFormat="1" applyFont="1" applyBorder="1" applyAlignment="1">
      <alignment/>
    </xf>
    <xf numFmtId="0" fontId="32" fillId="0" borderId="49" xfId="0" applyFont="1" applyBorder="1" applyAlignment="1">
      <alignment/>
    </xf>
    <xf numFmtId="0" fontId="32" fillId="0" borderId="44" xfId="0" applyFont="1" applyBorder="1" applyAlignment="1">
      <alignment/>
    </xf>
    <xf numFmtId="0" fontId="32" fillId="0" borderId="52" xfId="0" applyFont="1" applyBorder="1" applyAlignment="1">
      <alignment horizontal="left"/>
    </xf>
    <xf numFmtId="3" fontId="28" fillId="0" borderId="146" xfId="0" applyNumberFormat="1" applyFont="1" applyBorder="1" applyAlignment="1">
      <alignment/>
    </xf>
    <xf numFmtId="3" fontId="32" fillId="0" borderId="44" xfId="0" applyNumberFormat="1" applyFont="1" applyBorder="1" applyAlignment="1">
      <alignment/>
    </xf>
    <xf numFmtId="3" fontId="32" fillId="0" borderId="106" xfId="0" applyNumberFormat="1" applyFont="1" applyBorder="1" applyAlignment="1">
      <alignment/>
    </xf>
    <xf numFmtId="3" fontId="29" fillId="0" borderId="51" xfId="0" applyNumberFormat="1" applyFont="1" applyBorder="1" applyAlignment="1">
      <alignment/>
    </xf>
    <xf numFmtId="0" fontId="29" fillId="0" borderId="0" xfId="0" applyFont="1" applyAlignment="1">
      <alignment horizontal="left"/>
    </xf>
    <xf numFmtId="0" fontId="28" fillId="7" borderId="11" xfId="0" applyFont="1" applyFill="1" applyBorder="1" applyAlignment="1">
      <alignment/>
    </xf>
    <xf numFmtId="0" fontId="83" fillId="0" borderId="0" xfId="0" applyFont="1" applyFill="1" applyAlignment="1">
      <alignment/>
    </xf>
    <xf numFmtId="0" fontId="83" fillId="0" borderId="0" xfId="0" applyFont="1" applyAlignment="1">
      <alignment horizontal="center"/>
    </xf>
    <xf numFmtId="0" fontId="83" fillId="0" borderId="0" xfId="0" applyFont="1" applyAlignment="1">
      <alignment horizontal="left"/>
    </xf>
    <xf numFmtId="0" fontId="39" fillId="0" borderId="0" xfId="0" applyFont="1" applyAlignment="1">
      <alignment/>
    </xf>
    <xf numFmtId="0" fontId="88" fillId="0" borderId="0" xfId="0" applyFont="1" applyAlignment="1">
      <alignment/>
    </xf>
    <xf numFmtId="0" fontId="28" fillId="0" borderId="0" xfId="0" applyFont="1" applyAlignment="1">
      <alignment horizontal="center"/>
    </xf>
    <xf numFmtId="3" fontId="28" fillId="0" borderId="12" xfId="0" applyNumberFormat="1" applyFont="1" applyBorder="1" applyAlignment="1">
      <alignment/>
    </xf>
    <xf numFmtId="3" fontId="28" fillId="0" borderId="122" xfId="0" applyNumberFormat="1" applyFont="1" applyBorder="1" applyAlignment="1">
      <alignment/>
    </xf>
    <xf numFmtId="3" fontId="31" fillId="0" borderId="122" xfId="0" applyNumberFormat="1" applyFont="1" applyBorder="1" applyAlignment="1">
      <alignment/>
    </xf>
    <xf numFmtId="3" fontId="31" fillId="0" borderId="30" xfId="0" applyNumberFormat="1" applyFont="1" applyFill="1" applyBorder="1" applyAlignment="1">
      <alignment/>
    </xf>
    <xf numFmtId="3" fontId="31" fillId="0" borderId="139" xfId="0" applyNumberFormat="1" applyFont="1" applyFill="1" applyBorder="1" applyAlignment="1">
      <alignment/>
    </xf>
    <xf numFmtId="3" fontId="28" fillId="0" borderId="104" xfId="0" applyNumberFormat="1" applyFont="1" applyBorder="1" applyAlignment="1">
      <alignment/>
    </xf>
    <xf numFmtId="3" fontId="31" fillId="0" borderId="91" xfId="0" applyNumberFormat="1" applyFont="1" applyBorder="1" applyAlignment="1">
      <alignment/>
    </xf>
    <xf numFmtId="0" fontId="30" fillId="33" borderId="37" xfId="0" applyFont="1" applyFill="1" applyBorder="1" applyAlignment="1">
      <alignment horizontal="center"/>
    </xf>
    <xf numFmtId="0" fontId="39" fillId="0" borderId="152" xfId="0" applyFont="1" applyBorder="1" applyAlignment="1">
      <alignment horizontal="center"/>
    </xf>
    <xf numFmtId="0" fontId="28" fillId="50" borderId="26" xfId="0" applyFont="1" applyFill="1" applyBorder="1" applyAlignment="1">
      <alignment horizontal="center"/>
    </xf>
    <xf numFmtId="0" fontId="30" fillId="33" borderId="26" xfId="0" applyFont="1" applyFill="1" applyBorder="1" applyAlignment="1">
      <alignment horizontal="center"/>
    </xf>
    <xf numFmtId="0" fontId="39" fillId="0" borderId="153" xfId="0" applyFont="1" applyBorder="1" applyAlignment="1">
      <alignment horizontal="center"/>
    </xf>
    <xf numFmtId="0" fontId="30" fillId="33" borderId="146" xfId="0" applyFont="1" applyFill="1" applyBorder="1" applyAlignment="1">
      <alignment horizontal="center"/>
    </xf>
    <xf numFmtId="0" fontId="28" fillId="50" borderId="146" xfId="0" applyFont="1" applyFill="1" applyBorder="1" applyAlignment="1">
      <alignment horizontal="center"/>
    </xf>
    <xf numFmtId="0" fontId="28" fillId="0" borderId="122" xfId="124" applyFont="1" applyBorder="1" applyAlignment="1">
      <alignment horizontal="center"/>
      <protection/>
    </xf>
    <xf numFmtId="3" fontId="38" fillId="0" borderId="149" xfId="124" applyNumberFormat="1" applyFont="1" applyFill="1" applyBorder="1">
      <alignment/>
      <protection/>
    </xf>
    <xf numFmtId="3" fontId="39" fillId="0" borderId="0" xfId="0" applyNumberFormat="1" applyFont="1" applyAlignment="1">
      <alignment/>
    </xf>
    <xf numFmtId="0" fontId="89" fillId="0" borderId="0" xfId="0" applyFont="1" applyAlignment="1">
      <alignment/>
    </xf>
    <xf numFmtId="0" fontId="39" fillId="0" borderId="39" xfId="0" applyFont="1" applyFill="1" applyBorder="1" applyAlignment="1">
      <alignment horizontal="center"/>
    </xf>
    <xf numFmtId="0" fontId="28" fillId="34" borderId="26" xfId="0" applyFont="1" applyFill="1" applyBorder="1" applyAlignment="1">
      <alignment horizontal="center"/>
    </xf>
    <xf numFmtId="0" fontId="39" fillId="0" borderId="35" xfId="0" applyFont="1" applyFill="1" applyBorder="1" applyAlignment="1">
      <alignment horizontal="center"/>
    </xf>
    <xf numFmtId="0" fontId="39" fillId="0" borderId="42" xfId="0" applyFont="1" applyFill="1" applyBorder="1" applyAlignment="1">
      <alignment horizontal="center"/>
    </xf>
    <xf numFmtId="0" fontId="28" fillId="34" borderId="146" xfId="0" applyFont="1" applyFill="1" applyBorder="1" applyAlignment="1">
      <alignment horizontal="center"/>
    </xf>
    <xf numFmtId="0" fontId="30" fillId="33" borderId="18" xfId="0" applyFont="1" applyFill="1" applyBorder="1" applyAlignment="1">
      <alignment horizontal="center"/>
    </xf>
    <xf numFmtId="0" fontId="39" fillId="0" borderId="24" xfId="0" applyFont="1" applyFill="1" applyBorder="1" applyAlignment="1">
      <alignment horizontal="center"/>
    </xf>
    <xf numFmtId="3" fontId="31" fillId="0" borderId="0" xfId="0" applyNumberFormat="1" applyFont="1" applyAlignment="1">
      <alignment/>
    </xf>
    <xf numFmtId="0" fontId="90" fillId="0" borderId="0" xfId="0" applyFont="1" applyAlignment="1">
      <alignment/>
    </xf>
    <xf numFmtId="0" fontId="91" fillId="0" borderId="0" xfId="0" applyFont="1" applyAlignment="1">
      <alignment/>
    </xf>
    <xf numFmtId="3" fontId="90" fillId="0" borderId="0" xfId="0" applyNumberFormat="1" applyFont="1" applyAlignment="1">
      <alignment/>
    </xf>
    <xf numFmtId="4" fontId="92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28" fillId="33" borderId="0" xfId="0" applyFont="1" applyFill="1" applyAlignment="1">
      <alignment/>
    </xf>
    <xf numFmtId="4" fontId="135" fillId="0" borderId="19" xfId="0" applyNumberFormat="1" applyFont="1" applyBorder="1" applyAlignment="1">
      <alignment/>
    </xf>
    <xf numFmtId="0" fontId="130" fillId="40" borderId="22" xfId="0" applyFont="1" applyFill="1" applyBorder="1" applyAlignment="1">
      <alignment horizontal="center" wrapText="1"/>
    </xf>
    <xf numFmtId="0" fontId="125" fillId="40" borderId="23" xfId="0" applyFont="1" applyFill="1" applyBorder="1" applyAlignment="1">
      <alignment horizontal="center" wrapText="1"/>
    </xf>
    <xf numFmtId="0" fontId="130" fillId="40" borderId="15" xfId="0" applyFont="1" applyFill="1" applyBorder="1" applyAlignment="1">
      <alignment horizontal="center" wrapText="1"/>
    </xf>
    <xf numFmtId="0" fontId="125" fillId="40" borderId="11" xfId="0" applyFont="1" applyFill="1" applyBorder="1" applyAlignment="1">
      <alignment horizontal="center" wrapText="1"/>
    </xf>
    <xf numFmtId="4" fontId="125" fillId="40" borderId="11" xfId="0" applyNumberFormat="1" applyFont="1" applyFill="1" applyBorder="1" applyAlignment="1">
      <alignment/>
    </xf>
    <xf numFmtId="4" fontId="130" fillId="40" borderId="19" xfId="0" applyNumberFormat="1" applyFont="1" applyFill="1" applyBorder="1" applyAlignment="1">
      <alignment/>
    </xf>
    <xf numFmtId="4" fontId="125" fillId="40" borderId="23" xfId="0" applyNumberFormat="1" applyFont="1" applyFill="1" applyBorder="1" applyAlignment="1">
      <alignment/>
    </xf>
    <xf numFmtId="4" fontId="130" fillId="40" borderId="24" xfId="0" applyNumberFormat="1" applyFont="1" applyFill="1" applyBorder="1" applyAlignment="1">
      <alignment/>
    </xf>
    <xf numFmtId="3" fontId="32" fillId="0" borderId="16" xfId="0" applyNumberFormat="1" applyFont="1" applyFill="1" applyBorder="1" applyAlignment="1">
      <alignment/>
    </xf>
    <xf numFmtId="0" fontId="32" fillId="40" borderId="33" xfId="0" applyFont="1" applyFill="1" applyBorder="1" applyAlignment="1">
      <alignment horizontal="center"/>
    </xf>
    <xf numFmtId="0" fontId="32" fillId="40" borderId="27" xfId="0" applyFont="1" applyFill="1" applyBorder="1" applyAlignment="1">
      <alignment horizontal="center"/>
    </xf>
    <xf numFmtId="0" fontId="32" fillId="40" borderId="13" xfId="0" applyFont="1" applyFill="1" applyBorder="1" applyAlignment="1">
      <alignment horizontal="center"/>
    </xf>
    <xf numFmtId="3" fontId="32" fillId="40" borderId="11" xfId="0" applyNumberFormat="1" applyFont="1" applyFill="1" applyBorder="1" applyAlignment="1">
      <alignment/>
    </xf>
    <xf numFmtId="3" fontId="32" fillId="40" borderId="38" xfId="0" applyNumberFormat="1" applyFont="1" applyFill="1" applyBorder="1" applyAlignment="1">
      <alignment/>
    </xf>
    <xf numFmtId="3" fontId="65" fillId="40" borderId="19" xfId="0" applyNumberFormat="1" applyFont="1" applyFill="1" applyBorder="1" applyAlignment="1">
      <alignment/>
    </xf>
    <xf numFmtId="3" fontId="32" fillId="40" borderId="13" xfId="0" applyNumberFormat="1" applyFont="1" applyFill="1" applyBorder="1" applyAlignment="1">
      <alignment/>
    </xf>
    <xf numFmtId="3" fontId="32" fillId="40" borderId="19" xfId="0" applyNumberFormat="1" applyFont="1" applyFill="1" applyBorder="1" applyAlignment="1">
      <alignment/>
    </xf>
    <xf numFmtId="1" fontId="38" fillId="44" borderId="56" xfId="0" applyNumberFormat="1" applyFont="1" applyFill="1" applyBorder="1" applyAlignment="1">
      <alignment horizontal="center"/>
    </xf>
    <xf numFmtId="0" fontId="38" fillId="40" borderId="102" xfId="0" applyFont="1" applyFill="1" applyBorder="1" applyAlignment="1">
      <alignment horizontal="center"/>
    </xf>
    <xf numFmtId="0" fontId="38" fillId="40" borderId="104" xfId="0" applyFont="1" applyFill="1" applyBorder="1" applyAlignment="1">
      <alignment horizontal="center"/>
    </xf>
    <xf numFmtId="0" fontId="38" fillId="40" borderId="106" xfId="0" applyFont="1" applyFill="1" applyBorder="1" applyAlignment="1">
      <alignment horizontal="center"/>
    </xf>
    <xf numFmtId="0" fontId="38" fillId="40" borderId="88" xfId="0" applyFont="1" applyFill="1" applyBorder="1" applyAlignment="1">
      <alignment horizontal="center"/>
    </xf>
    <xf numFmtId="0" fontId="38" fillId="40" borderId="111" xfId="0" applyFont="1" applyFill="1" applyBorder="1" applyAlignment="1">
      <alignment horizontal="center"/>
    </xf>
    <xf numFmtId="0" fontId="38" fillId="40" borderId="107" xfId="0" applyFont="1" applyFill="1" applyBorder="1" applyAlignment="1">
      <alignment horizontal="center"/>
    </xf>
    <xf numFmtId="16" fontId="38" fillId="40" borderId="56" xfId="0" applyNumberFormat="1" applyFont="1" applyFill="1" applyBorder="1" applyAlignment="1">
      <alignment horizontal="center"/>
    </xf>
    <xf numFmtId="0" fontId="38" fillId="40" borderId="109" xfId="0" applyFont="1" applyFill="1" applyBorder="1" applyAlignment="1">
      <alignment horizontal="center"/>
    </xf>
    <xf numFmtId="4" fontId="38" fillId="40" borderId="127" xfId="0" applyNumberFormat="1" applyFont="1" applyFill="1" applyBorder="1" applyAlignment="1">
      <alignment/>
    </xf>
    <xf numFmtId="0" fontId="38" fillId="40" borderId="43" xfId="0" applyFont="1" applyFill="1" applyBorder="1" applyAlignment="1">
      <alignment horizontal="center"/>
    </xf>
    <xf numFmtId="0" fontId="38" fillId="40" borderId="58" xfId="0" applyFont="1" applyFill="1" applyBorder="1" applyAlignment="1">
      <alignment horizontal="center"/>
    </xf>
    <xf numFmtId="0" fontId="38" fillId="40" borderId="154" xfId="0" applyFont="1" applyFill="1" applyBorder="1" applyAlignment="1">
      <alignment horizontal="center"/>
    </xf>
    <xf numFmtId="0" fontId="38" fillId="40" borderId="155" xfId="0" applyFont="1" applyFill="1" applyBorder="1" applyAlignment="1">
      <alignment horizontal="center"/>
    </xf>
    <xf numFmtId="3" fontId="38" fillId="40" borderId="156" xfId="0" applyNumberFormat="1" applyFont="1" applyFill="1" applyBorder="1" applyAlignment="1">
      <alignment/>
    </xf>
    <xf numFmtId="3" fontId="60" fillId="40" borderId="155" xfId="0" applyNumberFormat="1" applyFont="1" applyFill="1" applyBorder="1" applyAlignment="1">
      <alignment/>
    </xf>
    <xf numFmtId="4" fontId="129" fillId="0" borderId="0" xfId="0" applyNumberFormat="1" applyFont="1" applyFill="1" applyAlignment="1">
      <alignment/>
    </xf>
    <xf numFmtId="4" fontId="57" fillId="0" borderId="0" xfId="0" applyNumberFormat="1" applyFont="1" applyFill="1" applyAlignment="1">
      <alignment/>
    </xf>
    <xf numFmtId="4" fontId="32" fillId="44" borderId="23" xfId="0" applyNumberFormat="1" applyFont="1" applyFill="1" applyBorder="1" applyAlignment="1">
      <alignment/>
    </xf>
    <xf numFmtId="4" fontId="32" fillId="44" borderId="39" xfId="0" applyNumberFormat="1" applyFont="1" applyFill="1" applyBorder="1" applyAlignment="1">
      <alignment/>
    </xf>
    <xf numFmtId="4" fontId="65" fillId="44" borderId="24" xfId="0" applyNumberFormat="1" applyFont="1" applyFill="1" applyBorder="1" applyAlignment="1">
      <alignment/>
    </xf>
    <xf numFmtId="4" fontId="32" fillId="44" borderId="36" xfId="0" applyNumberFormat="1" applyFont="1" applyFill="1" applyBorder="1" applyAlignment="1">
      <alignment/>
    </xf>
    <xf numFmtId="4" fontId="32" fillId="44" borderId="24" xfId="0" applyNumberFormat="1" applyFont="1" applyFill="1" applyBorder="1" applyAlignment="1">
      <alignment/>
    </xf>
    <xf numFmtId="10" fontId="29" fillId="0" borderId="18" xfId="0" applyNumberFormat="1" applyFont="1" applyBorder="1" applyAlignment="1">
      <alignment horizontal="center"/>
    </xf>
    <xf numFmtId="10" fontId="29" fillId="0" borderId="24" xfId="0" applyNumberFormat="1" applyFont="1" applyBorder="1" applyAlignment="1">
      <alignment horizontal="center"/>
    </xf>
    <xf numFmtId="3" fontId="28" fillId="34" borderId="16" xfId="0" applyNumberFormat="1" applyFont="1" applyFill="1" applyBorder="1" applyAlignment="1">
      <alignment/>
    </xf>
    <xf numFmtId="0" fontId="32" fillId="41" borderId="0" xfId="0" applyFont="1" applyFill="1" applyAlignment="1">
      <alignment/>
    </xf>
    <xf numFmtId="0" fontId="38" fillId="40" borderId="47" xfId="0" applyFont="1" applyFill="1" applyBorder="1" applyAlignment="1">
      <alignment horizontal="center"/>
    </xf>
    <xf numFmtId="0" fontId="38" fillId="44" borderId="47" xfId="0" applyFont="1" applyFill="1" applyBorder="1" applyAlignment="1">
      <alignment horizontal="center"/>
    </xf>
    <xf numFmtId="0" fontId="38" fillId="0" borderId="127" xfId="0" applyFont="1" applyFill="1" applyBorder="1" applyAlignment="1">
      <alignment horizontal="center"/>
    </xf>
    <xf numFmtId="0" fontId="38" fillId="40" borderId="127" xfId="0" applyFont="1" applyFill="1" applyBorder="1" applyAlignment="1">
      <alignment horizontal="center"/>
    </xf>
    <xf numFmtId="0" fontId="38" fillId="44" borderId="148" xfId="0" applyFont="1" applyFill="1" applyBorder="1" applyAlignment="1">
      <alignment horizontal="center"/>
    </xf>
    <xf numFmtId="0" fontId="74" fillId="0" borderId="15" xfId="0" applyFont="1" applyBorder="1" applyAlignment="1">
      <alignment horizontal="right"/>
    </xf>
    <xf numFmtId="0" fontId="28" fillId="0" borderId="11" xfId="0" applyFont="1" applyBorder="1" applyAlignment="1">
      <alignment horizontal="right"/>
    </xf>
    <xf numFmtId="3" fontId="28" fillId="41" borderId="91" xfId="0" applyNumberFormat="1" applyFont="1" applyFill="1" applyBorder="1" applyAlignment="1">
      <alignment/>
    </xf>
    <xf numFmtId="3" fontId="29" fillId="44" borderId="23" xfId="0" applyNumberFormat="1" applyFont="1" applyFill="1" applyBorder="1" applyAlignment="1">
      <alignment/>
    </xf>
    <xf numFmtId="3" fontId="60" fillId="41" borderId="113" xfId="0" applyNumberFormat="1" applyFont="1" applyFill="1" applyBorder="1" applyAlignment="1">
      <alignment/>
    </xf>
    <xf numFmtId="4" fontId="38" fillId="41" borderId="127" xfId="0" applyNumberFormat="1" applyFont="1" applyFill="1" applyBorder="1" applyAlignment="1">
      <alignment/>
    </xf>
    <xf numFmtId="4" fontId="60" fillId="41" borderId="109" xfId="0" applyNumberFormat="1" applyFont="1" applyFill="1" applyBorder="1" applyAlignment="1">
      <alignment/>
    </xf>
    <xf numFmtId="4" fontId="32" fillId="44" borderId="11" xfId="0" applyNumberFormat="1" applyFont="1" applyFill="1" applyBorder="1" applyAlignment="1">
      <alignment/>
    </xf>
    <xf numFmtId="4" fontId="32" fillId="44" borderId="38" xfId="0" applyNumberFormat="1" applyFont="1" applyFill="1" applyBorder="1" applyAlignment="1">
      <alignment/>
    </xf>
    <xf numFmtId="4" fontId="65" fillId="44" borderId="19" xfId="0" applyNumberFormat="1" applyFont="1" applyFill="1" applyBorder="1" applyAlignment="1">
      <alignment/>
    </xf>
    <xf numFmtId="4" fontId="32" fillId="44" borderId="13" xfId="0" applyNumberFormat="1" applyFont="1" applyFill="1" applyBorder="1" applyAlignment="1">
      <alignment/>
    </xf>
    <xf numFmtId="4" fontId="32" fillId="44" borderId="19" xfId="0" applyNumberFormat="1" applyFont="1" applyFill="1" applyBorder="1" applyAlignment="1">
      <alignment/>
    </xf>
    <xf numFmtId="0" fontId="28" fillId="40" borderId="47" xfId="0" applyFont="1" applyFill="1" applyBorder="1" applyAlignment="1">
      <alignment horizontal="center"/>
    </xf>
    <xf numFmtId="0" fontId="28" fillId="40" borderId="51" xfId="0" applyFont="1" applyFill="1" applyBorder="1" applyAlignment="1">
      <alignment horizontal="center"/>
    </xf>
    <xf numFmtId="0" fontId="28" fillId="40" borderId="47" xfId="0" applyFont="1" applyFill="1" applyBorder="1" applyAlignment="1">
      <alignment horizontal="center" wrapText="1"/>
    </xf>
    <xf numFmtId="0" fontId="28" fillId="52" borderId="47" xfId="0" applyFont="1" applyFill="1" applyBorder="1" applyAlignment="1">
      <alignment horizontal="center"/>
    </xf>
    <xf numFmtId="0" fontId="28" fillId="52" borderId="51" xfId="0" applyFont="1" applyFill="1" applyBorder="1" applyAlignment="1">
      <alignment horizontal="center"/>
    </xf>
    <xf numFmtId="0" fontId="28" fillId="44" borderId="40" xfId="0" applyFont="1" applyFill="1" applyBorder="1" applyAlignment="1">
      <alignment/>
    </xf>
    <xf numFmtId="0" fontId="32" fillId="0" borderId="69" xfId="0" applyFont="1" applyFill="1" applyBorder="1" applyAlignment="1">
      <alignment/>
    </xf>
    <xf numFmtId="0" fontId="32" fillId="0" borderId="157" xfId="0" applyFont="1" applyFill="1" applyBorder="1" applyAlignment="1">
      <alignment/>
    </xf>
    <xf numFmtId="0" fontId="28" fillId="0" borderId="67" xfId="0" applyFont="1" applyFill="1" applyBorder="1" applyAlignment="1">
      <alignment horizontal="right"/>
    </xf>
    <xf numFmtId="0" fontId="28" fillId="0" borderId="65" xfId="0" applyFont="1" applyFill="1" applyBorder="1" applyAlignment="1">
      <alignment horizontal="right"/>
    </xf>
    <xf numFmtId="0" fontId="28" fillId="0" borderId="158" xfId="0" applyFont="1" applyFill="1" applyBorder="1" applyAlignment="1">
      <alignment horizontal="center"/>
    </xf>
    <xf numFmtId="0" fontId="28" fillId="48" borderId="159" xfId="0" applyFont="1" applyFill="1" applyBorder="1" applyAlignment="1">
      <alignment/>
    </xf>
    <xf numFmtId="0" fontId="28" fillId="0" borderId="16" xfId="0" applyFont="1" applyBorder="1" applyAlignment="1">
      <alignment horizontal="center"/>
    </xf>
    <xf numFmtId="0" fontId="28" fillId="0" borderId="160" xfId="0" applyFont="1" applyBorder="1" applyAlignment="1">
      <alignment horizontal="center"/>
    </xf>
    <xf numFmtId="0" fontId="82" fillId="0" borderId="18" xfId="0" applyFont="1" applyBorder="1" applyAlignment="1">
      <alignment horizontal="center"/>
    </xf>
    <xf numFmtId="0" fontId="82" fillId="0" borderId="32" xfId="0" applyFont="1" applyFill="1" applyBorder="1" applyAlignment="1">
      <alignment/>
    </xf>
    <xf numFmtId="3" fontId="82" fillId="0" borderId="0" xfId="0" applyNumberFormat="1" applyFont="1" applyAlignment="1">
      <alignment/>
    </xf>
    <xf numFmtId="0" fontId="93" fillId="0" borderId="0" xfId="0" applyFont="1" applyAlignment="1">
      <alignment/>
    </xf>
    <xf numFmtId="0" fontId="82" fillId="0" borderId="0" xfId="0" applyFont="1" applyAlignment="1">
      <alignment/>
    </xf>
    <xf numFmtId="3" fontId="30" fillId="33" borderId="26" xfId="0" applyNumberFormat="1" applyFont="1" applyFill="1" applyBorder="1" applyAlignment="1">
      <alignment/>
    </xf>
    <xf numFmtId="3" fontId="28" fillId="0" borderId="103" xfId="0" applyNumberFormat="1" applyFont="1" applyBorder="1" applyAlignment="1">
      <alignment/>
    </xf>
    <xf numFmtId="3" fontId="28" fillId="0" borderId="161" xfId="0" applyNumberFormat="1" applyFont="1" applyBorder="1" applyAlignment="1">
      <alignment/>
    </xf>
    <xf numFmtId="3" fontId="82" fillId="33" borderId="16" xfId="0" applyNumberFormat="1" applyFont="1" applyFill="1" applyBorder="1" applyAlignment="1">
      <alignment/>
    </xf>
    <xf numFmtId="3" fontId="31" fillId="34" borderId="16" xfId="0" applyNumberFormat="1" applyFont="1" applyFill="1" applyBorder="1" applyAlignment="1">
      <alignment/>
    </xf>
    <xf numFmtId="4" fontId="31" fillId="0" borderId="0" xfId="0" applyNumberFormat="1" applyFont="1" applyAlignment="1">
      <alignment/>
    </xf>
    <xf numFmtId="0" fontId="4" fillId="0" borderId="0" xfId="94" applyFont="1" applyBorder="1" applyAlignment="1">
      <alignment horizontal="center"/>
      <protection/>
    </xf>
    <xf numFmtId="0" fontId="4" fillId="0" borderId="0" xfId="94" applyFont="1" applyBorder="1">
      <alignment/>
      <protection/>
    </xf>
    <xf numFmtId="0" fontId="4" fillId="0" borderId="0" xfId="94" applyFont="1" applyFill="1" applyBorder="1">
      <alignment/>
      <protection/>
    </xf>
    <xf numFmtId="0" fontId="4" fillId="0" borderId="0" xfId="94" applyBorder="1">
      <alignment/>
      <protection/>
    </xf>
    <xf numFmtId="9" fontId="37" fillId="0" borderId="0" xfId="0" applyNumberFormat="1" applyFont="1" applyAlignment="1">
      <alignment/>
    </xf>
    <xf numFmtId="0" fontId="28" fillId="0" borderId="78" xfId="0" applyFont="1" applyFill="1" applyBorder="1" applyAlignment="1">
      <alignment horizontal="center"/>
    </xf>
    <xf numFmtId="3" fontId="28" fillId="0" borderId="162" xfId="0" applyNumberFormat="1" applyFont="1" applyFill="1" applyBorder="1" applyAlignment="1">
      <alignment/>
    </xf>
    <xf numFmtId="3" fontId="28" fillId="0" borderId="73" xfId="0" applyNumberFormat="1" applyFont="1" applyFill="1" applyBorder="1" applyAlignment="1">
      <alignment/>
    </xf>
    <xf numFmtId="3" fontId="28" fillId="0" borderId="163" xfId="0" applyNumberFormat="1" applyFont="1" applyFill="1" applyBorder="1" applyAlignment="1">
      <alignment/>
    </xf>
    <xf numFmtId="0" fontId="28" fillId="0" borderId="76" xfId="0" applyFont="1" applyFill="1" applyBorder="1" applyAlignment="1">
      <alignment horizontal="center" wrapText="1"/>
    </xf>
    <xf numFmtId="0" fontId="28" fillId="0" borderId="21" xfId="0" applyFont="1" applyFill="1" applyBorder="1" applyAlignment="1">
      <alignment horizontal="center" wrapText="1"/>
    </xf>
    <xf numFmtId="0" fontId="28" fillId="0" borderId="81" xfId="0" applyFont="1" applyFill="1" applyBorder="1" applyAlignment="1">
      <alignment horizontal="center" wrapText="1"/>
    </xf>
    <xf numFmtId="0" fontId="134" fillId="0" borderId="16" xfId="0" applyFont="1" applyBorder="1" applyAlignment="1">
      <alignment/>
    </xf>
    <xf numFmtId="3" fontId="32" fillId="0" borderId="22" xfId="0" applyNumberFormat="1" applyFont="1" applyFill="1" applyBorder="1" applyAlignment="1">
      <alignment/>
    </xf>
    <xf numFmtId="3" fontId="32" fillId="0" borderId="23" xfId="0" applyNumberFormat="1" applyFont="1" applyFill="1" applyBorder="1" applyAlignment="1">
      <alignment/>
    </xf>
    <xf numFmtId="3" fontId="28" fillId="48" borderId="39" xfId="0" applyNumberFormat="1" applyFont="1" applyFill="1" applyBorder="1" applyAlignment="1">
      <alignment/>
    </xf>
    <xf numFmtId="3" fontId="134" fillId="47" borderId="66" xfId="0" applyNumberFormat="1" applyFont="1" applyFill="1" applyBorder="1" applyAlignment="1">
      <alignment/>
    </xf>
    <xf numFmtId="3" fontId="32" fillId="0" borderId="37" xfId="0" applyNumberFormat="1" applyFont="1" applyFill="1" applyBorder="1" applyAlignment="1">
      <alignment/>
    </xf>
    <xf numFmtId="3" fontId="32" fillId="0" borderId="28" xfId="0" applyNumberFormat="1" applyFont="1" applyFill="1" applyBorder="1" applyAlignment="1">
      <alignment/>
    </xf>
    <xf numFmtId="3" fontId="32" fillId="0" borderId="25" xfId="0" applyNumberFormat="1" applyFont="1" applyFill="1" applyBorder="1" applyAlignment="1">
      <alignment/>
    </xf>
    <xf numFmtId="0" fontId="34" fillId="0" borderId="0" xfId="0" applyFont="1" applyAlignment="1">
      <alignment/>
    </xf>
    <xf numFmtId="3" fontId="37" fillId="0" borderId="0" xfId="0" applyNumberFormat="1" applyFont="1" applyAlignment="1">
      <alignment/>
    </xf>
    <xf numFmtId="3" fontId="31" fillId="0" borderId="11" xfId="0" applyNumberFormat="1" applyFont="1" applyBorder="1" applyAlignment="1">
      <alignment/>
    </xf>
    <xf numFmtId="9" fontId="128" fillId="40" borderId="23" xfId="0" applyNumberFormat="1" applyFont="1" applyFill="1" applyBorder="1" applyAlignment="1">
      <alignment/>
    </xf>
    <xf numFmtId="9" fontId="128" fillId="0" borderId="23" xfId="0" applyNumberFormat="1" applyFont="1" applyBorder="1" applyAlignment="1">
      <alignment/>
    </xf>
    <xf numFmtId="9" fontId="128" fillId="0" borderId="23" xfId="0" applyNumberFormat="1" applyFont="1" applyFill="1" applyBorder="1" applyAlignment="1">
      <alignment/>
    </xf>
    <xf numFmtId="9" fontId="132" fillId="43" borderId="81" xfId="0" applyNumberFormat="1" applyFont="1" applyFill="1" applyBorder="1" applyAlignment="1">
      <alignment/>
    </xf>
    <xf numFmtId="3" fontId="122" fillId="53" borderId="11" xfId="0" applyNumberFormat="1" applyFont="1" applyFill="1" applyBorder="1" applyAlignment="1">
      <alignment/>
    </xf>
    <xf numFmtId="3" fontId="31" fillId="0" borderId="31" xfId="0" applyNumberFormat="1" applyFont="1" applyFill="1" applyBorder="1" applyAlignment="1">
      <alignment/>
    </xf>
    <xf numFmtId="3" fontId="31" fillId="0" borderId="164" xfId="0" applyNumberFormat="1" applyFont="1" applyFill="1" applyBorder="1" applyAlignment="1">
      <alignment/>
    </xf>
    <xf numFmtId="3" fontId="31" fillId="0" borderId="165" xfId="0" applyNumberFormat="1" applyFont="1" applyFill="1" applyBorder="1" applyAlignment="1">
      <alignment/>
    </xf>
    <xf numFmtId="3" fontId="30" fillId="33" borderId="99" xfId="0" applyNumberFormat="1" applyFont="1" applyFill="1" applyBorder="1" applyAlignment="1">
      <alignment/>
    </xf>
    <xf numFmtId="3" fontId="30" fillId="33" borderId="166" xfId="0" applyNumberFormat="1" applyFont="1" applyFill="1" applyBorder="1" applyAlignment="1">
      <alignment/>
    </xf>
    <xf numFmtId="0" fontId="31" fillId="0" borderId="44" xfId="0" applyFont="1" applyBorder="1" applyAlignment="1">
      <alignment/>
    </xf>
    <xf numFmtId="3" fontId="31" fillId="0" borderId="44" xfId="0" applyNumberFormat="1" applyFont="1" applyBorder="1" applyAlignment="1">
      <alignment/>
    </xf>
    <xf numFmtId="3" fontId="31" fillId="0" borderId="50" xfId="0" applyNumberFormat="1" applyFont="1" applyBorder="1" applyAlignment="1">
      <alignment/>
    </xf>
    <xf numFmtId="3" fontId="31" fillId="0" borderId="106" xfId="0" applyNumberFormat="1" applyFont="1" applyBorder="1" applyAlignment="1">
      <alignment/>
    </xf>
    <xf numFmtId="3" fontId="86" fillId="0" borderId="42" xfId="0" applyNumberFormat="1" applyFont="1" applyFill="1" applyBorder="1" applyAlignment="1">
      <alignment/>
    </xf>
    <xf numFmtId="3" fontId="31" fillId="34" borderId="26" xfId="0" applyNumberFormat="1" applyFont="1" applyFill="1" applyBorder="1" applyAlignment="1">
      <alignment/>
    </xf>
    <xf numFmtId="0" fontId="31" fillId="0" borderId="72" xfId="0" applyFont="1" applyBorder="1" applyAlignment="1">
      <alignment/>
    </xf>
    <xf numFmtId="3" fontId="82" fillId="33" borderId="165" xfId="0" applyNumberFormat="1" applyFont="1" applyFill="1" applyBorder="1" applyAlignment="1">
      <alignment/>
    </xf>
    <xf numFmtId="3" fontId="82" fillId="33" borderId="73" xfId="0" applyNumberFormat="1" applyFont="1" applyFill="1" applyBorder="1" applyAlignment="1">
      <alignment/>
    </xf>
    <xf numFmtId="3" fontId="31" fillId="34" borderId="65" xfId="0" applyNumberFormat="1" applyFont="1" applyFill="1" applyBorder="1" applyAlignment="1">
      <alignment/>
    </xf>
    <xf numFmtId="0" fontId="42" fillId="0" borderId="0" xfId="0" applyFont="1" applyAlignment="1">
      <alignment/>
    </xf>
    <xf numFmtId="10" fontId="28" fillId="0" borderId="115" xfId="0" applyNumberFormat="1" applyFont="1" applyBorder="1" applyAlignment="1">
      <alignment/>
    </xf>
    <xf numFmtId="3" fontId="0" fillId="0" borderId="0" xfId="0" applyNumberFormat="1" applyAlignment="1">
      <alignment/>
    </xf>
    <xf numFmtId="4" fontId="32" fillId="0" borderId="0" xfId="0" applyNumberFormat="1" applyFont="1" applyAlignment="1">
      <alignment/>
    </xf>
    <xf numFmtId="3" fontId="28" fillId="0" borderId="167" xfId="0" applyNumberFormat="1" applyFont="1" applyBorder="1" applyAlignment="1">
      <alignment/>
    </xf>
    <xf numFmtId="3" fontId="28" fillId="0" borderId="144" xfId="0" applyNumberFormat="1" applyFont="1" applyBorder="1" applyAlignment="1">
      <alignment/>
    </xf>
    <xf numFmtId="3" fontId="31" fillId="0" borderId="140" xfId="0" applyNumberFormat="1" applyFont="1" applyBorder="1" applyAlignment="1">
      <alignment/>
    </xf>
    <xf numFmtId="3" fontId="29" fillId="16" borderId="62" xfId="0" applyNumberFormat="1" applyFont="1" applyFill="1" applyBorder="1" applyAlignment="1">
      <alignment/>
    </xf>
    <xf numFmtId="3" fontId="60" fillId="44" borderId="42" xfId="0" applyNumberFormat="1" applyFont="1" applyFill="1" applyBorder="1" applyAlignment="1">
      <alignment/>
    </xf>
    <xf numFmtId="3" fontId="28" fillId="0" borderId="125" xfId="0" applyNumberFormat="1" applyFont="1" applyBorder="1" applyAlignment="1">
      <alignment/>
    </xf>
    <xf numFmtId="3" fontId="28" fillId="0" borderId="95" xfId="0" applyNumberFormat="1" applyFont="1" applyBorder="1" applyAlignment="1">
      <alignment/>
    </xf>
    <xf numFmtId="3" fontId="28" fillId="34" borderId="26" xfId="0" applyNumberFormat="1" applyFont="1" applyFill="1" applyBorder="1" applyAlignment="1">
      <alignment/>
    </xf>
    <xf numFmtId="3" fontId="28" fillId="0" borderId="168" xfId="0" applyNumberFormat="1" applyFont="1" applyBorder="1" applyAlignment="1">
      <alignment/>
    </xf>
    <xf numFmtId="0" fontId="28" fillId="50" borderId="37" xfId="0" applyFont="1" applyFill="1" applyBorder="1" applyAlignment="1">
      <alignment horizontal="center"/>
    </xf>
    <xf numFmtId="3" fontId="82" fillId="33" borderId="169" xfId="0" applyNumberFormat="1" applyFont="1" applyFill="1" applyBorder="1" applyAlignment="1">
      <alignment/>
    </xf>
    <xf numFmtId="3" fontId="82" fillId="33" borderId="99" xfId="0" applyNumberFormat="1" applyFont="1" applyFill="1" applyBorder="1" applyAlignment="1">
      <alignment/>
    </xf>
    <xf numFmtId="3" fontId="28" fillId="50" borderId="76" xfId="0" applyNumberFormat="1" applyFont="1" applyFill="1" applyBorder="1" applyAlignment="1">
      <alignment/>
    </xf>
    <xf numFmtId="3" fontId="28" fillId="50" borderId="170" xfId="0" applyNumberFormat="1" applyFont="1" applyFill="1" applyBorder="1" applyAlignment="1">
      <alignment/>
    </xf>
    <xf numFmtId="3" fontId="82" fillId="33" borderId="32" xfId="0" applyNumberFormat="1" applyFont="1" applyFill="1" applyBorder="1" applyAlignment="1">
      <alignment/>
    </xf>
    <xf numFmtId="3" fontId="31" fillId="50" borderId="40" xfId="0" applyNumberFormat="1" applyFont="1" applyFill="1" applyBorder="1" applyAlignment="1">
      <alignment/>
    </xf>
    <xf numFmtId="3" fontId="31" fillId="50" borderId="99" xfId="0" applyNumberFormat="1" applyFont="1" applyFill="1" applyBorder="1" applyAlignment="1">
      <alignment/>
    </xf>
    <xf numFmtId="3" fontId="31" fillId="0" borderId="165" xfId="0" applyNumberFormat="1" applyFont="1" applyBorder="1" applyAlignment="1">
      <alignment/>
    </xf>
    <xf numFmtId="3" fontId="82" fillId="33" borderId="164" xfId="0" applyNumberFormat="1" applyFont="1" applyFill="1" applyBorder="1" applyAlignment="1">
      <alignment/>
    </xf>
    <xf numFmtId="3" fontId="82" fillId="33" borderId="168" xfId="0" applyNumberFormat="1" applyFont="1" applyFill="1" applyBorder="1" applyAlignment="1">
      <alignment/>
    </xf>
    <xf numFmtId="3" fontId="28" fillId="0" borderId="92" xfId="0" applyNumberFormat="1" applyFont="1" applyBorder="1" applyAlignment="1">
      <alignment/>
    </xf>
    <xf numFmtId="0" fontId="30" fillId="52" borderId="0" xfId="0" applyFont="1" applyFill="1" applyAlignment="1">
      <alignment/>
    </xf>
    <xf numFmtId="0" fontId="28" fillId="52" borderId="0" xfId="0" applyFont="1" applyFill="1" applyAlignment="1">
      <alignment/>
    </xf>
    <xf numFmtId="0" fontId="80" fillId="52" borderId="0" xfId="0" applyFont="1" applyFill="1" applyAlignment="1">
      <alignment/>
    </xf>
    <xf numFmtId="0" fontId="133" fillId="0" borderId="0" xfId="0" applyFont="1" applyAlignment="1">
      <alignment/>
    </xf>
    <xf numFmtId="0" fontId="122" fillId="0" borderId="11" xfId="0" applyFont="1" applyBorder="1" applyAlignment="1">
      <alignment horizontal="center"/>
    </xf>
    <xf numFmtId="3" fontId="0" fillId="0" borderId="11" xfId="0" applyNumberFormat="1" applyBorder="1" applyAlignment="1">
      <alignment/>
    </xf>
    <xf numFmtId="4" fontId="60" fillId="40" borderId="111" xfId="0" applyNumberFormat="1" applyFont="1" applyFill="1" applyBorder="1" applyAlignment="1">
      <alignment/>
    </xf>
    <xf numFmtId="4" fontId="38" fillId="0" borderId="127" xfId="0" applyNumberFormat="1" applyFont="1" applyFill="1" applyBorder="1" applyAlignment="1">
      <alignment/>
    </xf>
    <xf numFmtId="4" fontId="38" fillId="0" borderId="114" xfId="0" applyNumberFormat="1" applyFont="1" applyFill="1" applyBorder="1" applyAlignment="1">
      <alignment/>
    </xf>
    <xf numFmtId="3" fontId="42" fillId="0" borderId="11" xfId="0" applyNumberFormat="1" applyFont="1" applyBorder="1" applyAlignment="1">
      <alignment/>
    </xf>
    <xf numFmtId="0" fontId="30" fillId="33" borderId="47" xfId="0" applyFont="1" applyFill="1" applyBorder="1" applyAlignment="1">
      <alignment horizontal="center"/>
    </xf>
    <xf numFmtId="0" fontId="30" fillId="33" borderId="51" xfId="0" applyFont="1" applyFill="1" applyBorder="1" applyAlignment="1">
      <alignment horizontal="center"/>
    </xf>
    <xf numFmtId="3" fontId="30" fillId="33" borderId="85" xfId="0" applyNumberFormat="1" applyFont="1" applyFill="1" applyBorder="1" applyAlignment="1">
      <alignment/>
    </xf>
    <xf numFmtId="0" fontId="28" fillId="0" borderId="43" xfId="0" applyFont="1" applyBorder="1" applyAlignment="1">
      <alignment horizontal="center"/>
    </xf>
    <xf numFmtId="0" fontId="28" fillId="0" borderId="46" xfId="0" applyFont="1" applyBorder="1" applyAlignment="1">
      <alignment horizontal="right"/>
    </xf>
    <xf numFmtId="0" fontId="28" fillId="0" borderId="34" xfId="0" applyFont="1" applyBorder="1" applyAlignment="1">
      <alignment horizontal="center" wrapText="1"/>
    </xf>
    <xf numFmtId="0" fontId="28" fillId="0" borderId="86" xfId="0" applyFont="1" applyBorder="1" applyAlignment="1">
      <alignment horizontal="center"/>
    </xf>
    <xf numFmtId="10" fontId="28" fillId="0" borderId="171" xfId="0" applyNumberFormat="1" applyFont="1" applyBorder="1" applyAlignment="1">
      <alignment/>
    </xf>
    <xf numFmtId="3" fontId="30" fillId="33" borderId="172" xfId="0" applyNumberFormat="1" applyFont="1" applyFill="1" applyBorder="1" applyAlignment="1">
      <alignment/>
    </xf>
    <xf numFmtId="10" fontId="28" fillId="0" borderId="117" xfId="0" applyNumberFormat="1" applyFont="1" applyBorder="1" applyAlignment="1">
      <alignment/>
    </xf>
    <xf numFmtId="3" fontId="30" fillId="33" borderId="151" xfId="0" applyNumberFormat="1" applyFont="1" applyFill="1" applyBorder="1" applyAlignment="1">
      <alignment/>
    </xf>
    <xf numFmtId="3" fontId="30" fillId="33" borderId="40" xfId="0" applyNumberFormat="1" applyFont="1" applyFill="1" applyBorder="1" applyAlignment="1">
      <alignment/>
    </xf>
    <xf numFmtId="3" fontId="30" fillId="33" borderId="24" xfId="0" applyNumberFormat="1" applyFont="1" applyFill="1" applyBorder="1" applyAlignment="1">
      <alignment/>
    </xf>
    <xf numFmtId="3" fontId="32" fillId="0" borderId="13" xfId="0" applyNumberFormat="1" applyFont="1" applyFill="1" applyBorder="1" applyAlignment="1">
      <alignment/>
    </xf>
    <xf numFmtId="0" fontId="136" fillId="0" borderId="0" xfId="0" applyFont="1" applyAlignment="1">
      <alignment/>
    </xf>
    <xf numFmtId="0" fontId="95" fillId="0" borderId="0" xfId="0" applyFont="1" applyAlignment="1">
      <alignment/>
    </xf>
    <xf numFmtId="0" fontId="68" fillId="0" borderId="0" xfId="94" applyFont="1">
      <alignment/>
      <protection/>
    </xf>
    <xf numFmtId="0" fontId="67" fillId="0" borderId="0" xfId="94" applyFont="1" applyFill="1">
      <alignment/>
      <protection/>
    </xf>
    <xf numFmtId="0" fontId="137" fillId="54" borderId="173" xfId="0" applyFont="1" applyFill="1" applyBorder="1" applyAlignment="1">
      <alignment horizontal="left" vertical="center"/>
    </xf>
    <xf numFmtId="0" fontId="137" fillId="54" borderId="173" xfId="0" applyFont="1" applyFill="1" applyBorder="1" applyAlignment="1">
      <alignment horizontal="center" vertical="center"/>
    </xf>
    <xf numFmtId="0" fontId="138" fillId="54" borderId="173" xfId="0" applyFont="1" applyFill="1" applyBorder="1" applyAlignment="1">
      <alignment horizontal="center" vertical="center"/>
    </xf>
    <xf numFmtId="0" fontId="136" fillId="44" borderId="0" xfId="0" applyFont="1" applyFill="1" applyBorder="1" applyAlignment="1">
      <alignment vertical="center"/>
    </xf>
    <xf numFmtId="3" fontId="136" fillId="44" borderId="0" xfId="0" applyNumberFormat="1" applyFont="1" applyFill="1" applyBorder="1" applyAlignment="1">
      <alignment vertical="center"/>
    </xf>
    <xf numFmtId="0" fontId="136" fillId="43" borderId="174" xfId="0" applyFont="1" applyFill="1" applyBorder="1" applyAlignment="1">
      <alignment horizontal="left"/>
    </xf>
    <xf numFmtId="0" fontId="136" fillId="43" borderId="175" xfId="0" applyFont="1" applyFill="1" applyBorder="1" applyAlignment="1">
      <alignment horizontal="left"/>
    </xf>
    <xf numFmtId="3" fontId="139" fillId="43" borderId="173" xfId="0" applyNumberFormat="1" applyFont="1" applyFill="1" applyBorder="1" applyAlignment="1">
      <alignment horizontal="right" vertical="center"/>
    </xf>
    <xf numFmtId="3" fontId="136" fillId="43" borderId="173" xfId="0" applyNumberFormat="1" applyFont="1" applyFill="1" applyBorder="1" applyAlignment="1">
      <alignment horizontal="right" vertical="center"/>
    </xf>
    <xf numFmtId="0" fontId="140" fillId="0" borderId="176" xfId="0" applyFont="1" applyBorder="1" applyAlignment="1">
      <alignment horizontal="left" indent="2"/>
    </xf>
    <xf numFmtId="0" fontId="140" fillId="0" borderId="175" xfId="0" applyFont="1" applyBorder="1" applyAlignment="1">
      <alignment horizontal="left" indent="2"/>
    </xf>
    <xf numFmtId="3" fontId="141" fillId="0" borderId="173" xfId="0" applyNumberFormat="1" applyFont="1" applyBorder="1" applyAlignment="1">
      <alignment horizontal="right" vertical="center"/>
    </xf>
    <xf numFmtId="3" fontId="140" fillId="0" borderId="173" xfId="0" applyNumberFormat="1" applyFont="1" applyBorder="1" applyAlignment="1">
      <alignment horizontal="right" vertical="center"/>
    </xf>
    <xf numFmtId="0" fontId="136" fillId="43" borderId="176" xfId="0" applyFont="1" applyFill="1" applyBorder="1" applyAlignment="1">
      <alignment horizontal="left"/>
    </xf>
    <xf numFmtId="0" fontId="101" fillId="0" borderId="0" xfId="94" applyFont="1">
      <alignment/>
      <protection/>
    </xf>
    <xf numFmtId="0" fontId="67" fillId="0" borderId="0" xfId="94" applyFont="1">
      <alignment/>
      <protection/>
    </xf>
    <xf numFmtId="3" fontId="30" fillId="33" borderId="61" xfId="0" applyNumberFormat="1" applyFont="1" applyFill="1" applyBorder="1" applyAlignment="1">
      <alignment/>
    </xf>
    <xf numFmtId="3" fontId="30" fillId="33" borderId="98" xfId="0" applyNumberFormat="1" applyFont="1" applyFill="1" applyBorder="1" applyAlignment="1">
      <alignment/>
    </xf>
    <xf numFmtId="3" fontId="30" fillId="33" borderId="19" xfId="0" applyNumberFormat="1" applyFont="1" applyFill="1" applyBorder="1" applyAlignment="1">
      <alignment/>
    </xf>
    <xf numFmtId="3" fontId="28" fillId="34" borderId="40" xfId="0" applyNumberFormat="1" applyFont="1" applyFill="1" applyBorder="1" applyAlignment="1">
      <alignment/>
    </xf>
    <xf numFmtId="3" fontId="28" fillId="34" borderId="19" xfId="0" applyNumberFormat="1" applyFont="1" applyFill="1" applyBorder="1" applyAlignment="1">
      <alignment/>
    </xf>
    <xf numFmtId="3" fontId="28" fillId="0" borderId="163" xfId="0" applyNumberFormat="1" applyFont="1" applyBorder="1" applyAlignment="1">
      <alignment/>
    </xf>
    <xf numFmtId="3" fontId="28" fillId="0" borderId="177" xfId="0" applyNumberFormat="1" applyFont="1" applyBorder="1" applyAlignment="1">
      <alignment/>
    </xf>
    <xf numFmtId="3" fontId="31" fillId="0" borderId="72" xfId="0" applyNumberFormat="1" applyFont="1" applyFill="1" applyBorder="1" applyAlignment="1">
      <alignment/>
    </xf>
    <xf numFmtId="3" fontId="82" fillId="33" borderId="72" xfId="0" applyNumberFormat="1" applyFont="1" applyFill="1" applyBorder="1" applyAlignment="1">
      <alignment/>
    </xf>
    <xf numFmtId="3" fontId="82" fillId="33" borderId="178" xfId="0" applyNumberFormat="1" applyFont="1" applyFill="1" applyBorder="1" applyAlignment="1">
      <alignment/>
    </xf>
    <xf numFmtId="3" fontId="82" fillId="33" borderId="23" xfId="0" applyNumberFormat="1" applyFont="1" applyFill="1" applyBorder="1" applyAlignment="1">
      <alignment/>
    </xf>
    <xf numFmtId="3" fontId="31" fillId="34" borderId="72" xfId="0" applyNumberFormat="1" applyFont="1" applyFill="1" applyBorder="1" applyAlignment="1">
      <alignment/>
    </xf>
    <xf numFmtId="3" fontId="31" fillId="34" borderId="11" xfId="0" applyNumberFormat="1" applyFont="1" applyFill="1" applyBorder="1" applyAlignment="1">
      <alignment/>
    </xf>
    <xf numFmtId="3" fontId="30" fillId="33" borderId="179" xfId="0" applyNumberFormat="1" applyFont="1" applyFill="1" applyBorder="1" applyAlignment="1">
      <alignment/>
    </xf>
    <xf numFmtId="3" fontId="31" fillId="0" borderId="38" xfId="0" applyNumberFormat="1" applyFont="1" applyBorder="1" applyAlignment="1">
      <alignment/>
    </xf>
    <xf numFmtId="3" fontId="28" fillId="0" borderId="180" xfId="0" applyNumberFormat="1" applyFont="1" applyBorder="1" applyAlignment="1">
      <alignment/>
    </xf>
    <xf numFmtId="3" fontId="28" fillId="0" borderId="180" xfId="0" applyNumberFormat="1" applyFont="1" applyFill="1" applyBorder="1" applyAlignment="1">
      <alignment/>
    </xf>
    <xf numFmtId="3" fontId="28" fillId="0" borderId="132" xfId="0" applyNumberFormat="1" applyFont="1" applyBorder="1" applyAlignment="1">
      <alignment/>
    </xf>
    <xf numFmtId="3" fontId="38" fillId="0" borderId="92" xfId="0" applyNumberFormat="1" applyFont="1" applyBorder="1" applyAlignment="1">
      <alignment/>
    </xf>
    <xf numFmtId="3" fontId="38" fillId="0" borderId="92" xfId="124" applyNumberFormat="1" applyFont="1" applyFill="1" applyBorder="1">
      <alignment/>
      <protection/>
    </xf>
    <xf numFmtId="3" fontId="28" fillId="0" borderId="181" xfId="0" applyNumberFormat="1" applyFont="1" applyBorder="1" applyAlignment="1">
      <alignment/>
    </xf>
    <xf numFmtId="3" fontId="28" fillId="50" borderId="0" xfId="0" applyNumberFormat="1" applyFont="1" applyFill="1" applyBorder="1" applyAlignment="1">
      <alignment/>
    </xf>
    <xf numFmtId="3" fontId="31" fillId="50" borderId="32" xfId="0" applyNumberFormat="1" applyFont="1" applyFill="1" applyBorder="1" applyAlignment="1">
      <alignment/>
    </xf>
    <xf numFmtId="3" fontId="39" fillId="0" borderId="35" xfId="0" applyNumberFormat="1" applyFont="1" applyBorder="1" applyAlignment="1">
      <alignment horizontal="center"/>
    </xf>
    <xf numFmtId="3" fontId="39" fillId="0" borderId="42" xfId="0" applyNumberFormat="1" applyFont="1" applyBorder="1" applyAlignment="1">
      <alignment/>
    </xf>
    <xf numFmtId="3" fontId="39" fillId="0" borderId="35" xfId="0" applyNumberFormat="1" applyFont="1" applyBorder="1" applyAlignment="1">
      <alignment/>
    </xf>
    <xf numFmtId="3" fontId="39" fillId="0" borderId="115" xfId="0" applyNumberFormat="1" applyFont="1" applyBorder="1" applyAlignment="1">
      <alignment/>
    </xf>
    <xf numFmtId="3" fontId="39" fillId="0" borderId="142" xfId="0" applyNumberFormat="1" applyFont="1" applyBorder="1" applyAlignment="1">
      <alignment/>
    </xf>
    <xf numFmtId="3" fontId="28" fillId="0" borderId="182" xfId="0" applyNumberFormat="1" applyFont="1" applyBorder="1" applyAlignment="1">
      <alignment/>
    </xf>
    <xf numFmtId="3" fontId="38" fillId="0" borderId="115" xfId="0" applyNumberFormat="1" applyFont="1" applyBorder="1" applyAlignment="1">
      <alignment/>
    </xf>
    <xf numFmtId="3" fontId="38" fillId="0" borderId="115" xfId="124" applyNumberFormat="1" applyFont="1" applyFill="1" applyBorder="1">
      <alignment/>
      <protection/>
    </xf>
    <xf numFmtId="0" fontId="31" fillId="0" borderId="115" xfId="0" applyFont="1" applyBorder="1" applyAlignment="1">
      <alignment/>
    </xf>
    <xf numFmtId="3" fontId="31" fillId="0" borderId="117" xfId="0" applyNumberFormat="1" applyFont="1" applyFill="1" applyBorder="1" applyAlignment="1">
      <alignment/>
    </xf>
    <xf numFmtId="3" fontId="28" fillId="50" borderId="35" xfId="0" applyNumberFormat="1" applyFont="1" applyFill="1" applyBorder="1" applyAlignment="1">
      <alignment/>
    </xf>
    <xf numFmtId="3" fontId="31" fillId="50" borderId="24" xfId="0" applyNumberFormat="1" applyFont="1" applyFill="1" applyBorder="1" applyAlignment="1">
      <alignment/>
    </xf>
    <xf numFmtId="3" fontId="39" fillId="0" borderId="39" xfId="0" applyNumberFormat="1" applyFont="1" applyBorder="1" applyAlignment="1">
      <alignment horizontal="center"/>
    </xf>
    <xf numFmtId="0" fontId="28" fillId="0" borderId="50" xfId="0" applyFont="1" applyBorder="1" applyAlignment="1">
      <alignment horizontal="center"/>
    </xf>
    <xf numFmtId="0" fontId="28" fillId="0" borderId="61" xfId="0" applyFont="1" applyBorder="1" applyAlignment="1">
      <alignment horizontal="center"/>
    </xf>
    <xf numFmtId="3" fontId="31" fillId="0" borderId="168" xfId="0" applyNumberFormat="1" applyFont="1" applyBorder="1" applyAlignment="1">
      <alignment/>
    </xf>
    <xf numFmtId="3" fontId="31" fillId="0" borderId="125" xfId="0" applyNumberFormat="1" applyFont="1" applyBorder="1" applyAlignment="1">
      <alignment/>
    </xf>
    <xf numFmtId="3" fontId="28" fillId="34" borderId="32" xfId="0" applyNumberFormat="1" applyFont="1" applyFill="1" applyBorder="1" applyAlignment="1">
      <alignment/>
    </xf>
    <xf numFmtId="3" fontId="39" fillId="0" borderId="42" xfId="0" applyNumberFormat="1" applyFont="1" applyBorder="1" applyAlignment="1">
      <alignment horizontal="center"/>
    </xf>
    <xf numFmtId="3" fontId="39" fillId="0" borderId="24" xfId="0" applyNumberFormat="1" applyFont="1" applyBorder="1" applyAlignment="1">
      <alignment/>
    </xf>
    <xf numFmtId="3" fontId="31" fillId="0" borderId="183" xfId="0" applyNumberFormat="1" applyFont="1" applyBorder="1" applyAlignment="1">
      <alignment/>
    </xf>
    <xf numFmtId="3" fontId="31" fillId="0" borderId="128" xfId="0" applyNumberFormat="1" applyFont="1" applyBorder="1" applyAlignment="1">
      <alignment/>
    </xf>
    <xf numFmtId="3" fontId="86" fillId="0" borderId="23" xfId="0" applyNumberFormat="1" applyFont="1" applyBorder="1" applyAlignment="1">
      <alignment/>
    </xf>
    <xf numFmtId="3" fontId="142" fillId="0" borderId="115" xfId="0" applyNumberFormat="1" applyFont="1" applyBorder="1" applyAlignment="1">
      <alignment/>
    </xf>
    <xf numFmtId="3" fontId="31" fillId="34" borderId="23" xfId="0" applyNumberFormat="1" applyFont="1" applyFill="1" applyBorder="1" applyAlignment="1">
      <alignment/>
    </xf>
    <xf numFmtId="3" fontId="142" fillId="0" borderId="42" xfId="0" applyNumberFormat="1" applyFont="1" applyBorder="1" applyAlignment="1">
      <alignment/>
    </xf>
    <xf numFmtId="0" fontId="28" fillId="0" borderId="93" xfId="0" applyFont="1" applyBorder="1" applyAlignment="1">
      <alignment horizontal="center"/>
    </xf>
    <xf numFmtId="0" fontId="28" fillId="0" borderId="146" xfId="0" applyFont="1" applyBorder="1" applyAlignment="1">
      <alignment horizontal="center"/>
    </xf>
    <xf numFmtId="0" fontId="31" fillId="0" borderId="86" xfId="0" applyFont="1" applyBorder="1" applyAlignment="1">
      <alignment/>
    </xf>
    <xf numFmtId="3" fontId="82" fillId="33" borderId="37" xfId="0" applyNumberFormat="1" applyFont="1" applyFill="1" applyBorder="1" applyAlignment="1">
      <alignment/>
    </xf>
    <xf numFmtId="3" fontId="31" fillId="0" borderId="184" xfId="0" applyNumberFormat="1" applyFont="1" applyBorder="1" applyAlignment="1">
      <alignment/>
    </xf>
    <xf numFmtId="3" fontId="31" fillId="0" borderId="86" xfId="0" applyNumberFormat="1" applyFont="1" applyBorder="1" applyAlignment="1">
      <alignment/>
    </xf>
    <xf numFmtId="3" fontId="31" fillId="34" borderId="37" xfId="0" applyNumberFormat="1" applyFont="1" applyFill="1" applyBorder="1" applyAlignment="1">
      <alignment/>
    </xf>
    <xf numFmtId="3" fontId="86" fillId="0" borderId="39" xfId="0" applyNumberFormat="1" applyFont="1" applyFill="1" applyBorder="1" applyAlignment="1">
      <alignment/>
    </xf>
    <xf numFmtId="0" fontId="31" fillId="0" borderId="20" xfId="0" applyFont="1" applyBorder="1" applyAlignment="1">
      <alignment horizontal="center"/>
    </xf>
    <xf numFmtId="0" fontId="31" fillId="0" borderId="77" xfId="0" applyFont="1" applyBorder="1" applyAlignment="1">
      <alignment/>
    </xf>
    <xf numFmtId="3" fontId="82" fillId="33" borderId="20" xfId="0" applyNumberFormat="1" applyFont="1" applyFill="1" applyBorder="1" applyAlignment="1">
      <alignment/>
    </xf>
    <xf numFmtId="3" fontId="31" fillId="0" borderId="77" xfId="0" applyNumberFormat="1" applyFont="1" applyBorder="1" applyAlignment="1">
      <alignment/>
    </xf>
    <xf numFmtId="3" fontId="31" fillId="0" borderId="21" xfId="0" applyNumberFormat="1" applyFont="1" applyBorder="1" applyAlignment="1">
      <alignment/>
    </xf>
    <xf numFmtId="3" fontId="31" fillId="0" borderId="80" xfId="0" applyNumberFormat="1" applyFont="1" applyBorder="1" applyAlignment="1">
      <alignment/>
    </xf>
    <xf numFmtId="3" fontId="31" fillId="0" borderId="136" xfId="0" applyNumberFormat="1" applyFont="1" applyBorder="1" applyAlignment="1">
      <alignment/>
    </xf>
    <xf numFmtId="3" fontId="86" fillId="0" borderId="81" xfId="0" applyNumberFormat="1" applyFont="1" applyFill="1" applyBorder="1" applyAlignment="1">
      <alignment/>
    </xf>
    <xf numFmtId="3" fontId="31" fillId="34" borderId="20" xfId="0" applyNumberFormat="1" applyFont="1" applyFill="1" applyBorder="1" applyAlignment="1">
      <alignment/>
    </xf>
    <xf numFmtId="3" fontId="31" fillId="0" borderId="81" xfId="0" applyNumberFormat="1" applyFont="1" applyBorder="1" applyAlignment="1">
      <alignment/>
    </xf>
    <xf numFmtId="0" fontId="28" fillId="0" borderId="107" xfId="0" applyFont="1" applyBorder="1" applyAlignment="1">
      <alignment horizontal="center"/>
    </xf>
    <xf numFmtId="3" fontId="28" fillId="0" borderId="185" xfId="0" applyNumberFormat="1" applyFont="1" applyBorder="1" applyAlignment="1">
      <alignment/>
    </xf>
    <xf numFmtId="0" fontId="82" fillId="0" borderId="65" xfId="0" applyFont="1" applyBorder="1" applyAlignment="1">
      <alignment horizontal="center"/>
    </xf>
    <xf numFmtId="0" fontId="82" fillId="0" borderId="168" xfId="0" applyFont="1" applyBorder="1" applyAlignment="1">
      <alignment horizontal="left"/>
    </xf>
    <xf numFmtId="0" fontId="82" fillId="0" borderId="72" xfId="0" applyFont="1" applyBorder="1" applyAlignment="1">
      <alignment/>
    </xf>
    <xf numFmtId="3" fontId="82" fillId="0" borderId="186" xfId="0" applyNumberFormat="1" applyFont="1" applyBorder="1" applyAlignment="1">
      <alignment/>
    </xf>
    <xf numFmtId="3" fontId="82" fillId="0" borderId="165" xfId="0" applyNumberFormat="1" applyFont="1" applyBorder="1" applyAlignment="1">
      <alignment/>
    </xf>
    <xf numFmtId="3" fontId="103" fillId="0" borderId="187" xfId="0" applyNumberFormat="1" applyFont="1" applyBorder="1" applyAlignment="1">
      <alignment/>
    </xf>
    <xf numFmtId="3" fontId="31" fillId="50" borderId="16" xfId="0" applyNumberFormat="1" applyFont="1" applyFill="1" applyBorder="1" applyAlignment="1">
      <alignment/>
    </xf>
    <xf numFmtId="3" fontId="31" fillId="0" borderId="186" xfId="0" applyNumberFormat="1" applyFont="1" applyBorder="1" applyAlignment="1">
      <alignment/>
    </xf>
    <xf numFmtId="0" fontId="28" fillId="0" borderId="12" xfId="124" applyFont="1" applyBorder="1" applyAlignment="1">
      <alignment horizontal="center"/>
      <protection/>
    </xf>
    <xf numFmtId="3" fontId="38" fillId="0" borderId="60" xfId="124" applyNumberFormat="1" applyFont="1" applyFill="1" applyBorder="1">
      <alignment/>
      <protection/>
    </xf>
    <xf numFmtId="3" fontId="28" fillId="0" borderId="94" xfId="0" applyNumberFormat="1" applyFont="1" applyBorder="1" applyAlignment="1">
      <alignment/>
    </xf>
    <xf numFmtId="3" fontId="28" fillId="0" borderId="96" xfId="0" applyNumberFormat="1" applyFont="1" applyBorder="1" applyAlignment="1">
      <alignment/>
    </xf>
    <xf numFmtId="3" fontId="28" fillId="50" borderId="129" xfId="0" applyNumberFormat="1" applyFont="1" applyFill="1" applyBorder="1" applyAlignment="1">
      <alignment/>
    </xf>
    <xf numFmtId="3" fontId="31" fillId="0" borderId="182" xfId="0" applyNumberFormat="1" applyFont="1" applyBorder="1" applyAlignment="1">
      <alignment/>
    </xf>
    <xf numFmtId="0" fontId="82" fillId="0" borderId="16" xfId="0" applyFont="1" applyBorder="1" applyAlignment="1">
      <alignment horizontal="center"/>
    </xf>
    <xf numFmtId="3" fontId="28" fillId="50" borderId="16" xfId="0" applyNumberFormat="1" applyFont="1" applyFill="1" applyBorder="1" applyAlignment="1">
      <alignment/>
    </xf>
    <xf numFmtId="3" fontId="31" fillId="0" borderId="164" xfId="0" applyNumberFormat="1" applyFont="1" applyBorder="1" applyAlignment="1">
      <alignment/>
    </xf>
    <xf numFmtId="3" fontId="31" fillId="0" borderId="178" xfId="0" applyNumberFormat="1" applyFont="1" applyBorder="1" applyAlignment="1">
      <alignment/>
    </xf>
    <xf numFmtId="0" fontId="28" fillId="0" borderId="31" xfId="0" applyFont="1" applyBorder="1" applyAlignment="1">
      <alignment horizontal="center"/>
    </xf>
    <xf numFmtId="3" fontId="30" fillId="33" borderId="93" xfId="0" applyNumberFormat="1" applyFont="1" applyFill="1" applyBorder="1" applyAlignment="1">
      <alignment/>
    </xf>
    <xf numFmtId="3" fontId="31" fillId="0" borderId="95" xfId="0" applyNumberFormat="1" applyFont="1" applyFill="1" applyBorder="1" applyAlignment="1">
      <alignment/>
    </xf>
    <xf numFmtId="3" fontId="31" fillId="0" borderId="104" xfId="0" applyNumberFormat="1" applyFont="1" applyFill="1" applyBorder="1" applyAlignment="1">
      <alignment/>
    </xf>
    <xf numFmtId="0" fontId="31" fillId="0" borderId="72" xfId="0" applyFont="1" applyBorder="1" applyAlignment="1">
      <alignment horizontal="left"/>
    </xf>
    <xf numFmtId="0" fontId="32" fillId="0" borderId="67" xfId="0" applyFont="1" applyFill="1" applyBorder="1" applyAlignment="1">
      <alignment horizontal="right"/>
    </xf>
    <xf numFmtId="0" fontId="32" fillId="0" borderId="68" xfId="0" applyFont="1" applyFill="1" applyBorder="1" applyAlignment="1">
      <alignment/>
    </xf>
    <xf numFmtId="0" fontId="32" fillId="0" borderId="65" xfId="0" applyFont="1" applyFill="1" applyBorder="1" applyAlignment="1">
      <alignment horizontal="right"/>
    </xf>
    <xf numFmtId="0" fontId="32" fillId="0" borderId="158" xfId="0" applyFont="1" applyFill="1" applyBorder="1" applyAlignment="1">
      <alignment horizontal="right"/>
    </xf>
    <xf numFmtId="0" fontId="32" fillId="0" borderId="127" xfId="0" applyFont="1" applyBorder="1" applyAlignment="1">
      <alignment horizontal="right"/>
    </xf>
    <xf numFmtId="0" fontId="32" fillId="0" borderId="147" xfId="0" applyFont="1" applyBorder="1" applyAlignment="1">
      <alignment/>
    </xf>
    <xf numFmtId="0" fontId="32" fillId="0" borderId="114" xfId="0" applyFont="1" applyBorder="1" applyAlignment="1">
      <alignment horizontal="right"/>
    </xf>
    <xf numFmtId="0" fontId="32" fillId="0" borderId="149" xfId="0" applyFont="1" applyBorder="1" applyAlignment="1">
      <alignment/>
    </xf>
    <xf numFmtId="0" fontId="32" fillId="0" borderId="107" xfId="0" applyFont="1" applyBorder="1" applyAlignment="1">
      <alignment horizontal="right"/>
    </xf>
    <xf numFmtId="0" fontId="32" fillId="0" borderId="188" xfId="0" applyFont="1" applyBorder="1" applyAlignment="1">
      <alignment/>
    </xf>
    <xf numFmtId="0" fontId="29" fillId="0" borderId="58" xfId="0" applyFont="1" applyBorder="1" applyAlignment="1">
      <alignment/>
    </xf>
    <xf numFmtId="0" fontId="29" fillId="0" borderId="60" xfId="0" applyFont="1" applyBorder="1" applyAlignment="1">
      <alignment/>
    </xf>
    <xf numFmtId="0" fontId="32" fillId="0" borderId="63" xfId="0" applyFont="1" applyBorder="1" applyAlignment="1">
      <alignment/>
    </xf>
    <xf numFmtId="0" fontId="0" fillId="0" borderId="0" xfId="0" applyFont="1" applyAlignment="1">
      <alignment/>
    </xf>
    <xf numFmtId="3" fontId="0" fillId="0" borderId="72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33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1" xfId="0" applyNumberFormat="1" applyFont="1" applyFill="1" applyBorder="1" applyAlignment="1">
      <alignment/>
    </xf>
    <xf numFmtId="0" fontId="143" fillId="40" borderId="37" xfId="0" applyFont="1" applyFill="1" applyBorder="1" applyAlignment="1">
      <alignment horizontal="center"/>
    </xf>
    <xf numFmtId="0" fontId="143" fillId="40" borderId="26" xfId="0" applyFont="1" applyFill="1" applyBorder="1" applyAlignment="1">
      <alignment horizontal="center"/>
    </xf>
    <xf numFmtId="0" fontId="143" fillId="40" borderId="146" xfId="0" applyFont="1" applyFill="1" applyBorder="1" applyAlignment="1">
      <alignment horizontal="center"/>
    </xf>
    <xf numFmtId="0" fontId="143" fillId="40" borderId="18" xfId="0" applyFont="1" applyFill="1" applyBorder="1" applyAlignment="1">
      <alignment horizontal="center"/>
    </xf>
    <xf numFmtId="3" fontId="143" fillId="40" borderId="129" xfId="0" applyNumberFormat="1" applyFont="1" applyFill="1" applyBorder="1" applyAlignment="1">
      <alignment/>
    </xf>
    <xf numFmtId="3" fontId="143" fillId="40" borderId="84" xfId="0" applyNumberFormat="1" applyFont="1" applyFill="1" applyBorder="1" applyAlignment="1">
      <alignment/>
    </xf>
    <xf numFmtId="3" fontId="144" fillId="40" borderId="16" xfId="0" applyNumberFormat="1" applyFont="1" applyFill="1" applyBorder="1" applyAlignment="1">
      <alignment/>
    </xf>
    <xf numFmtId="3" fontId="143" fillId="40" borderId="37" xfId="0" applyNumberFormat="1" applyFont="1" applyFill="1" applyBorder="1" applyAlignment="1">
      <alignment/>
    </xf>
    <xf numFmtId="3" fontId="143" fillId="40" borderId="93" xfId="0" applyNumberFormat="1" applyFont="1" applyFill="1" applyBorder="1" applyAlignment="1">
      <alignment/>
    </xf>
    <xf numFmtId="3" fontId="143" fillId="40" borderId="160" xfId="0" applyNumberFormat="1" applyFont="1" applyFill="1" applyBorder="1" applyAlignment="1">
      <alignment/>
    </xf>
    <xf numFmtId="3" fontId="144" fillId="40" borderId="146" xfId="0" applyNumberFormat="1" applyFont="1" applyFill="1" applyBorder="1" applyAlignment="1">
      <alignment/>
    </xf>
    <xf numFmtId="3" fontId="143" fillId="40" borderId="18" xfId="0" applyNumberFormat="1" applyFont="1" applyFill="1" applyBorder="1" applyAlignment="1">
      <alignment/>
    </xf>
    <xf numFmtId="3" fontId="31" fillId="0" borderId="69" xfId="0" applyNumberFormat="1" applyFont="1" applyFill="1" applyBorder="1" applyAlignment="1">
      <alignment/>
    </xf>
    <xf numFmtId="3" fontId="31" fillId="0" borderId="189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45" fillId="0" borderId="11" xfId="0" applyFont="1" applyFill="1" applyBorder="1" applyAlignment="1">
      <alignment horizontal="right"/>
    </xf>
    <xf numFmtId="3" fontId="45" fillId="0" borderId="11" xfId="0" applyNumberFormat="1" applyFont="1" applyBorder="1" applyAlignment="1">
      <alignment/>
    </xf>
    <xf numFmtId="3" fontId="145" fillId="0" borderId="11" xfId="0" applyNumberFormat="1" applyFont="1" applyFill="1" applyBorder="1" applyAlignment="1">
      <alignment/>
    </xf>
    <xf numFmtId="3" fontId="146" fillId="0" borderId="0" xfId="0" applyNumberFormat="1" applyFont="1" applyAlignment="1">
      <alignment/>
    </xf>
    <xf numFmtId="0" fontId="28" fillId="0" borderId="11" xfId="0" applyFont="1" applyBorder="1" applyAlignment="1">
      <alignment horizontal="center"/>
    </xf>
    <xf numFmtId="0" fontId="28" fillId="0" borderId="11" xfId="0" applyFont="1" applyBorder="1" applyAlignment="1">
      <alignment/>
    </xf>
    <xf numFmtId="10" fontId="28" fillId="0" borderId="11" xfId="0" applyNumberFormat="1" applyFont="1" applyBorder="1" applyAlignment="1">
      <alignment/>
    </xf>
    <xf numFmtId="3" fontId="30" fillId="33" borderId="23" xfId="0" applyNumberFormat="1" applyFont="1" applyFill="1" applyBorder="1" applyAlignment="1">
      <alignment/>
    </xf>
    <xf numFmtId="10" fontId="28" fillId="44" borderId="11" xfId="0" applyNumberFormat="1" applyFont="1" applyFill="1" applyBorder="1" applyAlignment="1">
      <alignment/>
    </xf>
    <xf numFmtId="3" fontId="30" fillId="44" borderId="23" xfId="0" applyNumberFormat="1" applyFont="1" applyFill="1" applyBorder="1" applyAlignment="1">
      <alignment/>
    </xf>
    <xf numFmtId="0" fontId="46" fillId="44" borderId="21" xfId="0" applyFont="1" applyFill="1" applyBorder="1" applyAlignment="1">
      <alignment/>
    </xf>
    <xf numFmtId="3" fontId="82" fillId="44" borderId="81" xfId="0" applyNumberFormat="1" applyFont="1" applyFill="1" applyBorder="1" applyAlignment="1">
      <alignment/>
    </xf>
    <xf numFmtId="3" fontId="42" fillId="0" borderId="0" xfId="0" applyNumberFormat="1" applyFont="1" applyBorder="1" applyAlignment="1">
      <alignment/>
    </xf>
    <xf numFmtId="0" fontId="45" fillId="0" borderId="0" xfId="0" applyFont="1" applyFill="1" applyBorder="1" applyAlignment="1">
      <alignment horizontal="left"/>
    </xf>
    <xf numFmtId="0" fontId="0" fillId="0" borderId="43" xfId="0" applyBorder="1" applyAlignment="1">
      <alignment/>
    </xf>
    <xf numFmtId="0" fontId="42" fillId="0" borderId="15" xfId="0" applyFont="1" applyBorder="1" applyAlignment="1">
      <alignment horizontal="center"/>
    </xf>
    <xf numFmtId="0" fontId="42" fillId="0" borderId="22" xfId="0" applyFont="1" applyBorder="1" applyAlignment="1">
      <alignment horizontal="center"/>
    </xf>
    <xf numFmtId="0" fontId="0" fillId="0" borderId="16" xfId="0" applyBorder="1" applyAlignment="1">
      <alignment/>
    </xf>
    <xf numFmtId="0" fontId="122" fillId="0" borderId="23" xfId="0" applyFont="1" applyBorder="1" applyAlignment="1">
      <alignment horizontal="center"/>
    </xf>
    <xf numFmtId="0" fontId="3" fillId="0" borderId="16" xfId="0" applyFont="1" applyBorder="1" applyAlignment="1">
      <alignment/>
    </xf>
    <xf numFmtId="3" fontId="3" fillId="0" borderId="23" xfId="0" applyNumberFormat="1" applyFont="1" applyBorder="1" applyAlignment="1">
      <alignment/>
    </xf>
    <xf numFmtId="0" fontId="43" fillId="0" borderId="20" xfId="0" applyFont="1" applyBorder="1" applyAlignment="1">
      <alignment/>
    </xf>
    <xf numFmtId="3" fontId="43" fillId="0" borderId="21" xfId="0" applyNumberFormat="1" applyFont="1" applyBorder="1" applyAlignment="1">
      <alignment/>
    </xf>
    <xf numFmtId="3" fontId="43" fillId="0" borderId="81" xfId="0" applyNumberFormat="1" applyFont="1" applyBorder="1" applyAlignment="1">
      <alignment/>
    </xf>
    <xf numFmtId="0" fontId="32" fillId="0" borderId="58" xfId="0" applyFont="1" applyBorder="1" applyAlignment="1">
      <alignment vertical="center"/>
    </xf>
    <xf numFmtId="0" fontId="32" fillId="0" borderId="55" xfId="0" applyFont="1" applyBorder="1" applyAlignment="1">
      <alignment vertical="center"/>
    </xf>
    <xf numFmtId="0" fontId="65" fillId="0" borderId="131" xfId="0" applyFont="1" applyBorder="1" applyAlignment="1">
      <alignment horizontal="center" vertical="center"/>
    </xf>
    <xf numFmtId="0" fontId="29" fillId="0" borderId="57" xfId="0" applyFont="1" applyBorder="1" applyAlignment="1">
      <alignment horizontal="left" vertical="center" wrapText="1"/>
    </xf>
    <xf numFmtId="3" fontId="28" fillId="0" borderId="53" xfId="0" applyNumberFormat="1" applyFont="1" applyBorder="1" applyAlignment="1">
      <alignment vertical="center"/>
    </xf>
    <xf numFmtId="3" fontId="32" fillId="0" borderId="55" xfId="0" applyNumberFormat="1" applyFont="1" applyBorder="1" applyAlignment="1">
      <alignment vertical="center"/>
    </xf>
    <xf numFmtId="3" fontId="32" fillId="0" borderId="88" xfId="0" applyNumberFormat="1" applyFont="1" applyBorder="1" applyAlignment="1">
      <alignment vertical="center"/>
    </xf>
    <xf numFmtId="3" fontId="29" fillId="0" borderId="56" xfId="0" applyNumberFormat="1" applyFont="1" applyBorder="1" applyAlignment="1">
      <alignment vertical="center"/>
    </xf>
    <xf numFmtId="0" fontId="29" fillId="0" borderId="149" xfId="0" applyFont="1" applyFill="1" applyBorder="1" applyAlignment="1">
      <alignment horizontal="left"/>
    </xf>
    <xf numFmtId="4" fontId="125" fillId="0" borderId="11" xfId="0" applyNumberFormat="1" applyFont="1" applyFill="1" applyBorder="1" applyAlignment="1">
      <alignment/>
    </xf>
    <xf numFmtId="3" fontId="125" fillId="0" borderId="75" xfId="0" applyNumberFormat="1" applyFont="1" applyBorder="1" applyAlignment="1">
      <alignment/>
    </xf>
    <xf numFmtId="3" fontId="134" fillId="0" borderId="0" xfId="0" applyNumberFormat="1" applyFont="1" applyFill="1" applyAlignment="1">
      <alignment horizontal="left"/>
    </xf>
    <xf numFmtId="0" fontId="23" fillId="0" borderId="0" xfId="94" applyFont="1" applyFill="1" applyAlignment="1">
      <alignment vertical="center"/>
      <protection/>
    </xf>
    <xf numFmtId="0" fontId="23" fillId="55" borderId="0" xfId="94" applyFont="1" applyFill="1" applyAlignment="1">
      <alignment vertical="center"/>
      <protection/>
    </xf>
    <xf numFmtId="0" fontId="23" fillId="0" borderId="0" xfId="94" applyFont="1" applyAlignment="1">
      <alignment vertical="center"/>
      <protection/>
    </xf>
    <xf numFmtId="0" fontId="136" fillId="43" borderId="190" xfId="0" applyFont="1" applyFill="1" applyBorder="1" applyAlignment="1">
      <alignment horizontal="left"/>
    </xf>
    <xf numFmtId="0" fontId="140" fillId="0" borderId="190" xfId="0" applyFont="1" applyBorder="1" applyAlignment="1">
      <alignment horizontal="left" indent="2"/>
    </xf>
    <xf numFmtId="0" fontId="140" fillId="0" borderId="190" xfId="0" applyFont="1" applyBorder="1" applyAlignment="1">
      <alignment horizontal="left" wrapText="1" indent="2"/>
    </xf>
    <xf numFmtId="0" fontId="132" fillId="43" borderId="11" xfId="0" applyFont="1" applyFill="1" applyBorder="1" applyAlignment="1">
      <alignment horizontal="center" vertical="center" wrapText="1"/>
    </xf>
    <xf numFmtId="0" fontId="132" fillId="43" borderId="23" xfId="0" applyFont="1" applyFill="1" applyBorder="1" applyAlignment="1">
      <alignment horizontal="center" vertical="center" wrapText="1"/>
    </xf>
    <xf numFmtId="0" fontId="28" fillId="0" borderId="101" xfId="0" applyFont="1" applyBorder="1" applyAlignment="1">
      <alignment horizontal="center"/>
    </xf>
    <xf numFmtId="10" fontId="28" fillId="0" borderId="15" xfId="0" applyNumberFormat="1" applyFont="1" applyBorder="1" applyAlignment="1">
      <alignment/>
    </xf>
    <xf numFmtId="186" fontId="29" fillId="16" borderId="22" xfId="0" applyNumberFormat="1" applyFont="1" applyFill="1" applyBorder="1" applyAlignment="1">
      <alignment horizontal="center" wrapText="1"/>
    </xf>
    <xf numFmtId="186" fontId="29" fillId="16" borderId="15" xfId="0" applyNumberFormat="1" applyFont="1" applyFill="1" applyBorder="1" applyAlignment="1">
      <alignment horizontal="center" wrapText="1"/>
    </xf>
    <xf numFmtId="0" fontId="37" fillId="0" borderId="0" xfId="0" applyFont="1" applyAlignment="1">
      <alignment horizontal="right"/>
    </xf>
    <xf numFmtId="4" fontId="49" fillId="0" borderId="11" xfId="97" applyNumberFormat="1" applyFont="1" applyFill="1" applyBorder="1">
      <alignment/>
      <protection/>
    </xf>
    <xf numFmtId="0" fontId="32" fillId="0" borderId="111" xfId="0" applyFont="1" applyBorder="1" applyAlignment="1">
      <alignment horizontal="center"/>
    </xf>
    <xf numFmtId="0" fontId="74" fillId="51" borderId="0" xfId="0" applyFont="1" applyFill="1" applyBorder="1" applyAlignment="1">
      <alignment/>
    </xf>
    <xf numFmtId="0" fontId="65" fillId="0" borderId="104" xfId="0" applyFont="1" applyBorder="1" applyAlignment="1">
      <alignment horizontal="center"/>
    </xf>
    <xf numFmtId="0" fontId="74" fillId="51" borderId="60" xfId="0" applyFont="1" applyFill="1" applyBorder="1" applyAlignment="1">
      <alignment horizontal="left"/>
    </xf>
    <xf numFmtId="3" fontId="74" fillId="51" borderId="26" xfId="0" applyNumberFormat="1" applyFont="1" applyFill="1" applyBorder="1" applyAlignment="1">
      <alignment/>
    </xf>
    <xf numFmtId="3" fontId="74" fillId="51" borderId="0" xfId="0" applyNumberFormat="1" applyFont="1" applyFill="1" applyBorder="1" applyAlignment="1">
      <alignment/>
    </xf>
    <xf numFmtId="3" fontId="74" fillId="51" borderId="103" xfId="0" applyNumberFormat="1" applyFont="1" applyFill="1" applyBorder="1" applyAlignment="1">
      <alignment/>
    </xf>
    <xf numFmtId="3" fontId="74" fillId="51" borderId="104" xfId="0" applyNumberFormat="1" applyFont="1" applyFill="1" applyBorder="1" applyAlignment="1">
      <alignment/>
    </xf>
    <xf numFmtId="3" fontId="74" fillId="0" borderId="59" xfId="0" applyNumberFormat="1" applyFont="1" applyBorder="1" applyAlignment="1">
      <alignment/>
    </xf>
    <xf numFmtId="0" fontId="32" fillId="0" borderId="191" xfId="0" applyFont="1" applyBorder="1" applyAlignment="1">
      <alignment/>
    </xf>
    <xf numFmtId="0" fontId="65" fillId="0" borderId="145" xfId="0" applyFont="1" applyBorder="1" applyAlignment="1">
      <alignment horizontal="center"/>
    </xf>
    <xf numFmtId="0" fontId="29" fillId="0" borderId="192" xfId="0" applyFont="1" applyBorder="1" applyAlignment="1">
      <alignment horizontal="left"/>
    </xf>
    <xf numFmtId="3" fontId="28" fillId="0" borderId="193" xfId="0" applyNumberFormat="1" applyFont="1" applyBorder="1" applyAlignment="1">
      <alignment/>
    </xf>
    <xf numFmtId="3" fontId="32" fillId="0" borderId="191" xfId="0" applyNumberFormat="1" applyFont="1" applyBorder="1" applyAlignment="1">
      <alignment/>
    </xf>
    <xf numFmtId="3" fontId="32" fillId="0" borderId="194" xfId="0" applyNumberFormat="1" applyFont="1" applyBorder="1" applyAlignment="1">
      <alignment/>
    </xf>
    <xf numFmtId="3" fontId="32" fillId="0" borderId="145" xfId="0" applyNumberFormat="1" applyFont="1" applyBorder="1" applyAlignment="1">
      <alignment/>
    </xf>
    <xf numFmtId="3" fontId="29" fillId="0" borderId="172" xfId="0" applyNumberFormat="1" applyFont="1" applyBorder="1" applyAlignment="1">
      <alignment/>
    </xf>
    <xf numFmtId="3" fontId="28" fillId="0" borderId="28" xfId="0" applyNumberFormat="1" applyFont="1" applyBorder="1" applyAlignment="1">
      <alignment/>
    </xf>
    <xf numFmtId="9" fontId="32" fillId="49" borderId="0" xfId="0" applyNumberFormat="1" applyFont="1" applyFill="1" applyAlignment="1">
      <alignment horizontal="center"/>
    </xf>
    <xf numFmtId="10" fontId="147" fillId="53" borderId="11" xfId="0" applyNumberFormat="1" applyFont="1" applyFill="1" applyBorder="1" applyAlignment="1">
      <alignment/>
    </xf>
    <xf numFmtId="10" fontId="128" fillId="40" borderId="23" xfId="0" applyNumberFormat="1" applyFont="1" applyFill="1" applyBorder="1" applyAlignment="1">
      <alignment/>
    </xf>
    <xf numFmtId="10" fontId="128" fillId="0" borderId="23" xfId="0" applyNumberFormat="1" applyFont="1" applyBorder="1" applyAlignment="1">
      <alignment/>
    </xf>
    <xf numFmtId="10" fontId="128" fillId="0" borderId="23" xfId="0" applyNumberFormat="1" applyFont="1" applyFill="1" applyBorder="1" applyAlignment="1">
      <alignment/>
    </xf>
    <xf numFmtId="10" fontId="132" fillId="43" borderId="81" xfId="0" applyNumberFormat="1" applyFont="1" applyFill="1" applyBorder="1" applyAlignment="1">
      <alignment/>
    </xf>
    <xf numFmtId="9" fontId="147" fillId="53" borderId="11" xfId="0" applyNumberFormat="1" applyFont="1" applyFill="1" applyBorder="1" applyAlignment="1">
      <alignment horizontal="center"/>
    </xf>
    <xf numFmtId="9" fontId="122" fillId="40" borderId="195" xfId="0" applyNumberFormat="1" applyFont="1" applyFill="1" applyBorder="1" applyAlignment="1">
      <alignment horizontal="center"/>
    </xf>
    <xf numFmtId="10" fontId="66" fillId="53" borderId="11" xfId="0" applyNumberFormat="1" applyFont="1" applyFill="1" applyBorder="1" applyAlignment="1">
      <alignment/>
    </xf>
    <xf numFmtId="3" fontId="28" fillId="0" borderId="143" xfId="0" applyNumberFormat="1" applyFont="1" applyBorder="1" applyAlignment="1">
      <alignment/>
    </xf>
    <xf numFmtId="3" fontId="31" fillId="0" borderId="196" xfId="0" applyNumberFormat="1" applyFont="1" applyBorder="1" applyAlignment="1">
      <alignment/>
    </xf>
    <xf numFmtId="0" fontId="31" fillId="0" borderId="179" xfId="0" applyFont="1" applyBorder="1" applyAlignment="1">
      <alignment horizontal="center"/>
    </xf>
    <xf numFmtId="0" fontId="28" fillId="0" borderId="43" xfId="0" applyFont="1" applyBorder="1" applyAlignment="1">
      <alignment horizontal="center"/>
    </xf>
    <xf numFmtId="0" fontId="65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3" fontId="31" fillId="0" borderId="0" xfId="0" applyNumberFormat="1" applyFont="1" applyAlignment="1">
      <alignment vertical="center"/>
    </xf>
    <xf numFmtId="3" fontId="92" fillId="0" borderId="0" xfId="0" applyNumberFormat="1" applyFont="1" applyAlignment="1">
      <alignment vertical="center"/>
    </xf>
    <xf numFmtId="3" fontId="69" fillId="0" borderId="0" xfId="0" applyNumberFormat="1" applyFont="1" applyAlignment="1">
      <alignment vertical="center"/>
    </xf>
    <xf numFmtId="3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91" fillId="0" borderId="0" xfId="0" applyFont="1" applyAlignment="1">
      <alignment vertical="center"/>
    </xf>
    <xf numFmtId="0" fontId="90" fillId="0" borderId="0" xfId="0" applyFont="1" applyAlignment="1">
      <alignment vertical="center"/>
    </xf>
    <xf numFmtId="3" fontId="90" fillId="0" borderId="0" xfId="0" applyNumberFormat="1" applyFont="1" applyAlignment="1">
      <alignment vertical="center"/>
    </xf>
    <xf numFmtId="4" fontId="92" fillId="0" borderId="0" xfId="0" applyNumberFormat="1" applyFont="1" applyAlignment="1">
      <alignment vertical="center"/>
    </xf>
    <xf numFmtId="3" fontId="28" fillId="0" borderId="73" xfId="0" applyNumberFormat="1" applyFont="1" applyBorder="1" applyAlignment="1">
      <alignment/>
    </xf>
    <xf numFmtId="3" fontId="28" fillId="0" borderId="72" xfId="0" applyNumberFormat="1" applyFont="1" applyBorder="1" applyAlignment="1">
      <alignment/>
    </xf>
    <xf numFmtId="0" fontId="32" fillId="40" borderId="27" xfId="0" applyFont="1" applyFill="1" applyBorder="1" applyAlignment="1">
      <alignment horizontal="center" wrapText="1"/>
    </xf>
    <xf numFmtId="0" fontId="32" fillId="44" borderId="33" xfId="0" applyFont="1" applyFill="1" applyBorder="1" applyAlignment="1">
      <alignment horizontal="center"/>
    </xf>
    <xf numFmtId="0" fontId="28" fillId="0" borderId="45" xfId="0" applyFont="1" applyBorder="1" applyAlignment="1">
      <alignment horizontal="center" wrapText="1"/>
    </xf>
    <xf numFmtId="0" fontId="28" fillId="0" borderId="38" xfId="0" applyFont="1" applyBorder="1" applyAlignment="1">
      <alignment horizontal="center"/>
    </xf>
    <xf numFmtId="10" fontId="28" fillId="0" borderId="167" xfId="0" applyNumberFormat="1" applyFont="1" applyBorder="1" applyAlignment="1">
      <alignment/>
    </xf>
    <xf numFmtId="0" fontId="28" fillId="0" borderId="138" xfId="0" applyFont="1" applyBorder="1" applyAlignment="1">
      <alignment horizontal="center"/>
    </xf>
    <xf numFmtId="10" fontId="28" fillId="0" borderId="122" xfId="0" applyNumberFormat="1" applyFont="1" applyBorder="1" applyAlignment="1">
      <alignment/>
    </xf>
    <xf numFmtId="0" fontId="28" fillId="0" borderId="197" xfId="0" applyFont="1" applyBorder="1" applyAlignment="1">
      <alignment horizontal="center"/>
    </xf>
    <xf numFmtId="10" fontId="28" fillId="0" borderId="144" xfId="0" applyNumberFormat="1" applyFont="1" applyBorder="1" applyAlignment="1">
      <alignment/>
    </xf>
    <xf numFmtId="10" fontId="28" fillId="44" borderId="168" xfId="0" applyNumberFormat="1" applyFont="1" applyFill="1" applyBorder="1" applyAlignment="1">
      <alignment/>
    </xf>
    <xf numFmtId="3" fontId="30" fillId="44" borderId="66" xfId="0" applyNumberFormat="1" applyFont="1" applyFill="1" applyBorder="1" applyAlignment="1">
      <alignment/>
    </xf>
    <xf numFmtId="10" fontId="28" fillId="0" borderId="168" xfId="0" applyNumberFormat="1" applyFont="1" applyBorder="1" applyAlignment="1">
      <alignment/>
    </xf>
    <xf numFmtId="3" fontId="30" fillId="33" borderId="66" xfId="0" applyNumberFormat="1" applyFont="1" applyFill="1" applyBorder="1" applyAlignment="1">
      <alignment/>
    </xf>
    <xf numFmtId="10" fontId="28" fillId="0" borderId="183" xfId="0" applyNumberFormat="1" applyFont="1" applyBorder="1" applyAlignment="1">
      <alignment/>
    </xf>
    <xf numFmtId="3" fontId="30" fillId="33" borderId="75" xfId="0" applyNumberFormat="1" applyFont="1" applyFill="1" applyBorder="1" applyAlignment="1">
      <alignment/>
    </xf>
    <xf numFmtId="0" fontId="46" fillId="44" borderId="183" xfId="0" applyFont="1" applyFill="1" applyBorder="1" applyAlignment="1">
      <alignment/>
    </xf>
    <xf numFmtId="3" fontId="82" fillId="44" borderId="75" xfId="0" applyNumberFormat="1" applyFont="1" applyFill="1" applyBorder="1" applyAlignment="1">
      <alignment/>
    </xf>
    <xf numFmtId="10" fontId="28" fillId="0" borderId="61" xfId="0" applyNumberFormat="1" applyFont="1" applyBorder="1" applyAlignment="1">
      <alignment/>
    </xf>
    <xf numFmtId="3" fontId="30" fillId="33" borderId="62" xfId="0" applyNumberFormat="1" applyFont="1" applyFill="1" applyBorder="1" applyAlignment="1">
      <alignment/>
    </xf>
    <xf numFmtId="3" fontId="52" fillId="33" borderId="62" xfId="0" applyNumberFormat="1" applyFont="1" applyFill="1" applyBorder="1" applyAlignment="1">
      <alignment/>
    </xf>
    <xf numFmtId="0" fontId="30" fillId="0" borderId="14" xfId="0" applyFont="1" applyBorder="1" applyAlignment="1">
      <alignment horizontal="center"/>
    </xf>
    <xf numFmtId="0" fontId="30" fillId="0" borderId="22" xfId="0" applyFont="1" applyBorder="1" applyAlignment="1">
      <alignment horizontal="center"/>
    </xf>
    <xf numFmtId="0" fontId="39" fillId="11" borderId="26" xfId="0" applyFont="1" applyFill="1" applyBorder="1" applyAlignment="1">
      <alignment horizontal="center"/>
    </xf>
    <xf numFmtId="0" fontId="39" fillId="11" borderId="35" xfId="0" applyFont="1" applyFill="1" applyBorder="1" applyAlignment="1">
      <alignment horizontal="center"/>
    </xf>
    <xf numFmtId="0" fontId="28" fillId="11" borderId="26" xfId="0" applyFont="1" applyFill="1" applyBorder="1" applyAlignment="1">
      <alignment horizontal="center"/>
    </xf>
    <xf numFmtId="0" fontId="28" fillId="11" borderId="35" xfId="0" applyFont="1" applyFill="1" applyBorder="1" applyAlignment="1">
      <alignment horizontal="center"/>
    </xf>
    <xf numFmtId="3" fontId="31" fillId="11" borderId="53" xfId="0" applyNumberFormat="1" applyFont="1" applyFill="1" applyBorder="1" applyAlignment="1">
      <alignment/>
    </xf>
    <xf numFmtId="3" fontId="31" fillId="11" borderId="198" xfId="0" applyNumberFormat="1" applyFont="1" applyFill="1" applyBorder="1" applyAlignment="1">
      <alignment/>
    </xf>
    <xf numFmtId="3" fontId="31" fillId="11" borderId="129" xfId="0" applyNumberFormat="1" applyFont="1" applyFill="1" applyBorder="1" applyAlignment="1">
      <alignment/>
    </xf>
    <xf numFmtId="3" fontId="31" fillId="11" borderId="182" xfId="0" applyNumberFormat="1" applyFont="1" applyFill="1" applyBorder="1" applyAlignment="1">
      <alignment/>
    </xf>
    <xf numFmtId="3" fontId="31" fillId="11" borderId="16" xfId="0" applyNumberFormat="1" applyFont="1" applyFill="1" applyBorder="1" applyAlignment="1">
      <alignment/>
    </xf>
    <xf numFmtId="3" fontId="31" fillId="11" borderId="23" xfId="0" applyNumberFormat="1" applyFont="1" applyFill="1" applyBorder="1" applyAlignment="1">
      <alignment/>
    </xf>
    <xf numFmtId="3" fontId="31" fillId="11" borderId="26" xfId="0" applyNumberFormat="1" applyFont="1" applyFill="1" applyBorder="1" applyAlignment="1">
      <alignment/>
    </xf>
    <xf numFmtId="3" fontId="31" fillId="11" borderId="35" xfId="0" applyNumberFormat="1" applyFont="1" applyFill="1" applyBorder="1" applyAlignment="1">
      <alignment/>
    </xf>
    <xf numFmtId="3" fontId="31" fillId="11" borderId="84" xfId="0" applyNumberFormat="1" applyFont="1" applyFill="1" applyBorder="1" applyAlignment="1">
      <alignment/>
    </xf>
    <xf numFmtId="3" fontId="31" fillId="11" borderId="115" xfId="0" applyNumberFormat="1" applyFont="1" applyFill="1" applyBorder="1" applyAlignment="1">
      <alignment/>
    </xf>
    <xf numFmtId="3" fontId="82" fillId="11" borderId="16" xfId="0" applyNumberFormat="1" applyFont="1" applyFill="1" applyBorder="1" applyAlignment="1">
      <alignment/>
    </xf>
    <xf numFmtId="3" fontId="82" fillId="11" borderId="23" xfId="0" applyNumberFormat="1" applyFont="1" applyFill="1" applyBorder="1" applyAlignment="1">
      <alignment/>
    </xf>
    <xf numFmtId="3" fontId="30" fillId="11" borderId="18" xfId="0" applyNumberFormat="1" applyFont="1" applyFill="1" applyBorder="1" applyAlignment="1">
      <alignment/>
    </xf>
    <xf numFmtId="3" fontId="30" fillId="11" borderId="24" xfId="0" applyNumberFormat="1" applyFont="1" applyFill="1" applyBorder="1" applyAlignment="1">
      <alignment/>
    </xf>
    <xf numFmtId="0" fontId="31" fillId="0" borderId="73" xfId="0" applyFont="1" applyBorder="1" applyAlignment="1">
      <alignment/>
    </xf>
    <xf numFmtId="4" fontId="28" fillId="0" borderId="12" xfId="0" applyNumberFormat="1" applyFont="1" applyBorder="1" applyAlignment="1">
      <alignment/>
    </xf>
    <xf numFmtId="4" fontId="31" fillId="0" borderId="163" xfId="0" applyNumberFormat="1" applyFont="1" applyBorder="1" applyAlignment="1">
      <alignment/>
    </xf>
    <xf numFmtId="4" fontId="134" fillId="0" borderId="12" xfId="0" applyNumberFormat="1" applyFont="1" applyBorder="1" applyAlignment="1">
      <alignment/>
    </xf>
    <xf numFmtId="3" fontId="28" fillId="0" borderId="11" xfId="0" applyNumberFormat="1" applyFont="1" applyBorder="1" applyAlignment="1">
      <alignment/>
    </xf>
    <xf numFmtId="4" fontId="28" fillId="0" borderId="27" xfId="0" applyNumberFormat="1" applyFont="1" applyBorder="1" applyAlignment="1">
      <alignment/>
    </xf>
    <xf numFmtId="0" fontId="29" fillId="11" borderId="18" xfId="0" applyFont="1" applyFill="1" applyBorder="1" applyAlignment="1">
      <alignment horizontal="center"/>
    </xf>
    <xf numFmtId="0" fontId="29" fillId="11" borderId="24" xfId="0" applyFont="1" applyFill="1" applyBorder="1" applyAlignment="1">
      <alignment horizontal="center"/>
    </xf>
    <xf numFmtId="0" fontId="40" fillId="0" borderId="0" xfId="0" applyFont="1" applyAlignment="1">
      <alignment vertical="center"/>
    </xf>
    <xf numFmtId="4" fontId="28" fillId="0" borderId="0" xfId="0" applyNumberFormat="1" applyFont="1" applyAlignment="1">
      <alignment vertical="center"/>
    </xf>
    <xf numFmtId="3" fontId="60" fillId="33" borderId="84" xfId="0" applyNumberFormat="1" applyFont="1" applyFill="1" applyBorder="1" applyAlignment="1">
      <alignment/>
    </xf>
    <xf numFmtId="3" fontId="60" fillId="33" borderId="129" xfId="0" applyNumberFormat="1" applyFont="1" applyFill="1" applyBorder="1" applyAlignment="1">
      <alignment/>
    </xf>
    <xf numFmtId="3" fontId="60" fillId="33" borderId="93" xfId="0" applyNumberFormat="1" applyFont="1" applyFill="1" applyBorder="1" applyAlignment="1">
      <alignment/>
    </xf>
    <xf numFmtId="3" fontId="143" fillId="33" borderId="85" xfId="0" applyNumberFormat="1" applyFont="1" applyFill="1" applyBorder="1" applyAlignment="1">
      <alignment/>
    </xf>
    <xf numFmtId="3" fontId="28" fillId="47" borderId="66" xfId="0" applyNumberFormat="1" applyFont="1" applyFill="1" applyBorder="1" applyAlignment="1">
      <alignment/>
    </xf>
    <xf numFmtId="3" fontId="134" fillId="44" borderId="23" xfId="0" applyNumberFormat="1" applyFont="1" applyFill="1" applyBorder="1" applyAlignment="1">
      <alignment/>
    </xf>
    <xf numFmtId="3" fontId="148" fillId="0" borderId="0" xfId="0" applyNumberFormat="1" applyFont="1" applyAlignment="1">
      <alignment vertical="center"/>
    </xf>
    <xf numFmtId="3" fontId="149" fillId="0" borderId="0" xfId="0" applyNumberFormat="1" applyFont="1" applyAlignment="1">
      <alignment vertical="center"/>
    </xf>
    <xf numFmtId="3" fontId="134" fillId="0" borderId="0" xfId="0" applyNumberFormat="1" applyFont="1" applyAlignment="1">
      <alignment/>
    </xf>
    <xf numFmtId="3" fontId="148" fillId="0" borderId="0" xfId="0" applyNumberFormat="1" applyFont="1" applyAlignment="1">
      <alignment/>
    </xf>
    <xf numFmtId="4" fontId="134" fillId="0" borderId="0" xfId="0" applyNumberFormat="1" applyFont="1" applyAlignment="1">
      <alignment/>
    </xf>
    <xf numFmtId="3" fontId="28" fillId="47" borderId="64" xfId="0" applyNumberFormat="1" applyFont="1" applyFill="1" applyBorder="1" applyAlignment="1">
      <alignment/>
    </xf>
    <xf numFmtId="3" fontId="28" fillId="47" borderId="17" xfId="0" applyNumberFormat="1" applyFont="1" applyFill="1" applyBorder="1" applyAlignment="1">
      <alignment/>
    </xf>
    <xf numFmtId="3" fontId="28" fillId="47" borderId="62" xfId="0" applyNumberFormat="1" applyFont="1" applyFill="1" applyBorder="1" applyAlignment="1">
      <alignment/>
    </xf>
    <xf numFmtId="3" fontId="38" fillId="44" borderId="148" xfId="0" applyNumberFormat="1" applyFont="1" applyFill="1" applyBorder="1" applyAlignment="1">
      <alignment/>
    </xf>
    <xf numFmtId="3" fontId="28" fillId="41" borderId="85" xfId="0" applyNumberFormat="1" applyFont="1" applyFill="1" applyBorder="1" applyAlignment="1">
      <alignment/>
    </xf>
    <xf numFmtId="3" fontId="134" fillId="44" borderId="148" xfId="0" applyNumberFormat="1" applyFont="1" applyFill="1" applyBorder="1" applyAlignment="1">
      <alignment/>
    </xf>
    <xf numFmtId="3" fontId="38" fillId="40" borderId="102" xfId="0" applyNumberFormat="1" applyFont="1" applyFill="1" applyBorder="1" applyAlignment="1">
      <alignment/>
    </xf>
    <xf numFmtId="3" fontId="38" fillId="40" borderId="91" xfId="0" applyNumberFormat="1" applyFont="1" applyFill="1" applyBorder="1" applyAlignment="1">
      <alignment/>
    </xf>
    <xf numFmtId="3" fontId="38" fillId="40" borderId="131" xfId="0" applyNumberFormat="1" applyFont="1" applyFill="1" applyBorder="1" applyAlignment="1">
      <alignment/>
    </xf>
    <xf numFmtId="3" fontId="150" fillId="0" borderId="0" xfId="0" applyNumberFormat="1" applyFont="1" applyAlignment="1">
      <alignment/>
    </xf>
    <xf numFmtId="3" fontId="150" fillId="0" borderId="146" xfId="0" applyNumberFormat="1" applyFont="1" applyFill="1" applyBorder="1" applyAlignment="1">
      <alignment/>
    </xf>
    <xf numFmtId="3" fontId="150" fillId="0" borderId="41" xfId="0" applyNumberFormat="1" applyFont="1" applyFill="1" applyBorder="1" applyAlignment="1">
      <alignment/>
    </xf>
    <xf numFmtId="0" fontId="34" fillId="0" borderId="0" xfId="124" applyFont="1" applyAlignment="1">
      <alignment horizontal="left"/>
      <protection/>
    </xf>
    <xf numFmtId="0" fontId="34" fillId="0" borderId="0" xfId="124" applyFont="1" applyAlignment="1">
      <alignment horizontal="center"/>
      <protection/>
    </xf>
    <xf numFmtId="0" fontId="34" fillId="0" borderId="0" xfId="124" applyFont="1" applyAlignment="1">
      <alignment/>
      <protection/>
    </xf>
    <xf numFmtId="0" fontId="32" fillId="0" borderId="0" xfId="124" applyFont="1">
      <alignment/>
      <protection/>
    </xf>
    <xf numFmtId="0" fontId="29" fillId="0" borderId="0" xfId="124" applyFont="1">
      <alignment/>
      <protection/>
    </xf>
    <xf numFmtId="2" fontId="28" fillId="0" borderId="0" xfId="124" applyNumberFormat="1" applyFont="1" applyAlignment="1">
      <alignment horizontal="center"/>
      <protection/>
    </xf>
    <xf numFmtId="0" fontId="28" fillId="0" borderId="0" xfId="124" applyFont="1">
      <alignment/>
      <protection/>
    </xf>
    <xf numFmtId="0" fontId="37" fillId="0" borderId="0" xfId="124" applyFont="1" applyAlignment="1">
      <alignment horizontal="left"/>
      <protection/>
    </xf>
    <xf numFmtId="0" fontId="151" fillId="0" borderId="0" xfId="124" applyFont="1" applyAlignment="1">
      <alignment horizontal="left"/>
      <protection/>
    </xf>
    <xf numFmtId="49" fontId="152" fillId="0" borderId="0" xfId="124" applyNumberFormat="1" applyFont="1" applyAlignment="1">
      <alignment horizontal="center" wrapText="1"/>
      <protection/>
    </xf>
    <xf numFmtId="0" fontId="30" fillId="0" borderId="0" xfId="124" applyFont="1" applyAlignment="1">
      <alignment horizontal="left"/>
      <protection/>
    </xf>
    <xf numFmtId="0" fontId="30" fillId="0" borderId="0" xfId="124" applyFont="1" applyAlignment="1">
      <alignment horizontal="center"/>
      <protection/>
    </xf>
    <xf numFmtId="0" fontId="30" fillId="0" borderId="0" xfId="124" applyFont="1" applyAlignment="1">
      <alignment/>
      <protection/>
    </xf>
    <xf numFmtId="0" fontId="30" fillId="0" borderId="0" xfId="124" applyFont="1">
      <alignment/>
      <protection/>
    </xf>
    <xf numFmtId="0" fontId="153" fillId="0" borderId="0" xfId="124" applyFont="1">
      <alignment/>
      <protection/>
    </xf>
    <xf numFmtId="0" fontId="32" fillId="0" borderId="0" xfId="124" applyFont="1" applyAlignment="1">
      <alignment horizontal="center"/>
      <protection/>
    </xf>
    <xf numFmtId="0" fontId="32" fillId="0" borderId="0" xfId="124" applyFont="1" applyAlignment="1">
      <alignment/>
      <protection/>
    </xf>
    <xf numFmtId="0" fontId="64" fillId="0" borderId="0" xfId="124" applyFont="1">
      <alignment/>
      <protection/>
    </xf>
    <xf numFmtId="14" fontId="74" fillId="0" borderId="0" xfId="124" applyNumberFormat="1" applyFont="1">
      <alignment/>
      <protection/>
    </xf>
    <xf numFmtId="49" fontId="152" fillId="0" borderId="0" xfId="124" applyNumberFormat="1" applyFont="1" applyAlignment="1">
      <alignment horizontal="center"/>
      <protection/>
    </xf>
    <xf numFmtId="0" fontId="29" fillId="0" borderId="67" xfId="124" applyFont="1" applyBorder="1" applyAlignment="1">
      <alignment horizontal="center"/>
      <protection/>
    </xf>
    <xf numFmtId="0" fontId="29" fillId="0" borderId="33" xfId="124" applyFont="1" applyBorder="1" applyAlignment="1">
      <alignment horizontal="center"/>
      <protection/>
    </xf>
    <xf numFmtId="0" fontId="29" fillId="0" borderId="45" xfId="124" applyFont="1" applyBorder="1" applyAlignment="1">
      <alignment/>
      <protection/>
    </xf>
    <xf numFmtId="0" fontId="29" fillId="0" borderId="199" xfId="124" applyFont="1" applyBorder="1">
      <alignment/>
      <protection/>
    </xf>
    <xf numFmtId="0" fontId="70" fillId="0" borderId="64" xfId="124" applyFont="1" applyBorder="1" applyAlignment="1">
      <alignment horizontal="center"/>
      <protection/>
    </xf>
    <xf numFmtId="0" fontId="70" fillId="0" borderId="22" xfId="124" applyFont="1" applyBorder="1" applyAlignment="1">
      <alignment horizontal="center"/>
      <protection/>
    </xf>
    <xf numFmtId="0" fontId="70" fillId="56" borderId="14" xfId="124" applyFont="1" applyFill="1" applyBorder="1" applyAlignment="1">
      <alignment horizontal="center"/>
      <protection/>
    </xf>
    <xf numFmtId="0" fontId="70" fillId="56" borderId="22" xfId="124" applyFont="1" applyFill="1" applyBorder="1" applyAlignment="1">
      <alignment horizontal="center"/>
      <protection/>
    </xf>
    <xf numFmtId="2" fontId="29" fillId="0" borderId="25" xfId="124" applyNumberFormat="1" applyFont="1" applyBorder="1" applyAlignment="1">
      <alignment horizontal="center"/>
      <protection/>
    </xf>
    <xf numFmtId="0" fontId="29" fillId="0" borderId="34" xfId="124" applyFont="1" applyBorder="1" applyAlignment="1">
      <alignment horizontal="center"/>
      <protection/>
    </xf>
    <xf numFmtId="0" fontId="70" fillId="0" borderId="25" xfId="124" applyFont="1" applyBorder="1" applyAlignment="1">
      <alignment horizontal="center"/>
      <protection/>
    </xf>
    <xf numFmtId="0" fontId="70" fillId="0" borderId="34" xfId="124" applyFont="1" applyBorder="1" applyAlignment="1">
      <alignment horizontal="center"/>
      <protection/>
    </xf>
    <xf numFmtId="0" fontId="29" fillId="0" borderId="200" xfId="124" applyFont="1" applyBorder="1" applyAlignment="1">
      <alignment horizontal="center"/>
      <protection/>
    </xf>
    <xf numFmtId="0" fontId="29" fillId="0" borderId="201" xfId="124" applyFont="1" applyBorder="1" applyAlignment="1">
      <alignment horizontal="center"/>
      <protection/>
    </xf>
    <xf numFmtId="0" fontId="29" fillId="0" borderId="202" xfId="124" applyFont="1" applyBorder="1" applyAlignment="1">
      <alignment/>
      <protection/>
    </xf>
    <xf numFmtId="0" fontId="29" fillId="0" borderId="202" xfId="124" applyFont="1" applyBorder="1">
      <alignment/>
      <protection/>
    </xf>
    <xf numFmtId="0" fontId="70" fillId="0" borderId="203" xfId="124" applyFont="1" applyBorder="1" applyAlignment="1">
      <alignment horizontal="center"/>
      <protection/>
    </xf>
    <xf numFmtId="0" fontId="70" fillId="0" borderId="204" xfId="124" applyFont="1" applyBorder="1" applyAlignment="1">
      <alignment horizontal="center"/>
      <protection/>
    </xf>
    <xf numFmtId="0" fontId="70" fillId="56" borderId="205" xfId="124" applyFont="1" applyFill="1" applyBorder="1" applyAlignment="1">
      <alignment horizontal="center"/>
      <protection/>
    </xf>
    <xf numFmtId="0" fontId="70" fillId="56" borderId="204" xfId="124" applyFont="1" applyFill="1" applyBorder="1" applyAlignment="1">
      <alignment horizontal="center"/>
      <protection/>
    </xf>
    <xf numFmtId="0" fontId="29" fillId="0" borderId="206" xfId="124" applyFont="1" applyBorder="1" applyAlignment="1">
      <alignment horizontal="center"/>
      <protection/>
    </xf>
    <xf numFmtId="0" fontId="29" fillId="0" borderId="207" xfId="124" applyFont="1" applyBorder="1" applyAlignment="1">
      <alignment horizontal="center"/>
      <protection/>
    </xf>
    <xf numFmtId="0" fontId="70" fillId="0" borderId="208" xfId="124" applyFont="1" applyBorder="1" applyAlignment="1">
      <alignment horizontal="center"/>
      <protection/>
    </xf>
    <xf numFmtId="0" fontId="70" fillId="0" borderId="207" xfId="124" applyFont="1" applyBorder="1" applyAlignment="1">
      <alignment horizontal="center"/>
      <protection/>
    </xf>
    <xf numFmtId="0" fontId="78" fillId="57" borderId="70" xfId="124" applyFont="1" applyFill="1" applyBorder="1" applyAlignment="1">
      <alignment horizontal="center"/>
      <protection/>
    </xf>
    <xf numFmtId="0" fontId="78" fillId="57" borderId="13" xfId="124" applyFont="1" applyFill="1" applyBorder="1" applyAlignment="1">
      <alignment horizontal="center"/>
      <protection/>
    </xf>
    <xf numFmtId="0" fontId="78" fillId="57" borderId="13" xfId="124" applyFont="1" applyFill="1" applyBorder="1" applyAlignment="1">
      <alignment/>
      <protection/>
    </xf>
    <xf numFmtId="0" fontId="78" fillId="57" borderId="209" xfId="124" applyFont="1" applyFill="1" applyBorder="1" applyAlignment="1">
      <alignment horizontal="left"/>
      <protection/>
    </xf>
    <xf numFmtId="3" fontId="78" fillId="57" borderId="210" xfId="124" applyNumberFormat="1" applyFont="1" applyFill="1" applyBorder="1" applyAlignment="1">
      <alignment horizontal="right"/>
      <protection/>
    </xf>
    <xf numFmtId="3" fontId="78" fillId="57" borderId="36" xfId="124" applyNumberFormat="1" applyFont="1" applyFill="1" applyBorder="1" applyAlignment="1">
      <alignment horizontal="right"/>
      <protection/>
    </xf>
    <xf numFmtId="3" fontId="78" fillId="57" borderId="28" xfId="124" applyNumberFormat="1" applyFont="1" applyFill="1" applyBorder="1" applyAlignment="1">
      <alignment horizontal="right"/>
      <protection/>
    </xf>
    <xf numFmtId="3" fontId="78" fillId="57" borderId="28" xfId="124" applyNumberFormat="1" applyFont="1" applyFill="1" applyBorder="1" applyAlignment="1">
      <alignment horizontal="center"/>
      <protection/>
    </xf>
    <xf numFmtId="3" fontId="78" fillId="57" borderId="13" xfId="124" applyNumberFormat="1" applyFont="1" applyFill="1" applyBorder="1" applyAlignment="1">
      <alignment horizontal="right"/>
      <protection/>
    </xf>
    <xf numFmtId="0" fontId="29" fillId="33" borderId="65" xfId="124" applyFont="1" applyFill="1" applyBorder="1" applyAlignment="1">
      <alignment horizontal="center"/>
      <protection/>
    </xf>
    <xf numFmtId="0" fontId="29" fillId="33" borderId="11" xfId="124" applyFont="1" applyFill="1" applyBorder="1" applyAlignment="1">
      <alignment horizontal="center"/>
      <protection/>
    </xf>
    <xf numFmtId="0" fontId="29" fillId="33" borderId="168" xfId="124" applyFont="1" applyFill="1" applyBorder="1" applyAlignment="1">
      <alignment/>
      <protection/>
    </xf>
    <xf numFmtId="0" fontId="29" fillId="33" borderId="168" xfId="124" applyFont="1" applyFill="1" applyBorder="1">
      <alignment/>
      <protection/>
    </xf>
    <xf numFmtId="3" fontId="70" fillId="33" borderId="66" xfId="124" applyNumberFormat="1" applyFont="1" applyFill="1" applyBorder="1">
      <alignment/>
      <protection/>
    </xf>
    <xf numFmtId="3" fontId="70" fillId="33" borderId="23" xfId="124" applyNumberFormat="1" applyFont="1" applyFill="1" applyBorder="1">
      <alignment/>
      <protection/>
    </xf>
    <xf numFmtId="3" fontId="70" fillId="33" borderId="16" xfId="124" applyNumberFormat="1" applyFont="1" applyFill="1" applyBorder="1">
      <alignment/>
      <protection/>
    </xf>
    <xf numFmtId="3" fontId="70" fillId="33" borderId="16" xfId="124" applyNumberFormat="1" applyFont="1" applyFill="1" applyBorder="1" applyAlignment="1">
      <alignment horizontal="center"/>
      <protection/>
    </xf>
    <xf numFmtId="3" fontId="70" fillId="33" borderId="11" xfId="124" applyNumberFormat="1" applyFont="1" applyFill="1" applyBorder="1">
      <alignment/>
      <protection/>
    </xf>
    <xf numFmtId="0" fontId="29" fillId="0" borderId="65" xfId="124" applyFont="1" applyFill="1" applyBorder="1" applyAlignment="1">
      <alignment horizontal="center"/>
      <protection/>
    </xf>
    <xf numFmtId="0" fontId="29" fillId="0" borderId="11" xfId="124" applyFont="1" applyFill="1" applyBorder="1" applyAlignment="1">
      <alignment horizontal="center"/>
      <protection/>
    </xf>
    <xf numFmtId="0" fontId="29" fillId="0" borderId="168" xfId="124" applyFont="1" applyFill="1" applyBorder="1" applyAlignment="1">
      <alignment/>
      <protection/>
    </xf>
    <xf numFmtId="0" fontId="29" fillId="0" borderId="168" xfId="124" applyFont="1" applyFill="1" applyBorder="1">
      <alignment/>
      <protection/>
    </xf>
    <xf numFmtId="3" fontId="70" fillId="0" borderId="66" xfId="124" applyNumberFormat="1" applyFont="1" applyFill="1" applyBorder="1">
      <alignment/>
      <protection/>
    </xf>
    <xf numFmtId="3" fontId="70" fillId="0" borderId="23" xfId="124" applyNumberFormat="1" applyFont="1" applyFill="1" applyBorder="1">
      <alignment/>
      <protection/>
    </xf>
    <xf numFmtId="3" fontId="70" fillId="56" borderId="16" xfId="124" applyNumberFormat="1" applyFont="1" applyFill="1" applyBorder="1">
      <alignment/>
      <protection/>
    </xf>
    <xf numFmtId="3" fontId="70" fillId="56" borderId="23" xfId="124" applyNumberFormat="1" applyFont="1" applyFill="1" applyBorder="1">
      <alignment/>
      <protection/>
    </xf>
    <xf numFmtId="2" fontId="29" fillId="0" borderId="16" xfId="124" applyNumberFormat="1" applyFont="1" applyFill="1" applyBorder="1" applyAlignment="1">
      <alignment horizontal="center"/>
      <protection/>
    </xf>
    <xf numFmtId="3" fontId="29" fillId="0" borderId="11" xfId="124" applyNumberFormat="1" applyFont="1" applyFill="1" applyBorder="1">
      <alignment/>
      <protection/>
    </xf>
    <xf numFmtId="3" fontId="29" fillId="0" borderId="23" xfId="124" applyNumberFormat="1" applyFont="1" applyFill="1" applyBorder="1">
      <alignment/>
      <protection/>
    </xf>
    <xf numFmtId="3" fontId="70" fillId="0" borderId="16" xfId="124" applyNumberFormat="1" applyFont="1" applyFill="1" applyBorder="1">
      <alignment/>
      <protection/>
    </xf>
    <xf numFmtId="3" fontId="70" fillId="0" borderId="11" xfId="124" applyNumberFormat="1" applyFont="1" applyFill="1" applyBorder="1">
      <alignment/>
      <protection/>
    </xf>
    <xf numFmtId="2" fontId="154" fillId="0" borderId="0" xfId="124" applyNumberFormat="1" applyFont="1" applyAlignment="1">
      <alignment horizontal="left" wrapText="1"/>
      <protection/>
    </xf>
    <xf numFmtId="3" fontId="70" fillId="41" borderId="66" xfId="124" applyNumberFormat="1" applyFont="1" applyFill="1" applyBorder="1">
      <alignment/>
      <protection/>
    </xf>
    <xf numFmtId="3" fontId="70" fillId="48" borderId="23" xfId="124" applyNumberFormat="1" applyFont="1" applyFill="1" applyBorder="1">
      <alignment/>
      <protection/>
    </xf>
    <xf numFmtId="3" fontId="70" fillId="33" borderId="11" xfId="124" applyNumberFormat="1" applyFont="1" applyFill="1" applyBorder="1" applyAlignment="1">
      <alignment horizontal="center"/>
      <protection/>
    </xf>
    <xf numFmtId="3" fontId="70" fillId="33" borderId="66" xfId="124" applyNumberFormat="1" applyFont="1" applyFill="1" applyBorder="1" applyAlignment="1">
      <alignment horizontal="right"/>
      <protection/>
    </xf>
    <xf numFmtId="3" fontId="70" fillId="33" borderId="23" xfId="124" applyNumberFormat="1" applyFont="1" applyFill="1" applyBorder="1" applyAlignment="1">
      <alignment horizontal="right"/>
      <protection/>
    </xf>
    <xf numFmtId="3" fontId="70" fillId="33" borderId="16" xfId="124" applyNumberFormat="1" applyFont="1" applyFill="1" applyBorder="1" applyAlignment="1">
      <alignment horizontal="right"/>
      <protection/>
    </xf>
    <xf numFmtId="3" fontId="70" fillId="33" borderId="11" xfId="124" applyNumberFormat="1" applyFont="1" applyFill="1" applyBorder="1" applyAlignment="1">
      <alignment horizontal="right"/>
      <protection/>
    </xf>
    <xf numFmtId="0" fontId="74" fillId="0" borderId="65" xfId="124" applyFont="1" applyBorder="1" applyAlignment="1">
      <alignment horizontal="center"/>
      <protection/>
    </xf>
    <xf numFmtId="0" fontId="74" fillId="0" borderId="168" xfId="124" applyFont="1" applyBorder="1">
      <alignment/>
      <protection/>
    </xf>
    <xf numFmtId="3" fontId="70" fillId="48" borderId="66" xfId="124" applyNumberFormat="1" applyFont="1" applyFill="1" applyBorder="1" applyAlignment="1">
      <alignment horizontal="right"/>
      <protection/>
    </xf>
    <xf numFmtId="3" fontId="70" fillId="48" borderId="23" xfId="124" applyNumberFormat="1" applyFont="1" applyFill="1" applyBorder="1" applyAlignment="1">
      <alignment horizontal="right"/>
      <protection/>
    </xf>
    <xf numFmtId="3" fontId="70" fillId="56" borderId="16" xfId="124" applyNumberFormat="1" applyFont="1" applyFill="1" applyBorder="1" applyAlignment="1">
      <alignment horizontal="right"/>
      <protection/>
    </xf>
    <xf numFmtId="3" fontId="70" fillId="56" borderId="23" xfId="124" applyNumberFormat="1" applyFont="1" applyFill="1" applyBorder="1" applyAlignment="1">
      <alignment horizontal="right"/>
      <protection/>
    </xf>
    <xf numFmtId="3" fontId="70" fillId="0" borderId="16" xfId="124" applyNumberFormat="1" applyFont="1" applyFill="1" applyBorder="1" applyAlignment="1">
      <alignment horizontal="right"/>
      <protection/>
    </xf>
    <xf numFmtId="3" fontId="70" fillId="0" borderId="11" xfId="124" applyNumberFormat="1" applyFont="1" applyFill="1" applyBorder="1" applyAlignment="1">
      <alignment horizontal="right"/>
      <protection/>
    </xf>
    <xf numFmtId="3" fontId="152" fillId="56" borderId="16" xfId="124" applyNumberFormat="1" applyFont="1" applyFill="1" applyBorder="1" applyAlignment="1">
      <alignment horizontal="right"/>
      <protection/>
    </xf>
    <xf numFmtId="3" fontId="152" fillId="0" borderId="16" xfId="124" applyNumberFormat="1" applyFont="1" applyFill="1" applyBorder="1" applyAlignment="1">
      <alignment horizontal="right"/>
      <protection/>
    </xf>
    <xf numFmtId="3" fontId="152" fillId="0" borderId="11" xfId="124" applyNumberFormat="1" applyFont="1" applyFill="1" applyBorder="1" applyAlignment="1">
      <alignment horizontal="right"/>
      <protection/>
    </xf>
    <xf numFmtId="2" fontId="29" fillId="8" borderId="16" xfId="124" applyNumberFormat="1" applyFont="1" applyFill="1" applyBorder="1" applyAlignment="1">
      <alignment horizontal="center"/>
      <protection/>
    </xf>
    <xf numFmtId="3" fontId="70" fillId="0" borderId="66" xfId="124" applyNumberFormat="1" applyFont="1" applyFill="1" applyBorder="1" applyAlignment="1">
      <alignment horizontal="right"/>
      <protection/>
    </xf>
    <xf numFmtId="3" fontId="70" fillId="0" borderId="23" xfId="124" applyNumberFormat="1" applyFont="1" applyFill="1" applyBorder="1" applyAlignment="1">
      <alignment horizontal="right"/>
      <protection/>
    </xf>
    <xf numFmtId="0" fontId="29" fillId="33" borderId="76" xfId="124" applyFont="1" applyFill="1" applyBorder="1" applyAlignment="1">
      <alignment horizontal="center" vertical="center"/>
      <protection/>
    </xf>
    <xf numFmtId="0" fontId="29" fillId="33" borderId="21" xfId="124" applyFont="1" applyFill="1" applyBorder="1" applyAlignment="1">
      <alignment horizontal="center" vertical="center"/>
      <protection/>
    </xf>
    <xf numFmtId="0" fontId="29" fillId="33" borderId="80" xfId="124" applyFont="1" applyFill="1" applyBorder="1" applyAlignment="1">
      <alignment vertical="center"/>
      <protection/>
    </xf>
    <xf numFmtId="3" fontId="70" fillId="33" borderId="17" xfId="124" applyNumberFormat="1" applyFont="1" applyFill="1" applyBorder="1" applyAlignment="1">
      <alignment horizontal="right" vertical="center"/>
      <protection/>
    </xf>
    <xf numFmtId="3" fontId="70" fillId="33" borderId="81" xfId="124" applyNumberFormat="1" applyFont="1" applyFill="1" applyBorder="1" applyAlignment="1">
      <alignment horizontal="right" vertical="center"/>
      <protection/>
    </xf>
    <xf numFmtId="3" fontId="70" fillId="33" borderId="20" xfId="124" applyNumberFormat="1" applyFont="1" applyFill="1" applyBorder="1" applyAlignment="1">
      <alignment horizontal="right" vertical="center"/>
      <protection/>
    </xf>
    <xf numFmtId="3" fontId="70" fillId="52" borderId="81" xfId="124" applyNumberFormat="1" applyFont="1" applyFill="1" applyBorder="1" applyAlignment="1">
      <alignment horizontal="right" vertical="center"/>
      <protection/>
    </xf>
    <xf numFmtId="3" fontId="70" fillId="33" borderId="21" xfId="124" applyNumberFormat="1" applyFont="1" applyFill="1" applyBorder="1" applyAlignment="1">
      <alignment horizontal="right" vertical="center"/>
      <protection/>
    </xf>
    <xf numFmtId="0" fontId="78" fillId="57" borderId="14" xfId="124" applyFont="1" applyFill="1" applyBorder="1" applyAlignment="1">
      <alignment horizontal="center"/>
      <protection/>
    </xf>
    <xf numFmtId="0" fontId="78" fillId="57" borderId="74" xfId="124" applyFont="1" applyFill="1" applyBorder="1" applyAlignment="1">
      <alignment horizontal="center"/>
      <protection/>
    </xf>
    <xf numFmtId="0" fontId="78" fillId="57" borderId="15" xfId="124" applyFont="1" applyFill="1" applyBorder="1" applyAlignment="1">
      <alignment/>
      <protection/>
    </xf>
    <xf numFmtId="0" fontId="78" fillId="57" borderId="199" xfId="124" applyFont="1" applyFill="1" applyBorder="1" applyAlignment="1">
      <alignment horizontal="left"/>
      <protection/>
    </xf>
    <xf numFmtId="3" fontId="78" fillId="57" borderId="64" xfId="124" applyNumberFormat="1" applyFont="1" applyFill="1" applyBorder="1" applyAlignment="1">
      <alignment horizontal="right"/>
      <protection/>
    </xf>
    <xf numFmtId="3" fontId="78" fillId="57" borderId="22" xfId="124" applyNumberFormat="1" applyFont="1" applyFill="1" applyBorder="1" applyAlignment="1">
      <alignment horizontal="right"/>
      <protection/>
    </xf>
    <xf numFmtId="3" fontId="78" fillId="57" borderId="14" xfId="124" applyNumberFormat="1" applyFont="1" applyFill="1" applyBorder="1" applyAlignment="1">
      <alignment horizontal="right"/>
      <protection/>
    </xf>
    <xf numFmtId="2" fontId="53" fillId="57" borderId="14" xfId="124" applyNumberFormat="1" applyFont="1" applyFill="1" applyBorder="1" applyAlignment="1">
      <alignment horizontal="center"/>
      <protection/>
    </xf>
    <xf numFmtId="3" fontId="53" fillId="57" borderId="15" xfId="124" applyNumberFormat="1" applyFont="1" applyFill="1" applyBorder="1" applyAlignment="1">
      <alignment horizontal="right"/>
      <protection/>
    </xf>
    <xf numFmtId="3" fontId="53" fillId="57" borderId="22" xfId="124" applyNumberFormat="1" applyFont="1" applyFill="1" applyBorder="1" applyAlignment="1">
      <alignment horizontal="right"/>
      <protection/>
    </xf>
    <xf numFmtId="0" fontId="53" fillId="57" borderId="14" xfId="124" applyFont="1" applyFill="1" applyBorder="1" applyAlignment="1">
      <alignment horizontal="center"/>
      <protection/>
    </xf>
    <xf numFmtId="0" fontId="152" fillId="57" borderId="22" xfId="124" applyFont="1" applyFill="1" applyBorder="1" applyAlignment="1">
      <alignment horizontal="center"/>
      <protection/>
    </xf>
    <xf numFmtId="0" fontId="29" fillId="0" borderId="16" xfId="124" applyFont="1" applyBorder="1" applyAlignment="1">
      <alignment horizontal="center"/>
      <protection/>
    </xf>
    <xf numFmtId="0" fontId="29" fillId="0" borderId="72" xfId="124" applyFont="1" applyBorder="1" applyAlignment="1">
      <alignment horizontal="center"/>
      <protection/>
    </xf>
    <xf numFmtId="3" fontId="135" fillId="0" borderId="66" xfId="124" applyNumberFormat="1" applyFont="1" applyFill="1" applyBorder="1">
      <alignment/>
      <protection/>
    </xf>
    <xf numFmtId="49" fontId="154" fillId="0" borderId="16" xfId="124" applyNumberFormat="1" applyFont="1" applyFill="1" applyBorder="1" applyAlignment="1">
      <alignment horizontal="center"/>
      <protection/>
    </xf>
    <xf numFmtId="0" fontId="154" fillId="0" borderId="23" xfId="124" applyFont="1" applyBorder="1" applyAlignment="1">
      <alignment horizontal="center"/>
      <protection/>
    </xf>
    <xf numFmtId="0" fontId="29" fillId="0" borderId="168" xfId="124" applyFont="1" applyBorder="1">
      <alignment/>
      <protection/>
    </xf>
    <xf numFmtId="3" fontId="70" fillId="48" borderId="66" xfId="124" applyNumberFormat="1" applyFont="1" applyFill="1" applyBorder="1">
      <alignment/>
      <protection/>
    </xf>
    <xf numFmtId="0" fontId="57" fillId="0" borderId="168" xfId="124" applyFont="1" applyFill="1" applyBorder="1">
      <alignment/>
      <protection/>
    </xf>
    <xf numFmtId="3" fontId="29" fillId="0" borderId="0" xfId="124" applyNumberFormat="1" applyFont="1" applyFill="1" applyBorder="1" applyAlignment="1">
      <alignment horizontal="left" wrapText="1"/>
      <protection/>
    </xf>
    <xf numFmtId="0" fontId="29" fillId="8" borderId="16" xfId="124" applyFont="1" applyFill="1" applyBorder="1" applyAlignment="1">
      <alignment horizontal="center"/>
      <protection/>
    </xf>
    <xf numFmtId="0" fontId="29" fillId="8" borderId="72" xfId="124" applyFont="1" applyFill="1" applyBorder="1" applyAlignment="1">
      <alignment horizontal="center"/>
      <protection/>
    </xf>
    <xf numFmtId="0" fontId="29" fillId="8" borderId="168" xfId="124" applyFont="1" applyFill="1" applyBorder="1" applyAlignment="1">
      <alignment/>
      <protection/>
    </xf>
    <xf numFmtId="3" fontId="70" fillId="8" borderId="66" xfId="124" applyNumberFormat="1" applyFont="1" applyFill="1" applyBorder="1">
      <alignment/>
      <protection/>
    </xf>
    <xf numFmtId="3" fontId="70" fillId="8" borderId="23" xfId="124" applyNumberFormat="1" applyFont="1" applyFill="1" applyBorder="1">
      <alignment/>
      <protection/>
    </xf>
    <xf numFmtId="3" fontId="70" fillId="8" borderId="16" xfId="124" applyNumberFormat="1" applyFont="1" applyFill="1" applyBorder="1">
      <alignment/>
      <protection/>
    </xf>
    <xf numFmtId="2" fontId="29" fillId="8" borderId="11" xfId="124" applyNumberFormat="1" applyFont="1" applyFill="1" applyBorder="1">
      <alignment/>
      <protection/>
    </xf>
    <xf numFmtId="3" fontId="29" fillId="8" borderId="23" xfId="124" applyNumberFormat="1" applyFont="1" applyFill="1" applyBorder="1">
      <alignment/>
      <protection/>
    </xf>
    <xf numFmtId="49" fontId="154" fillId="8" borderId="16" xfId="124" applyNumberFormat="1" applyFont="1" applyFill="1" applyBorder="1" applyAlignment="1">
      <alignment horizontal="center"/>
      <protection/>
    </xf>
    <xf numFmtId="0" fontId="154" fillId="8" borderId="23" xfId="124" applyFont="1" applyFill="1" applyBorder="1" applyAlignment="1">
      <alignment horizontal="center"/>
      <protection/>
    </xf>
    <xf numFmtId="3" fontId="152" fillId="56" borderId="16" xfId="124" applyNumberFormat="1" applyFont="1" applyFill="1" applyBorder="1">
      <alignment/>
      <protection/>
    </xf>
    <xf numFmtId="0" fontId="29" fillId="41" borderId="168" xfId="124" applyFont="1" applyFill="1" applyBorder="1" applyAlignment="1">
      <alignment horizontal="left"/>
      <protection/>
    </xf>
    <xf numFmtId="0" fontId="129" fillId="0" borderId="168" xfId="124" applyFont="1" applyFill="1" applyBorder="1">
      <alignment/>
      <protection/>
    </xf>
    <xf numFmtId="49" fontId="154" fillId="55" borderId="16" xfId="124" applyNumberFormat="1" applyFont="1" applyFill="1" applyBorder="1" applyAlignment="1">
      <alignment horizontal="center"/>
      <protection/>
    </xf>
    <xf numFmtId="0" fontId="29" fillId="0" borderId="86" xfId="124" applyFont="1" applyBorder="1" applyAlignment="1">
      <alignment horizontal="center"/>
      <protection/>
    </xf>
    <xf numFmtId="0" fontId="129" fillId="0" borderId="183" xfId="124" applyFont="1" applyFill="1" applyBorder="1">
      <alignment/>
      <protection/>
    </xf>
    <xf numFmtId="3" fontId="70" fillId="0" borderId="75" xfId="124" applyNumberFormat="1" applyFont="1" applyFill="1" applyBorder="1">
      <alignment/>
      <protection/>
    </xf>
    <xf numFmtId="3" fontId="70" fillId="0" borderId="39" xfId="124" applyNumberFormat="1" applyFont="1" applyFill="1" applyBorder="1">
      <alignment/>
      <protection/>
    </xf>
    <xf numFmtId="3" fontId="70" fillId="56" borderId="37" xfId="124" applyNumberFormat="1" applyFont="1" applyFill="1" applyBorder="1">
      <alignment/>
      <protection/>
    </xf>
    <xf numFmtId="3" fontId="70" fillId="56" borderId="39" xfId="124" applyNumberFormat="1" applyFont="1" applyFill="1" applyBorder="1">
      <alignment/>
      <protection/>
    </xf>
    <xf numFmtId="49" fontId="129" fillId="55" borderId="16" xfId="124" applyNumberFormat="1" applyFont="1" applyFill="1" applyBorder="1" applyAlignment="1">
      <alignment horizontal="center"/>
      <protection/>
    </xf>
    <xf numFmtId="3" fontId="70" fillId="48" borderId="75" xfId="124" applyNumberFormat="1" applyFont="1" applyFill="1" applyBorder="1">
      <alignment/>
      <protection/>
    </xf>
    <xf numFmtId="3" fontId="70" fillId="48" borderId="39" xfId="124" applyNumberFormat="1" applyFont="1" applyFill="1" applyBorder="1">
      <alignment/>
      <protection/>
    </xf>
    <xf numFmtId="0" fontId="154" fillId="0" borderId="39" xfId="124" applyFont="1" applyBorder="1" applyAlignment="1">
      <alignment horizontal="center"/>
      <protection/>
    </xf>
    <xf numFmtId="3" fontId="59" fillId="13" borderId="24" xfId="124" applyNumberFormat="1" applyFont="1" applyFill="1" applyBorder="1">
      <alignment/>
      <protection/>
    </xf>
    <xf numFmtId="0" fontId="29" fillId="13" borderId="18" xfId="124" applyFont="1" applyFill="1" applyBorder="1" applyAlignment="1">
      <alignment horizontal="center"/>
      <protection/>
    </xf>
    <xf numFmtId="0" fontId="74" fillId="33" borderId="28" xfId="124" applyFont="1" applyFill="1" applyBorder="1" applyAlignment="1">
      <alignment horizontal="center"/>
      <protection/>
    </xf>
    <xf numFmtId="0" fontId="74" fillId="33" borderId="71" xfId="124" applyFont="1" applyFill="1" applyBorder="1" applyAlignment="1">
      <alignment horizontal="center"/>
      <protection/>
    </xf>
    <xf numFmtId="0" fontId="74" fillId="33" borderId="13" xfId="124" applyFont="1" applyFill="1" applyBorder="1" applyAlignment="1">
      <alignment/>
      <protection/>
    </xf>
    <xf numFmtId="0" fontId="74" fillId="33" borderId="209" xfId="124" applyFont="1" applyFill="1" applyBorder="1" applyAlignment="1">
      <alignment horizontal="center"/>
      <protection/>
    </xf>
    <xf numFmtId="3" fontId="112" fillId="52" borderId="66" xfId="124" applyNumberFormat="1" applyFont="1" applyFill="1" applyBorder="1">
      <alignment/>
      <protection/>
    </xf>
    <xf numFmtId="3" fontId="112" fillId="52" borderId="23" xfId="124" applyNumberFormat="1" applyFont="1" applyFill="1" applyBorder="1">
      <alignment/>
      <protection/>
    </xf>
    <xf numFmtId="3" fontId="112" fillId="52" borderId="16" xfId="124" applyNumberFormat="1" applyFont="1" applyFill="1" applyBorder="1">
      <alignment/>
      <protection/>
    </xf>
    <xf numFmtId="2" fontId="74" fillId="52" borderId="16" xfId="124" applyNumberFormat="1" applyFont="1" applyFill="1" applyBorder="1" applyAlignment="1">
      <alignment horizontal="center"/>
      <protection/>
    </xf>
    <xf numFmtId="3" fontId="29" fillId="52" borderId="15" xfId="124" applyNumberFormat="1" applyFont="1" applyFill="1" applyBorder="1">
      <alignment/>
      <protection/>
    </xf>
    <xf numFmtId="3" fontId="29" fillId="52" borderId="23" xfId="124" applyNumberFormat="1" applyFont="1" applyFill="1" applyBorder="1">
      <alignment/>
      <protection/>
    </xf>
    <xf numFmtId="0" fontId="155" fillId="33" borderId="36" xfId="124" applyFont="1" applyFill="1" applyBorder="1" applyAlignment="1">
      <alignment horizontal="center"/>
      <protection/>
    </xf>
    <xf numFmtId="0" fontId="29" fillId="0" borderId="11" xfId="124" applyFont="1" applyBorder="1" applyAlignment="1">
      <alignment/>
      <protection/>
    </xf>
    <xf numFmtId="0" fontId="77" fillId="0" borderId="66" xfId="124" applyFont="1" applyBorder="1">
      <alignment/>
      <protection/>
    </xf>
    <xf numFmtId="0" fontId="77" fillId="0" borderId="23" xfId="124" applyFont="1" applyBorder="1">
      <alignment/>
      <protection/>
    </xf>
    <xf numFmtId="0" fontId="77" fillId="56" borderId="16" xfId="124" applyFont="1" applyFill="1" applyBorder="1">
      <alignment/>
      <protection/>
    </xf>
    <xf numFmtId="0" fontId="77" fillId="56" borderId="23" xfId="124" applyFont="1" applyFill="1" applyBorder="1">
      <alignment/>
      <protection/>
    </xf>
    <xf numFmtId="2" fontId="57" fillId="0" borderId="16" xfId="124" applyNumberFormat="1" applyFont="1" applyBorder="1" applyAlignment="1">
      <alignment horizontal="center"/>
      <protection/>
    </xf>
    <xf numFmtId="0" fontId="74" fillId="33" borderId="16" xfId="124" applyFont="1" applyFill="1" applyBorder="1" applyAlignment="1">
      <alignment horizontal="center"/>
      <protection/>
    </xf>
    <xf numFmtId="0" fontId="74" fillId="52" borderId="72" xfId="124" applyFont="1" applyFill="1" applyBorder="1" applyAlignment="1">
      <alignment horizontal="center"/>
      <protection/>
    </xf>
    <xf numFmtId="0" fontId="74" fillId="52" borderId="11" xfId="124" applyFont="1" applyFill="1" applyBorder="1" applyAlignment="1">
      <alignment/>
      <protection/>
    </xf>
    <xf numFmtId="0" fontId="74" fillId="52" borderId="168" xfId="124" applyFont="1" applyFill="1" applyBorder="1" applyAlignment="1">
      <alignment horizontal="center"/>
      <protection/>
    </xf>
    <xf numFmtId="3" fontId="112" fillId="33" borderId="66" xfId="124" applyNumberFormat="1" applyFont="1" applyFill="1" applyBorder="1" applyAlignment="1">
      <alignment horizontal="right"/>
      <protection/>
    </xf>
    <xf numFmtId="3" fontId="112" fillId="33" borderId="23" xfId="124" applyNumberFormat="1" applyFont="1" applyFill="1" applyBorder="1" applyAlignment="1">
      <alignment horizontal="right"/>
      <protection/>
    </xf>
    <xf numFmtId="3" fontId="112" fillId="33" borderId="16" xfId="124" applyNumberFormat="1" applyFont="1" applyFill="1" applyBorder="1" applyAlignment="1">
      <alignment horizontal="right"/>
      <protection/>
    </xf>
    <xf numFmtId="3" fontId="29" fillId="33" borderId="11" xfId="124" applyNumberFormat="1" applyFont="1" applyFill="1" applyBorder="1" applyAlignment="1">
      <alignment horizontal="right"/>
      <protection/>
    </xf>
    <xf numFmtId="3" fontId="29" fillId="33" borderId="23" xfId="124" applyNumberFormat="1" applyFont="1" applyFill="1" applyBorder="1" applyAlignment="1">
      <alignment horizontal="right"/>
      <protection/>
    </xf>
    <xf numFmtId="0" fontId="74" fillId="52" borderId="16" xfId="124" applyFont="1" applyFill="1" applyBorder="1" applyAlignment="1">
      <alignment horizontal="center"/>
      <protection/>
    </xf>
    <xf numFmtId="0" fontId="155" fillId="33" borderId="23" xfId="124" applyFont="1" applyFill="1" applyBorder="1" applyAlignment="1">
      <alignment horizontal="center"/>
      <protection/>
    </xf>
    <xf numFmtId="0" fontId="29" fillId="0" borderId="28" xfId="124" applyFont="1" applyBorder="1" applyAlignment="1">
      <alignment horizontal="center"/>
      <protection/>
    </xf>
    <xf numFmtId="0" fontId="29" fillId="0" borderId="71" xfId="124" applyFont="1" applyBorder="1" applyAlignment="1">
      <alignment horizontal="center"/>
      <protection/>
    </xf>
    <xf numFmtId="0" fontId="29" fillId="0" borderId="13" xfId="124" applyFont="1" applyBorder="1" applyAlignment="1">
      <alignment/>
      <protection/>
    </xf>
    <xf numFmtId="0" fontId="29" fillId="0" borderId="209" xfId="124" applyFont="1" applyBorder="1">
      <alignment/>
      <protection/>
    </xf>
    <xf numFmtId="3" fontId="70" fillId="48" borderId="210" xfId="124" applyNumberFormat="1" applyFont="1" applyFill="1" applyBorder="1" applyAlignment="1">
      <alignment horizontal="right"/>
      <protection/>
    </xf>
    <xf numFmtId="3" fontId="70" fillId="48" borderId="36" xfId="124" applyNumberFormat="1" applyFont="1" applyFill="1" applyBorder="1" applyAlignment="1">
      <alignment horizontal="right"/>
      <protection/>
    </xf>
    <xf numFmtId="3" fontId="70" fillId="56" borderId="28" xfId="124" applyNumberFormat="1" applyFont="1" applyFill="1" applyBorder="1" applyAlignment="1">
      <alignment horizontal="right"/>
      <protection/>
    </xf>
    <xf numFmtId="3" fontId="70" fillId="56" borderId="36" xfId="124" applyNumberFormat="1" applyFont="1" applyFill="1" applyBorder="1" applyAlignment="1">
      <alignment horizontal="right"/>
      <protection/>
    </xf>
    <xf numFmtId="2" fontId="29" fillId="48" borderId="28" xfId="124" applyNumberFormat="1" applyFont="1" applyFill="1" applyBorder="1" applyAlignment="1">
      <alignment horizontal="center"/>
      <protection/>
    </xf>
    <xf numFmtId="3" fontId="29" fillId="0" borderId="13" xfId="124" applyNumberFormat="1" applyFont="1" applyFill="1" applyBorder="1">
      <alignment/>
      <protection/>
    </xf>
    <xf numFmtId="3" fontId="29" fillId="0" borderId="36" xfId="124" applyNumberFormat="1" applyFont="1" applyFill="1" applyBorder="1">
      <alignment/>
      <protection/>
    </xf>
    <xf numFmtId="0" fontId="154" fillId="0" borderId="36" xfId="124" applyFont="1" applyBorder="1" applyAlignment="1">
      <alignment horizontal="center"/>
      <protection/>
    </xf>
    <xf numFmtId="3" fontId="112" fillId="33" borderId="23" xfId="124" applyNumberFormat="1" applyFont="1" applyFill="1" applyBorder="1">
      <alignment/>
      <protection/>
    </xf>
    <xf numFmtId="3" fontId="29" fillId="52" borderId="11" xfId="124" applyNumberFormat="1" applyFont="1" applyFill="1" applyBorder="1">
      <alignment/>
      <protection/>
    </xf>
    <xf numFmtId="0" fontId="155" fillId="52" borderId="23" xfId="124" applyFont="1" applyFill="1" applyBorder="1" applyAlignment="1">
      <alignment horizontal="center"/>
      <protection/>
    </xf>
    <xf numFmtId="3" fontId="156" fillId="0" borderId="66" xfId="124" applyNumberFormat="1" applyFont="1" applyFill="1" applyBorder="1">
      <alignment/>
      <protection/>
    </xf>
    <xf numFmtId="3" fontId="29" fillId="0" borderId="0" xfId="124" applyNumberFormat="1" applyFont="1" applyFill="1" applyBorder="1" applyAlignment="1">
      <alignment wrapText="1"/>
      <protection/>
    </xf>
    <xf numFmtId="0" fontId="29" fillId="0" borderId="38" xfId="124" applyFont="1" applyBorder="1" applyAlignment="1">
      <alignment/>
      <protection/>
    </xf>
    <xf numFmtId="0" fontId="29" fillId="0" borderId="183" xfId="124" applyFont="1" applyBorder="1" applyAlignment="1">
      <alignment horizontal="left"/>
      <protection/>
    </xf>
    <xf numFmtId="0" fontId="29" fillId="0" borderId="37" xfId="124" applyFont="1" applyBorder="1" applyAlignment="1">
      <alignment horizontal="center"/>
      <protection/>
    </xf>
    <xf numFmtId="2" fontId="154" fillId="48" borderId="16" xfId="124" applyNumberFormat="1" applyFont="1" applyFill="1" applyBorder="1" applyAlignment="1">
      <alignment horizontal="center"/>
      <protection/>
    </xf>
    <xf numFmtId="3" fontId="112" fillId="0" borderId="66" xfId="124" applyNumberFormat="1" applyFont="1" applyFill="1" applyBorder="1">
      <alignment/>
      <protection/>
    </xf>
    <xf numFmtId="3" fontId="112" fillId="0" borderId="23" xfId="124" applyNumberFormat="1" applyFont="1" applyFill="1" applyBorder="1">
      <alignment/>
      <protection/>
    </xf>
    <xf numFmtId="3" fontId="112" fillId="56" borderId="16" xfId="124" applyNumberFormat="1" applyFont="1" applyFill="1" applyBorder="1">
      <alignment/>
      <protection/>
    </xf>
    <xf numFmtId="3" fontId="112" fillId="56" borderId="23" xfId="124" applyNumberFormat="1" applyFont="1" applyFill="1" applyBorder="1">
      <alignment/>
      <protection/>
    </xf>
    <xf numFmtId="3" fontId="70" fillId="48" borderId="75" xfId="124" applyNumberFormat="1" applyFont="1" applyFill="1" applyBorder="1" applyAlignment="1">
      <alignment horizontal="right"/>
      <protection/>
    </xf>
    <xf numFmtId="3" fontId="70" fillId="48" borderId="39" xfId="124" applyNumberFormat="1" applyFont="1" applyFill="1" applyBorder="1" applyAlignment="1">
      <alignment horizontal="right"/>
      <protection/>
    </xf>
    <xf numFmtId="3" fontId="70" fillId="56" borderId="37" xfId="124" applyNumberFormat="1" applyFont="1" applyFill="1" applyBorder="1" applyAlignment="1">
      <alignment horizontal="right"/>
      <protection/>
    </xf>
    <xf numFmtId="3" fontId="70" fillId="56" borderId="39" xfId="124" applyNumberFormat="1" applyFont="1" applyFill="1" applyBorder="1" applyAlignment="1">
      <alignment horizontal="right"/>
      <protection/>
    </xf>
    <xf numFmtId="3" fontId="70" fillId="0" borderId="75" xfId="124" applyNumberFormat="1" applyFont="1" applyFill="1" applyBorder="1" applyAlignment="1">
      <alignment horizontal="right"/>
      <protection/>
    </xf>
    <xf numFmtId="3" fontId="70" fillId="0" borderId="39" xfId="124" applyNumberFormat="1" applyFont="1" applyFill="1" applyBorder="1" applyAlignment="1">
      <alignment horizontal="right"/>
      <protection/>
    </xf>
    <xf numFmtId="0" fontId="57" fillId="0" borderId="168" xfId="124" applyFont="1" applyBorder="1">
      <alignment/>
      <protection/>
    </xf>
    <xf numFmtId="0" fontId="78" fillId="57" borderId="100" xfId="124" applyFont="1" applyFill="1" applyBorder="1" applyAlignment="1">
      <alignment horizontal="left"/>
      <protection/>
    </xf>
    <xf numFmtId="3" fontId="78" fillId="57" borderId="62" xfId="124" applyNumberFormat="1" applyFont="1" applyFill="1" applyBorder="1">
      <alignment/>
      <protection/>
    </xf>
    <xf numFmtId="3" fontId="78" fillId="57" borderId="24" xfId="124" applyNumberFormat="1" applyFont="1" applyFill="1" applyBorder="1">
      <alignment/>
      <protection/>
    </xf>
    <xf numFmtId="3" fontId="78" fillId="57" borderId="18" xfId="124" applyNumberFormat="1" applyFont="1" applyFill="1" applyBorder="1">
      <alignment/>
      <protection/>
    </xf>
    <xf numFmtId="2" fontId="53" fillId="57" borderId="18" xfId="124" applyNumberFormat="1" applyFont="1" applyFill="1" applyBorder="1" applyAlignment="1">
      <alignment horizontal="center"/>
      <protection/>
    </xf>
    <xf numFmtId="3" fontId="53" fillId="57" borderId="19" xfId="124" applyNumberFormat="1" applyFont="1" applyFill="1" applyBorder="1">
      <alignment/>
      <protection/>
    </xf>
    <xf numFmtId="3" fontId="53" fillId="57" borderId="24" xfId="124" applyNumberFormat="1" applyFont="1" applyFill="1" applyBorder="1">
      <alignment/>
      <protection/>
    </xf>
    <xf numFmtId="3" fontId="53" fillId="57" borderId="18" xfId="124" applyNumberFormat="1" applyFont="1" applyFill="1" applyBorder="1">
      <alignment/>
      <protection/>
    </xf>
    <xf numFmtId="0" fontId="29" fillId="0" borderId="209" xfId="124" applyFont="1" applyBorder="1" applyAlignment="1">
      <alignment horizontal="center"/>
      <protection/>
    </xf>
    <xf numFmtId="0" fontId="29" fillId="0" borderId="209" xfId="124" applyFont="1" applyBorder="1" applyAlignment="1">
      <alignment/>
      <protection/>
    </xf>
    <xf numFmtId="3" fontId="77" fillId="0" borderId="210" xfId="124" applyNumberFormat="1" applyFont="1" applyBorder="1">
      <alignment/>
      <protection/>
    </xf>
    <xf numFmtId="3" fontId="77" fillId="0" borderId="36" xfId="124" applyNumberFormat="1" applyFont="1" applyBorder="1">
      <alignment/>
      <protection/>
    </xf>
    <xf numFmtId="3" fontId="77" fillId="56" borderId="28" xfId="124" applyNumberFormat="1" applyFont="1" applyFill="1" applyBorder="1">
      <alignment/>
      <protection/>
    </xf>
    <xf numFmtId="3" fontId="77" fillId="56" borderId="36" xfId="124" applyNumberFormat="1" applyFont="1" applyFill="1" applyBorder="1">
      <alignment/>
      <protection/>
    </xf>
    <xf numFmtId="2" fontId="29" fillId="0" borderId="209" xfId="124" applyNumberFormat="1" applyFont="1" applyBorder="1">
      <alignment/>
      <protection/>
    </xf>
    <xf numFmtId="0" fontId="29" fillId="0" borderId="65" xfId="124" applyFont="1" applyBorder="1" applyAlignment="1">
      <alignment horizontal="center"/>
      <protection/>
    </xf>
    <xf numFmtId="0" fontId="29" fillId="0" borderId="168" xfId="124" applyFont="1" applyBorder="1" applyAlignment="1">
      <alignment horizontal="center"/>
      <protection/>
    </xf>
    <xf numFmtId="3" fontId="77" fillId="48" borderId="66" xfId="124" applyNumberFormat="1" applyFont="1" applyFill="1" applyBorder="1">
      <alignment/>
      <protection/>
    </xf>
    <xf numFmtId="3" fontId="77" fillId="48" borderId="23" xfId="124" applyNumberFormat="1" applyFont="1" applyFill="1" applyBorder="1">
      <alignment/>
      <protection/>
    </xf>
    <xf numFmtId="3" fontId="77" fillId="56" borderId="16" xfId="124" applyNumberFormat="1" applyFont="1" applyFill="1" applyBorder="1">
      <alignment/>
      <protection/>
    </xf>
    <xf numFmtId="3" fontId="77" fillId="56" borderId="23" xfId="124" applyNumberFormat="1" applyFont="1" applyFill="1" applyBorder="1">
      <alignment/>
      <protection/>
    </xf>
    <xf numFmtId="2" fontId="29" fillId="48" borderId="168" xfId="124" applyNumberFormat="1" applyFont="1" applyFill="1" applyBorder="1">
      <alignment/>
      <protection/>
    </xf>
    <xf numFmtId="0" fontId="29" fillId="0" borderId="168" xfId="124" applyFont="1" applyBorder="1" applyAlignment="1">
      <alignment/>
      <protection/>
    </xf>
    <xf numFmtId="3" fontId="152" fillId="56" borderId="23" xfId="124" applyNumberFormat="1" applyFont="1" applyFill="1" applyBorder="1">
      <alignment/>
      <protection/>
    </xf>
    <xf numFmtId="2" fontId="29" fillId="0" borderId="168" xfId="124" applyNumberFormat="1" applyFont="1" applyFill="1" applyBorder="1">
      <alignment/>
      <protection/>
    </xf>
    <xf numFmtId="49" fontId="152" fillId="0" borderId="0" xfId="124" applyNumberFormat="1" applyFont="1" applyAlignment="1">
      <alignment horizontal="left" wrapText="1"/>
      <protection/>
    </xf>
    <xf numFmtId="0" fontId="29" fillId="0" borderId="76" xfId="124" applyFont="1" applyBorder="1" applyAlignment="1">
      <alignment horizontal="center"/>
      <protection/>
    </xf>
    <xf numFmtId="0" fontId="29" fillId="0" borderId="80" xfId="124" applyFont="1" applyBorder="1" applyAlignment="1">
      <alignment horizontal="center"/>
      <protection/>
    </xf>
    <xf numFmtId="0" fontId="29" fillId="0" borderId="80" xfId="124" applyFont="1" applyBorder="1" applyAlignment="1">
      <alignment/>
      <protection/>
    </xf>
    <xf numFmtId="0" fontId="29" fillId="0" borderId="80" xfId="124" applyFont="1" applyBorder="1">
      <alignment/>
      <protection/>
    </xf>
    <xf numFmtId="3" fontId="70" fillId="41" borderId="17" xfId="124" applyNumberFormat="1" applyFont="1" applyFill="1" applyBorder="1">
      <alignment/>
      <protection/>
    </xf>
    <xf numFmtId="3" fontId="70" fillId="48" borderId="81" xfId="124" applyNumberFormat="1" applyFont="1" applyFill="1" applyBorder="1">
      <alignment/>
      <protection/>
    </xf>
    <xf numFmtId="3" fontId="70" fillId="56" borderId="20" xfId="124" applyNumberFormat="1" applyFont="1" applyFill="1" applyBorder="1">
      <alignment/>
      <protection/>
    </xf>
    <xf numFmtId="3" fontId="70" fillId="56" borderId="81" xfId="124" applyNumberFormat="1" applyFont="1" applyFill="1" applyBorder="1">
      <alignment/>
      <protection/>
    </xf>
    <xf numFmtId="3" fontId="29" fillId="0" borderId="21" xfId="124" applyNumberFormat="1" applyFont="1" applyFill="1" applyBorder="1">
      <alignment/>
      <protection/>
    </xf>
    <xf numFmtId="3" fontId="29" fillId="0" borderId="81" xfId="124" applyNumberFormat="1" applyFont="1" applyFill="1" applyBorder="1">
      <alignment/>
      <protection/>
    </xf>
    <xf numFmtId="2" fontId="29" fillId="48" borderId="80" xfId="124" applyNumberFormat="1" applyFont="1" applyFill="1" applyBorder="1">
      <alignment/>
      <protection/>
    </xf>
    <xf numFmtId="2" fontId="154" fillId="0" borderId="0" xfId="124" applyNumberFormat="1" applyFont="1" applyFill="1" applyAlignment="1">
      <alignment horizontal="left" vertical="center"/>
      <protection/>
    </xf>
    <xf numFmtId="0" fontId="129" fillId="0" borderId="209" xfId="124" applyFont="1" applyBorder="1">
      <alignment/>
      <protection/>
    </xf>
    <xf numFmtId="0" fontId="32" fillId="0" borderId="0" xfId="124" applyFont="1" applyAlignment="1">
      <alignment vertical="center"/>
      <protection/>
    </xf>
    <xf numFmtId="0" fontId="65" fillId="0" borderId="0" xfId="124" applyFont="1">
      <alignment/>
      <protection/>
    </xf>
    <xf numFmtId="0" fontId="58" fillId="0" borderId="0" xfId="124" applyFont="1">
      <alignment/>
      <protection/>
    </xf>
    <xf numFmtId="0" fontId="29" fillId="0" borderId="46" xfId="124" applyFont="1" applyBorder="1" applyAlignment="1">
      <alignment horizontal="center"/>
      <protection/>
    </xf>
    <xf numFmtId="0" fontId="29" fillId="0" borderId="46" xfId="124" applyFont="1" applyBorder="1" applyAlignment="1">
      <alignment/>
      <protection/>
    </xf>
    <xf numFmtId="0" fontId="29" fillId="0" borderId="46" xfId="124" applyFont="1" applyBorder="1">
      <alignment/>
      <protection/>
    </xf>
    <xf numFmtId="0" fontId="77" fillId="0" borderId="46" xfId="124" applyFont="1" applyBorder="1">
      <alignment/>
      <protection/>
    </xf>
    <xf numFmtId="2" fontId="57" fillId="0" borderId="46" xfId="124" applyNumberFormat="1" applyFont="1" applyBorder="1" applyAlignment="1">
      <alignment horizontal="center"/>
      <protection/>
    </xf>
    <xf numFmtId="0" fontId="57" fillId="0" borderId="46" xfId="124" applyFont="1" applyBorder="1">
      <alignment/>
      <protection/>
    </xf>
    <xf numFmtId="0" fontId="74" fillId="0" borderId="46" xfId="124" applyFont="1" applyBorder="1" applyAlignment="1">
      <alignment horizontal="left"/>
      <protection/>
    </xf>
    <xf numFmtId="0" fontId="155" fillId="0" borderId="46" xfId="124" applyFont="1" applyBorder="1" applyAlignment="1">
      <alignment horizontal="left"/>
      <protection/>
    </xf>
    <xf numFmtId="3" fontId="78" fillId="57" borderId="19" xfId="124" applyNumberFormat="1" applyFont="1" applyFill="1" applyBorder="1">
      <alignment/>
      <protection/>
    </xf>
    <xf numFmtId="0" fontId="74" fillId="0" borderId="0" xfId="124" applyFont="1" applyAlignment="1">
      <alignment horizontal="left"/>
      <protection/>
    </xf>
    <xf numFmtId="0" fontId="155" fillId="0" borderId="0" xfId="124" applyFont="1" applyAlignment="1">
      <alignment horizontal="left"/>
      <protection/>
    </xf>
    <xf numFmtId="0" fontId="78" fillId="0" borderId="0" xfId="124" applyFont="1" applyFill="1" applyBorder="1" applyAlignment="1">
      <alignment horizontal="center"/>
      <protection/>
    </xf>
    <xf numFmtId="0" fontId="78" fillId="0" borderId="0" xfId="124" applyFont="1" applyFill="1" applyBorder="1" applyAlignment="1">
      <alignment/>
      <protection/>
    </xf>
    <xf numFmtId="3" fontId="78" fillId="0" borderId="0" xfId="124" applyNumberFormat="1" applyFont="1" applyFill="1" applyBorder="1">
      <alignment/>
      <protection/>
    </xf>
    <xf numFmtId="3" fontId="77" fillId="0" borderId="0" xfId="124" applyNumberFormat="1" applyFont="1" applyFill="1" applyBorder="1">
      <alignment/>
      <protection/>
    </xf>
    <xf numFmtId="2" fontId="57" fillId="0" borderId="0" xfId="124" applyNumberFormat="1" applyFont="1" applyFill="1" applyBorder="1" applyAlignment="1">
      <alignment horizontal="center"/>
      <protection/>
    </xf>
    <xf numFmtId="3" fontId="57" fillId="0" borderId="0" xfId="124" applyNumberFormat="1" applyFont="1" applyFill="1" applyBorder="1">
      <alignment/>
      <protection/>
    </xf>
    <xf numFmtId="0" fontId="32" fillId="0" borderId="0" xfId="124" applyFont="1" applyFill="1" applyBorder="1" applyAlignment="1">
      <alignment horizontal="center"/>
      <protection/>
    </xf>
    <xf numFmtId="0" fontId="32" fillId="0" borderId="0" xfId="124" applyFont="1" applyFill="1" applyBorder="1" applyAlignment="1">
      <alignment/>
      <protection/>
    </xf>
    <xf numFmtId="0" fontId="157" fillId="0" borderId="0" xfId="124" applyFont="1" applyFill="1" applyBorder="1" applyAlignment="1">
      <alignment horizontal="right"/>
      <protection/>
    </xf>
    <xf numFmtId="9" fontId="152" fillId="0" borderId="0" xfId="124" applyNumberFormat="1" applyFont="1" applyFill="1" applyBorder="1">
      <alignment/>
      <protection/>
    </xf>
    <xf numFmtId="0" fontId="77" fillId="0" borderId="0" xfId="124" applyFont="1">
      <alignment/>
      <protection/>
    </xf>
    <xf numFmtId="2" fontId="59" fillId="0" borderId="0" xfId="124" applyNumberFormat="1" applyFont="1" applyFill="1" applyBorder="1" applyAlignment="1">
      <alignment horizontal="center"/>
      <protection/>
    </xf>
    <xf numFmtId="3" fontId="59" fillId="0" borderId="0" xfId="124" applyNumberFormat="1" applyFont="1" applyFill="1" applyBorder="1">
      <alignment/>
      <protection/>
    </xf>
    <xf numFmtId="0" fontId="150" fillId="0" borderId="0" xfId="124" applyFont="1" applyFill="1" applyBorder="1" applyAlignment="1">
      <alignment horizontal="right"/>
      <protection/>
    </xf>
    <xf numFmtId="3" fontId="152" fillId="0" borderId="0" xfId="124" applyNumberFormat="1" applyFont="1" applyFill="1" applyBorder="1">
      <alignment/>
      <protection/>
    </xf>
    <xf numFmtId="3" fontId="114" fillId="0" borderId="0" xfId="124" applyNumberFormat="1" applyFont="1" applyFill="1" applyBorder="1">
      <alignment/>
      <protection/>
    </xf>
    <xf numFmtId="0" fontId="157" fillId="0" borderId="0" xfId="124" applyFont="1" applyFill="1" applyBorder="1" applyAlignment="1">
      <alignment horizontal="center"/>
      <protection/>
    </xf>
    <xf numFmtId="0" fontId="29" fillId="0" borderId="0" xfId="124" applyFont="1" applyFill="1" applyBorder="1" applyAlignment="1">
      <alignment horizontal="left"/>
      <protection/>
    </xf>
    <xf numFmtId="0" fontId="32" fillId="0" borderId="0" xfId="124" applyFont="1" applyFill="1" applyBorder="1">
      <alignment/>
      <protection/>
    </xf>
    <xf numFmtId="0" fontId="29" fillId="0" borderId="40" xfId="124" applyFont="1" applyBorder="1" applyAlignment="1">
      <alignment horizontal="center"/>
      <protection/>
    </xf>
    <xf numFmtId="0" fontId="29" fillId="0" borderId="32" xfId="124" applyFont="1" applyBorder="1" applyAlignment="1">
      <alignment horizontal="center"/>
      <protection/>
    </xf>
    <xf numFmtId="0" fontId="29" fillId="0" borderId="32" xfId="124" applyFont="1" applyBorder="1" applyAlignment="1">
      <alignment/>
      <protection/>
    </xf>
    <xf numFmtId="0" fontId="29" fillId="0" borderId="63" xfId="124" applyFont="1" applyBorder="1">
      <alignment/>
      <protection/>
    </xf>
    <xf numFmtId="3" fontId="70" fillId="41" borderId="62" xfId="124" applyNumberFormat="1" applyFont="1" applyFill="1" applyBorder="1">
      <alignment/>
      <protection/>
    </xf>
    <xf numFmtId="3" fontId="70" fillId="58" borderId="18" xfId="124" applyNumberFormat="1" applyFont="1" applyFill="1" applyBorder="1">
      <alignment/>
      <protection/>
    </xf>
    <xf numFmtId="3" fontId="70" fillId="58" borderId="24" xfId="124" applyNumberFormat="1" applyFont="1" applyFill="1" applyBorder="1">
      <alignment/>
      <protection/>
    </xf>
    <xf numFmtId="3" fontId="70" fillId="41" borderId="18" xfId="124" applyNumberFormat="1" applyFont="1" applyFill="1" applyBorder="1" applyAlignment="1">
      <alignment horizontal="center"/>
      <protection/>
    </xf>
    <xf numFmtId="3" fontId="70" fillId="41" borderId="19" xfId="124" applyNumberFormat="1" applyFont="1" applyFill="1" applyBorder="1">
      <alignment/>
      <protection/>
    </xf>
    <xf numFmtId="3" fontId="70" fillId="41" borderId="24" xfId="124" applyNumberFormat="1" applyFont="1" applyFill="1" applyBorder="1">
      <alignment/>
      <protection/>
    </xf>
    <xf numFmtId="0" fontId="70" fillId="56" borderId="40" xfId="124" applyFont="1" applyFill="1" applyBorder="1" applyAlignment="1">
      <alignment horizontal="center"/>
      <protection/>
    </xf>
    <xf numFmtId="0" fontId="70" fillId="56" borderId="32" xfId="124" applyFont="1" applyFill="1" applyBorder="1" applyAlignment="1">
      <alignment horizontal="center"/>
      <protection/>
    </xf>
    <xf numFmtId="0" fontId="70" fillId="56" borderId="32" xfId="124" applyFont="1" applyFill="1" applyBorder="1" applyAlignment="1">
      <alignment/>
      <protection/>
    </xf>
    <xf numFmtId="0" fontId="70" fillId="56" borderId="63" xfId="124" applyFont="1" applyFill="1" applyBorder="1">
      <alignment/>
      <protection/>
    </xf>
    <xf numFmtId="3" fontId="70" fillId="56" borderId="62" xfId="124" applyNumberFormat="1" applyFont="1" applyFill="1" applyBorder="1">
      <alignment/>
      <protection/>
    </xf>
    <xf numFmtId="3" fontId="70" fillId="56" borderId="18" xfId="124" applyNumberFormat="1" applyFont="1" applyFill="1" applyBorder="1">
      <alignment/>
      <protection/>
    </xf>
    <xf numFmtId="3" fontId="70" fillId="56" borderId="24" xfId="124" applyNumberFormat="1" applyFont="1" applyFill="1" applyBorder="1">
      <alignment/>
      <protection/>
    </xf>
    <xf numFmtId="3" fontId="70" fillId="56" borderId="18" xfId="124" applyNumberFormat="1" applyFont="1" applyFill="1" applyBorder="1" applyAlignment="1">
      <alignment horizontal="center"/>
      <protection/>
    </xf>
    <xf numFmtId="3" fontId="70" fillId="56" borderId="19" xfId="124" applyNumberFormat="1" applyFont="1" applyFill="1" applyBorder="1">
      <alignment/>
      <protection/>
    </xf>
    <xf numFmtId="0" fontId="32" fillId="0" borderId="0" xfId="124" applyFont="1" applyFill="1" applyBorder="1" applyAlignment="1">
      <alignment horizontal="right"/>
      <protection/>
    </xf>
    <xf numFmtId="2" fontId="29" fillId="0" borderId="0" xfId="124" applyNumberFormat="1" applyFont="1" applyFill="1" applyBorder="1" applyAlignment="1">
      <alignment horizontal="center"/>
      <protection/>
    </xf>
    <xf numFmtId="0" fontId="29" fillId="0" borderId="0" xfId="124" applyFont="1" applyFill="1" applyBorder="1">
      <alignment/>
      <protection/>
    </xf>
    <xf numFmtId="3" fontId="77" fillId="0" borderId="86" xfId="124" applyNumberFormat="1" applyFont="1" applyFill="1" applyBorder="1">
      <alignment/>
      <protection/>
    </xf>
    <xf numFmtId="0" fontId="64" fillId="0" borderId="0" xfId="124" applyFont="1" applyFill="1" applyBorder="1" applyAlignment="1">
      <alignment horizontal="center"/>
      <protection/>
    </xf>
    <xf numFmtId="0" fontId="64" fillId="0" borderId="0" xfId="124" applyFont="1" applyFill="1" applyBorder="1" applyAlignment="1">
      <alignment/>
      <protection/>
    </xf>
    <xf numFmtId="0" fontId="64" fillId="0" borderId="0" xfId="124" applyFont="1" applyFill="1" applyBorder="1">
      <alignment/>
      <protection/>
    </xf>
    <xf numFmtId="0" fontId="158" fillId="0" borderId="0" xfId="124" applyFont="1" applyFill="1" applyBorder="1" applyAlignment="1">
      <alignment horizontal="center"/>
      <protection/>
    </xf>
    <xf numFmtId="49" fontId="152" fillId="0" borderId="0" xfId="124" applyNumberFormat="1" applyFont="1" applyFill="1" applyBorder="1" applyAlignment="1">
      <alignment horizontal="center" wrapText="1"/>
      <protection/>
    </xf>
    <xf numFmtId="0" fontId="70" fillId="0" borderId="0" xfId="124" applyFont="1">
      <alignment/>
      <protection/>
    </xf>
    <xf numFmtId="2" fontId="29" fillId="0" borderId="0" xfId="124" applyNumberFormat="1" applyFont="1" applyAlignment="1">
      <alignment horizontal="center"/>
      <protection/>
    </xf>
    <xf numFmtId="0" fontId="157" fillId="0" borderId="0" xfId="124" applyFont="1" applyAlignment="1">
      <alignment horizontal="center"/>
      <protection/>
    </xf>
    <xf numFmtId="2" fontId="57" fillId="0" borderId="0" xfId="124" applyNumberFormat="1" applyFont="1" applyAlignment="1">
      <alignment horizontal="center"/>
      <protection/>
    </xf>
    <xf numFmtId="0" fontId="57" fillId="0" borderId="0" xfId="124" applyFont="1">
      <alignment/>
      <protection/>
    </xf>
    <xf numFmtId="3" fontId="61" fillId="57" borderId="19" xfId="124" applyNumberFormat="1" applyFont="1" applyFill="1" applyBorder="1">
      <alignment/>
      <protection/>
    </xf>
    <xf numFmtId="2" fontId="80" fillId="57" borderId="19" xfId="124" applyNumberFormat="1" applyFont="1" applyFill="1" applyBorder="1" applyAlignment="1">
      <alignment horizontal="center"/>
      <protection/>
    </xf>
    <xf numFmtId="10" fontId="125" fillId="0" borderId="11" xfId="0" applyNumberFormat="1" applyFont="1" applyBorder="1" applyAlignment="1">
      <alignment/>
    </xf>
    <xf numFmtId="182" fontId="28" fillId="0" borderId="23" xfId="0" applyNumberFormat="1" applyFont="1" applyFill="1" applyBorder="1" applyAlignment="1">
      <alignment/>
    </xf>
    <xf numFmtId="182" fontId="28" fillId="0" borderId="35" xfId="0" applyNumberFormat="1" applyFont="1" applyFill="1" applyBorder="1" applyAlignment="1">
      <alignment/>
    </xf>
    <xf numFmtId="3" fontId="28" fillId="40" borderId="64" xfId="0" applyNumberFormat="1" applyFont="1" applyFill="1" applyBorder="1" applyAlignment="1">
      <alignment/>
    </xf>
    <xf numFmtId="3" fontId="28" fillId="52" borderId="47" xfId="0" applyNumberFormat="1" applyFont="1" applyFill="1" applyBorder="1" applyAlignment="1">
      <alignment/>
    </xf>
    <xf numFmtId="3" fontId="28" fillId="40" borderId="66" xfId="0" applyNumberFormat="1" applyFont="1" applyFill="1" applyBorder="1" applyAlignment="1">
      <alignment/>
    </xf>
    <xf numFmtId="3" fontId="28" fillId="52" borderId="66" xfId="0" applyNumberFormat="1" applyFont="1" applyFill="1" applyBorder="1" applyAlignment="1">
      <alignment/>
    </xf>
    <xf numFmtId="3" fontId="28" fillId="40" borderId="17" xfId="0" applyNumberFormat="1" applyFont="1" applyFill="1" applyBorder="1" applyAlignment="1">
      <alignment/>
    </xf>
    <xf numFmtId="3" fontId="28" fillId="52" borderId="75" xfId="0" applyNumberFormat="1" applyFont="1" applyFill="1" applyBorder="1" applyAlignment="1">
      <alignment/>
    </xf>
    <xf numFmtId="3" fontId="28" fillId="40" borderId="62" xfId="0" applyNumberFormat="1" applyFont="1" applyFill="1" applyBorder="1" applyAlignment="1">
      <alignment/>
    </xf>
    <xf numFmtId="3" fontId="28" fillId="52" borderId="62" xfId="0" applyNumberFormat="1" applyFont="1" applyFill="1" applyBorder="1" applyAlignment="1">
      <alignment/>
    </xf>
    <xf numFmtId="3" fontId="29" fillId="16" borderId="66" xfId="0" applyNumberFormat="1" applyFont="1" applyFill="1" applyBorder="1" applyAlignment="1">
      <alignment/>
    </xf>
    <xf numFmtId="3" fontId="29" fillId="16" borderId="75" xfId="0" applyNumberFormat="1" applyFont="1" applyFill="1" applyBorder="1" applyAlignment="1">
      <alignment/>
    </xf>
    <xf numFmtId="2" fontId="29" fillId="0" borderId="0" xfId="124" applyNumberFormat="1" applyFont="1" applyAlignment="1">
      <alignment wrapText="1"/>
      <protection/>
    </xf>
    <xf numFmtId="0" fontId="154" fillId="0" borderId="0" xfId="124" applyFont="1" applyAlignment="1">
      <alignment wrapText="1"/>
      <protection/>
    </xf>
    <xf numFmtId="0" fontId="154" fillId="0" borderId="0" xfId="124" applyFont="1" applyAlignment="1">
      <alignment horizontal="left"/>
      <protection/>
    </xf>
    <xf numFmtId="0" fontId="29" fillId="0" borderId="0" xfId="124" applyFont="1" applyAlignment="1">
      <alignment wrapText="1"/>
      <protection/>
    </xf>
    <xf numFmtId="0" fontId="152" fillId="0" borderId="0" xfId="124" applyFont="1" applyAlignment="1">
      <alignment wrapText="1"/>
      <protection/>
    </xf>
    <xf numFmtId="0" fontId="159" fillId="0" borderId="0" xfId="124" applyFont="1" applyAlignment="1">
      <alignment wrapText="1"/>
      <protection/>
    </xf>
    <xf numFmtId="0" fontId="129" fillId="0" borderId="0" xfId="124" applyFont="1" applyAlignment="1">
      <alignment wrapText="1"/>
      <protection/>
    </xf>
    <xf numFmtId="0" fontId="129" fillId="0" borderId="0" xfId="124" applyFont="1" applyAlignment="1">
      <alignment/>
      <protection/>
    </xf>
    <xf numFmtId="0" fontId="159" fillId="0" borderId="58" xfId="124" applyFont="1" applyFill="1" applyBorder="1" applyAlignment="1">
      <alignment/>
      <protection/>
    </xf>
    <xf numFmtId="0" fontId="78" fillId="57" borderId="40" xfId="124" applyFont="1" applyFill="1" applyBorder="1" applyAlignment="1">
      <alignment horizontal="center"/>
      <protection/>
    </xf>
    <xf numFmtId="0" fontId="78" fillId="57" borderId="32" xfId="124" applyFont="1" applyFill="1" applyBorder="1" applyAlignment="1">
      <alignment horizontal="center"/>
      <protection/>
    </xf>
    <xf numFmtId="0" fontId="61" fillId="57" borderId="169" xfId="124" applyFont="1" applyFill="1" applyBorder="1">
      <alignment/>
      <protection/>
    </xf>
    <xf numFmtId="0" fontId="29" fillId="13" borderId="32" xfId="124" applyFont="1" applyFill="1" applyBorder="1" applyAlignment="1">
      <alignment horizontal="center"/>
      <protection/>
    </xf>
    <xf numFmtId="0" fontId="29" fillId="13" borderId="19" xfId="124" applyFont="1" applyFill="1" applyBorder="1" applyAlignment="1">
      <alignment/>
      <protection/>
    </xf>
    <xf numFmtId="0" fontId="29" fillId="13" borderId="61" xfId="124" applyFont="1" applyFill="1" applyBorder="1">
      <alignment/>
      <protection/>
    </xf>
    <xf numFmtId="3" fontId="59" fillId="13" borderId="62" xfId="124" applyNumberFormat="1" applyFont="1" applyFill="1" applyBorder="1">
      <alignment/>
      <protection/>
    </xf>
    <xf numFmtId="3" fontId="59" fillId="13" borderId="18" xfId="124" applyNumberFormat="1" applyFont="1" applyFill="1" applyBorder="1">
      <alignment/>
      <protection/>
    </xf>
    <xf numFmtId="0" fontId="154" fillId="13" borderId="24" xfId="124" applyFont="1" applyFill="1" applyBorder="1" applyAlignment="1">
      <alignment horizontal="center"/>
      <protection/>
    </xf>
    <xf numFmtId="49" fontId="129" fillId="59" borderId="69" xfId="124" applyNumberFormat="1" applyFont="1" applyFill="1" applyBorder="1" applyAlignment="1">
      <alignment horizontal="left" wrapText="1"/>
      <protection/>
    </xf>
    <xf numFmtId="3" fontId="29" fillId="13" borderId="24" xfId="124" applyNumberFormat="1" applyFont="1" applyFill="1" applyBorder="1">
      <alignment/>
      <protection/>
    </xf>
    <xf numFmtId="2" fontId="29" fillId="13" borderId="18" xfId="124" applyNumberFormat="1" applyFont="1" applyFill="1" applyBorder="1" applyAlignment="1">
      <alignment horizontal="center"/>
      <protection/>
    </xf>
    <xf numFmtId="3" fontId="29" fillId="13" borderId="19" xfId="124" applyNumberFormat="1" applyFont="1" applyFill="1" applyBorder="1">
      <alignment/>
      <protection/>
    </xf>
    <xf numFmtId="49" fontId="129" fillId="0" borderId="16" xfId="124" applyNumberFormat="1" applyFont="1" applyFill="1" applyBorder="1" applyAlignment="1">
      <alignment horizontal="center"/>
      <protection/>
    </xf>
    <xf numFmtId="3" fontId="43" fillId="55" borderId="21" xfId="0" applyNumberFormat="1" applyFont="1" applyFill="1" applyBorder="1" applyAlignment="1">
      <alignment/>
    </xf>
    <xf numFmtId="4" fontId="160" fillId="0" borderId="0" xfId="124" applyNumberFormat="1" applyFont="1" applyFill="1" applyBorder="1" applyAlignment="1">
      <alignment horizontal="left" wrapText="1"/>
      <protection/>
    </xf>
    <xf numFmtId="49" fontId="161" fillId="0" borderId="0" xfId="124" applyNumberFormat="1" applyFont="1" applyAlignment="1">
      <alignment horizontal="left" wrapText="1"/>
      <protection/>
    </xf>
    <xf numFmtId="0" fontId="28" fillId="0" borderId="0" xfId="0" applyFont="1" applyFill="1" applyAlignment="1">
      <alignment wrapText="1"/>
    </xf>
    <xf numFmtId="0" fontId="28" fillId="0" borderId="43" xfId="0" applyFont="1" applyFill="1" applyBorder="1" applyAlignment="1">
      <alignment wrapText="1"/>
    </xf>
    <xf numFmtId="0" fontId="28" fillId="0" borderId="46" xfId="0" applyFont="1" applyBorder="1" applyAlignment="1">
      <alignment wrapText="1"/>
    </xf>
    <xf numFmtId="0" fontId="28" fillId="0" borderId="58" xfId="0" applyFont="1" applyBorder="1" applyAlignment="1">
      <alignment wrapText="1"/>
    </xf>
    <xf numFmtId="0" fontId="28" fillId="0" borderId="0" xfId="0" applyFont="1" applyBorder="1" applyAlignment="1">
      <alignment wrapText="1"/>
    </xf>
    <xf numFmtId="0" fontId="29" fillId="0" borderId="43" xfId="0" applyFont="1" applyFill="1" applyBorder="1" applyAlignment="1">
      <alignment wrapText="1"/>
    </xf>
    <xf numFmtId="0" fontId="29" fillId="0" borderId="46" xfId="0" applyFont="1" applyBorder="1" applyAlignment="1">
      <alignment wrapText="1"/>
    </xf>
    <xf numFmtId="0" fontId="32" fillId="0" borderId="43" xfId="0" applyFont="1" applyFill="1" applyBorder="1" applyAlignment="1">
      <alignment wrapText="1"/>
    </xf>
    <xf numFmtId="0" fontId="32" fillId="0" borderId="46" xfId="0" applyFont="1" applyBorder="1" applyAlignment="1">
      <alignment wrapText="1"/>
    </xf>
    <xf numFmtId="0" fontId="32" fillId="0" borderId="58" xfId="0" applyFont="1" applyBorder="1" applyAlignment="1">
      <alignment wrapText="1"/>
    </xf>
    <xf numFmtId="0" fontId="32" fillId="0" borderId="0" xfId="0" applyFont="1" applyBorder="1" applyAlignment="1">
      <alignment wrapText="1"/>
    </xf>
    <xf numFmtId="0" fontId="29" fillId="0" borderId="70" xfId="0" applyFont="1" applyFill="1" applyBorder="1" applyAlignment="1">
      <alignment horizontal="center" wrapText="1"/>
    </xf>
    <xf numFmtId="0" fontId="29" fillId="0" borderId="211" xfId="0" applyFont="1" applyFill="1" applyBorder="1" applyAlignment="1">
      <alignment horizontal="center" wrapText="1"/>
    </xf>
    <xf numFmtId="49" fontId="29" fillId="16" borderId="47" xfId="0" applyNumberFormat="1" applyFont="1" applyFill="1" applyBorder="1" applyAlignment="1">
      <alignment horizontal="center" wrapText="1"/>
    </xf>
    <xf numFmtId="49" fontId="29" fillId="16" borderId="210" xfId="0" applyNumberFormat="1" applyFont="1" applyFill="1" applyBorder="1" applyAlignment="1">
      <alignment horizontal="center" wrapText="1"/>
    </xf>
    <xf numFmtId="0" fontId="30" fillId="0" borderId="61" xfId="0" applyFont="1" applyFill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8" fillId="0" borderId="63" xfId="0" applyFont="1" applyBorder="1" applyAlignment="1">
      <alignment horizontal="center"/>
    </xf>
    <xf numFmtId="0" fontId="30" fillId="0" borderId="67" xfId="0" applyFont="1" applyFill="1" applyBorder="1" applyAlignment="1">
      <alignment horizontal="center"/>
    </xf>
    <xf numFmtId="0" fontId="30" fillId="0" borderId="74" xfId="0" applyFont="1" applyFill="1" applyBorder="1" applyAlignment="1">
      <alignment horizontal="center"/>
    </xf>
    <xf numFmtId="0" fontId="30" fillId="0" borderId="68" xfId="0" applyFont="1" applyFill="1" applyBorder="1" applyAlignment="1">
      <alignment horizontal="center"/>
    </xf>
    <xf numFmtId="0" fontId="28" fillId="0" borderId="74" xfId="0" applyFont="1" applyFill="1" applyBorder="1" applyAlignment="1">
      <alignment horizontal="center"/>
    </xf>
    <xf numFmtId="0" fontId="28" fillId="0" borderId="68" xfId="0" applyFont="1" applyFill="1" applyBorder="1" applyAlignment="1">
      <alignment horizontal="center"/>
    </xf>
    <xf numFmtId="0" fontId="38" fillId="0" borderId="199" xfId="0" applyFont="1" applyFill="1" applyBorder="1" applyAlignment="1">
      <alignment horizontal="left"/>
    </xf>
    <xf numFmtId="0" fontId="28" fillId="0" borderId="74" xfId="0" applyFont="1" applyBorder="1" applyAlignment="1">
      <alignment horizontal="left"/>
    </xf>
    <xf numFmtId="0" fontId="28" fillId="0" borderId="68" xfId="0" applyFont="1" applyBorder="1" applyAlignment="1">
      <alignment horizontal="left"/>
    </xf>
    <xf numFmtId="0" fontId="28" fillId="0" borderId="49" xfId="0" applyFont="1" applyFill="1" applyBorder="1" applyAlignment="1">
      <alignment horizontal="center"/>
    </xf>
    <xf numFmtId="0" fontId="28" fillId="0" borderId="52" xfId="0" applyFont="1" applyFill="1" applyBorder="1" applyAlignment="1">
      <alignment horizontal="center"/>
    </xf>
    <xf numFmtId="0" fontId="29" fillId="0" borderId="11" xfId="0" applyFont="1" applyFill="1" applyBorder="1" applyAlignment="1">
      <alignment horizontal="left"/>
    </xf>
    <xf numFmtId="0" fontId="38" fillId="0" borderId="102" xfId="0" applyFont="1" applyFill="1" applyBorder="1" applyAlignment="1">
      <alignment horizontal="center" wrapText="1"/>
    </xf>
    <xf numFmtId="0" fontId="38" fillId="0" borderId="104" xfId="0" applyFont="1" applyFill="1" applyBorder="1" applyAlignment="1">
      <alignment horizontal="center" wrapText="1"/>
    </xf>
    <xf numFmtId="0" fontId="38" fillId="0" borderId="106" xfId="0" applyFont="1" applyFill="1" applyBorder="1" applyAlignment="1">
      <alignment horizontal="center" wrapText="1"/>
    </xf>
    <xf numFmtId="0" fontId="29" fillId="0" borderId="21" xfId="0" applyFont="1" applyFill="1" applyBorder="1" applyAlignment="1">
      <alignment horizontal="left"/>
    </xf>
    <xf numFmtId="0" fontId="29" fillId="0" borderId="15" xfId="0" applyFont="1" applyFill="1" applyBorder="1" applyAlignment="1">
      <alignment horizontal="left"/>
    </xf>
    <xf numFmtId="0" fontId="30" fillId="0" borderId="67" xfId="0" applyFont="1" applyBorder="1" applyAlignment="1">
      <alignment horizontal="center"/>
    </xf>
    <xf numFmtId="0" fontId="30" fillId="0" borderId="74" xfId="0" applyFont="1" applyBorder="1" applyAlignment="1">
      <alignment horizontal="center"/>
    </xf>
    <xf numFmtId="0" fontId="30" fillId="0" borderId="68" xfId="0" applyFont="1" applyBorder="1" applyAlignment="1">
      <alignment horizontal="center"/>
    </xf>
    <xf numFmtId="0" fontId="28" fillId="0" borderId="43" xfId="0" applyFont="1" applyBorder="1" applyAlignment="1">
      <alignment horizontal="center"/>
    </xf>
    <xf numFmtId="0" fontId="28" fillId="0" borderId="46" xfId="0" applyFont="1" applyBorder="1" applyAlignment="1">
      <alignment horizontal="center"/>
    </xf>
    <xf numFmtId="0" fontId="28" fillId="0" borderId="48" xfId="0" applyFont="1" applyBorder="1" applyAlignment="1">
      <alignment horizontal="center"/>
    </xf>
    <xf numFmtId="0" fontId="28" fillId="0" borderId="72" xfId="0" applyFont="1" applyBorder="1" applyAlignment="1">
      <alignment horizontal="center"/>
    </xf>
    <xf numFmtId="3" fontId="148" fillId="0" borderId="199" xfId="0" applyNumberFormat="1" applyFont="1" applyBorder="1" applyAlignment="1">
      <alignment horizontal="center" vertical="center"/>
    </xf>
    <xf numFmtId="3" fontId="148" fillId="0" borderId="74" xfId="0" applyNumberFormat="1" applyFont="1" applyBorder="1" applyAlignment="1">
      <alignment horizontal="center" vertical="center"/>
    </xf>
    <xf numFmtId="3" fontId="148" fillId="0" borderId="78" xfId="0" applyNumberFormat="1" applyFont="1" applyBorder="1" applyAlignment="1">
      <alignment horizontal="center" vertical="center"/>
    </xf>
    <xf numFmtId="0" fontId="31" fillId="0" borderId="209" xfId="0" applyFont="1" applyBorder="1" applyAlignment="1">
      <alignment horizontal="center"/>
    </xf>
    <xf numFmtId="0" fontId="31" fillId="0" borderId="71" xfId="0" applyFont="1" applyBorder="1" applyAlignment="1">
      <alignment horizontal="center"/>
    </xf>
    <xf numFmtId="3" fontId="31" fillId="0" borderId="199" xfId="0" applyNumberFormat="1" applyFont="1" applyBorder="1" applyAlignment="1">
      <alignment horizontal="center" vertical="center"/>
    </xf>
    <xf numFmtId="3" fontId="31" fillId="0" borderId="78" xfId="0" applyNumberFormat="1" applyFont="1" applyBorder="1" applyAlignment="1">
      <alignment horizontal="center" vertical="center"/>
    </xf>
    <xf numFmtId="0" fontId="28" fillId="0" borderId="168" xfId="0" applyFont="1" applyBorder="1" applyAlignment="1">
      <alignment horizontal="center"/>
    </xf>
    <xf numFmtId="0" fontId="28" fillId="0" borderId="67" xfId="0" applyFont="1" applyBorder="1" applyAlignment="1">
      <alignment horizontal="center"/>
    </xf>
    <xf numFmtId="0" fontId="28" fillId="0" borderId="74" xfId="0" applyFont="1" applyBorder="1" applyAlignment="1">
      <alignment horizontal="center"/>
    </xf>
    <xf numFmtId="0" fontId="28" fillId="0" borderId="68" xfId="0" applyFont="1" applyBorder="1" applyAlignment="1">
      <alignment horizontal="center"/>
    </xf>
    <xf numFmtId="3" fontId="31" fillId="0" borderId="168" xfId="0" applyNumberFormat="1" applyFont="1" applyBorder="1" applyAlignment="1">
      <alignment horizontal="center" vertical="center"/>
    </xf>
    <xf numFmtId="3" fontId="31" fillId="0" borderId="73" xfId="0" applyNumberFormat="1" applyFont="1" applyBorder="1" applyAlignment="1">
      <alignment horizontal="center" vertical="center"/>
    </xf>
    <xf numFmtId="3" fontId="31" fillId="0" borderId="72" xfId="0" applyNumberFormat="1" applyFont="1" applyBorder="1" applyAlignment="1">
      <alignment horizontal="center" vertical="center"/>
    </xf>
    <xf numFmtId="3" fontId="31" fillId="0" borderId="79" xfId="0" applyNumberFormat="1" applyFont="1" applyBorder="1" applyAlignment="1">
      <alignment horizontal="center" vertical="center"/>
    </xf>
    <xf numFmtId="0" fontId="28" fillId="0" borderId="69" xfId="0" applyFont="1" applyBorder="1" applyAlignment="1">
      <alignment horizontal="center"/>
    </xf>
    <xf numFmtId="3" fontId="28" fillId="0" borderId="209" xfId="0" applyNumberFormat="1" applyFont="1" applyBorder="1" applyAlignment="1">
      <alignment horizontal="center"/>
    </xf>
    <xf numFmtId="3" fontId="28" fillId="0" borderId="162" xfId="0" applyNumberFormat="1" applyFont="1" applyBorder="1" applyAlignment="1">
      <alignment horizontal="center"/>
    </xf>
    <xf numFmtId="0" fontId="31" fillId="0" borderId="78" xfId="0" applyFont="1" applyBorder="1" applyAlignment="1">
      <alignment horizontal="center" vertical="center"/>
    </xf>
    <xf numFmtId="0" fontId="0" fillId="0" borderId="199" xfId="0" applyBorder="1" applyAlignment="1">
      <alignment horizontal="center"/>
    </xf>
    <xf numFmtId="0" fontId="0" fillId="0" borderId="78" xfId="0" applyBorder="1" applyAlignment="1">
      <alignment horizontal="center"/>
    </xf>
    <xf numFmtId="0" fontId="34" fillId="0" borderId="43" xfId="0" applyFont="1" applyBorder="1" applyAlignment="1">
      <alignment horizontal="center"/>
    </xf>
    <xf numFmtId="0" fontId="28" fillId="0" borderId="101" xfId="0" applyFont="1" applyBorder="1" applyAlignment="1">
      <alignment horizontal="center"/>
    </xf>
    <xf numFmtId="0" fontId="32" fillId="0" borderId="89" xfId="0" applyFont="1" applyBorder="1" applyAlignment="1">
      <alignment horizontal="center"/>
    </xf>
    <xf numFmtId="0" fontId="32" fillId="0" borderId="55" xfId="0" applyFont="1" applyBorder="1" applyAlignment="1">
      <alignment horizontal="center"/>
    </xf>
    <xf numFmtId="0" fontId="32" fillId="0" borderId="57" xfId="0" applyFont="1" applyBorder="1" applyAlignment="1">
      <alignment horizontal="center"/>
    </xf>
    <xf numFmtId="0" fontId="50" fillId="0" borderId="44" xfId="0" applyFont="1" applyBorder="1" applyAlignment="1">
      <alignment horizontal="center"/>
    </xf>
    <xf numFmtId="0" fontId="51" fillId="0" borderId="105" xfId="0" applyFont="1" applyBorder="1" applyAlignment="1">
      <alignment horizontal="center"/>
    </xf>
    <xf numFmtId="0" fontId="28" fillId="44" borderId="65" xfId="0" applyFont="1" applyFill="1" applyBorder="1" applyAlignment="1">
      <alignment horizontal="left"/>
    </xf>
    <xf numFmtId="0" fontId="28" fillId="44" borderId="72" xfId="0" applyFont="1" applyFill="1" applyBorder="1" applyAlignment="1">
      <alignment horizontal="left"/>
    </xf>
    <xf numFmtId="0" fontId="28" fillId="44" borderId="73" xfId="0" applyFont="1" applyFill="1" applyBorder="1" applyAlignment="1">
      <alignment horizontal="left"/>
    </xf>
    <xf numFmtId="0" fontId="31" fillId="44" borderId="76" xfId="0" applyFont="1" applyFill="1" applyBorder="1" applyAlignment="1">
      <alignment horizontal="left"/>
    </xf>
    <xf numFmtId="0" fontId="31" fillId="44" borderId="77" xfId="0" applyFont="1" applyFill="1" applyBorder="1" applyAlignment="1">
      <alignment horizontal="left"/>
    </xf>
    <xf numFmtId="0" fontId="31" fillId="44" borderId="82" xfId="0" applyFont="1" applyFill="1" applyBorder="1" applyAlignment="1">
      <alignment horizontal="left"/>
    </xf>
    <xf numFmtId="0" fontId="28" fillId="44" borderId="158" xfId="0" applyFont="1" applyFill="1" applyBorder="1" applyAlignment="1">
      <alignment horizontal="left"/>
    </xf>
    <xf numFmtId="0" fontId="28" fillId="44" borderId="86" xfId="0" applyFont="1" applyFill="1" applyBorder="1" applyAlignment="1">
      <alignment horizontal="left"/>
    </xf>
    <xf numFmtId="0" fontId="28" fillId="44" borderId="79" xfId="0" applyFont="1" applyFill="1" applyBorder="1" applyAlignment="1">
      <alignment horizontal="left"/>
    </xf>
    <xf numFmtId="0" fontId="65" fillId="0" borderId="40" xfId="0" applyFont="1" applyBorder="1" applyAlignment="1">
      <alignment horizontal="left"/>
    </xf>
    <xf numFmtId="0" fontId="65" fillId="0" borderId="63" xfId="0" applyFont="1" applyBorder="1" applyAlignment="1">
      <alignment horizontal="left"/>
    </xf>
    <xf numFmtId="0" fontId="32" fillId="0" borderId="33" xfId="0" applyFont="1" applyBorder="1" applyAlignment="1">
      <alignment horizontal="center" wrapText="1"/>
    </xf>
    <xf numFmtId="0" fontId="32" fillId="0" borderId="27" xfId="0" applyFont="1" applyBorder="1" applyAlignment="1">
      <alignment horizontal="center" wrapText="1"/>
    </xf>
    <xf numFmtId="0" fontId="32" fillId="44" borderId="45" xfId="0" applyFont="1" applyFill="1" applyBorder="1" applyAlignment="1">
      <alignment horizontal="center"/>
    </xf>
    <xf numFmtId="0" fontId="32" fillId="44" borderId="83" xfId="0" applyFont="1" applyFill="1" applyBorder="1" applyAlignment="1">
      <alignment horizontal="center"/>
    </xf>
    <xf numFmtId="0" fontId="32" fillId="44" borderId="12" xfId="0" applyFont="1" applyFill="1" applyBorder="1" applyAlignment="1">
      <alignment horizontal="center"/>
    </xf>
    <xf numFmtId="0" fontId="32" fillId="44" borderId="163" xfId="0" applyFont="1" applyFill="1" applyBorder="1" applyAlignment="1">
      <alignment horizontal="center"/>
    </xf>
    <xf numFmtId="0" fontId="65" fillId="0" borderId="40" xfId="0" applyFont="1" applyFill="1" applyBorder="1" applyAlignment="1">
      <alignment horizontal="left"/>
    </xf>
    <xf numFmtId="0" fontId="65" fillId="0" borderId="63" xfId="0" applyFont="1" applyFill="1" applyBorder="1" applyAlignment="1">
      <alignment horizontal="left"/>
    </xf>
    <xf numFmtId="0" fontId="122" fillId="0" borderId="199" xfId="0" applyFont="1" applyFill="1" applyBorder="1" applyAlignment="1">
      <alignment horizontal="center"/>
    </xf>
    <xf numFmtId="0" fontId="122" fillId="0" borderId="74" xfId="0" applyFont="1" applyFill="1" applyBorder="1" applyAlignment="1">
      <alignment horizontal="center"/>
    </xf>
    <xf numFmtId="0" fontId="122" fillId="0" borderId="68" xfId="0" applyFont="1" applyFill="1" applyBorder="1" applyAlignment="1">
      <alignment horizontal="center"/>
    </xf>
  </cellXfs>
  <cellStyles count="148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40 % – Zvýraznění1" xfId="33"/>
    <cellStyle name="40 % – Zvýraznění1 2" xfId="34"/>
    <cellStyle name="40 % – Zvýraznění2" xfId="35"/>
    <cellStyle name="40 % – Zvýraznění2 2" xfId="36"/>
    <cellStyle name="40 % – Zvýraznění3" xfId="37"/>
    <cellStyle name="40 % – Zvýraznění3 2" xfId="38"/>
    <cellStyle name="40 % – Zvýraznění4" xfId="39"/>
    <cellStyle name="40 % – Zvýraznění4 2" xfId="40"/>
    <cellStyle name="40 % – Zvýraznění5" xfId="41"/>
    <cellStyle name="40 % – Zvýraznění5 2" xfId="42"/>
    <cellStyle name="40 % – Zvýraznění6" xfId="43"/>
    <cellStyle name="40 % – Zvýraznění6 2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60 % – Zvýraznění1" xfId="51"/>
    <cellStyle name="60 % – Zvýraznění1 2" xfId="52"/>
    <cellStyle name="60 % – Zvýraznění2" xfId="53"/>
    <cellStyle name="60 % – Zvýraznění2 2" xfId="54"/>
    <cellStyle name="60 % – Zvýraznění3" xfId="55"/>
    <cellStyle name="60 % – Zvýraznění3 2" xfId="56"/>
    <cellStyle name="60 % – Zvýraznění4" xfId="57"/>
    <cellStyle name="60 % – Zvýraznění4 2" xfId="58"/>
    <cellStyle name="60 % – Zvýraznění5" xfId="59"/>
    <cellStyle name="60 % – Zvýraznění5 2" xfId="60"/>
    <cellStyle name="60 % – Zvýraznění6" xfId="61"/>
    <cellStyle name="60 % – Zvýraznění6 2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Celkem" xfId="69"/>
    <cellStyle name="Celkem 2" xfId="70"/>
    <cellStyle name="Comma 2" xfId="71"/>
    <cellStyle name="Comma" xfId="72"/>
    <cellStyle name="Comma [0]" xfId="73"/>
    <cellStyle name="Hyperlink" xfId="74"/>
    <cellStyle name="Chybně" xfId="75"/>
    <cellStyle name="Chybně 2" xfId="76"/>
    <cellStyle name="Kontrolní buňka" xfId="77"/>
    <cellStyle name="Kontrolní buňka 2" xfId="78"/>
    <cellStyle name="Currency" xfId="79"/>
    <cellStyle name="Currency [0]" xfId="80"/>
    <cellStyle name="Nadpis 1" xfId="81"/>
    <cellStyle name="Nadpis 1 2" xfId="82"/>
    <cellStyle name="Nadpis 2" xfId="83"/>
    <cellStyle name="Nadpis 2 2" xfId="84"/>
    <cellStyle name="Nadpis 3" xfId="85"/>
    <cellStyle name="Nadpis 3 2" xfId="86"/>
    <cellStyle name="Nadpis 4" xfId="87"/>
    <cellStyle name="Nadpis 4 2" xfId="88"/>
    <cellStyle name="Název" xfId="89"/>
    <cellStyle name="Název 2" xfId="90"/>
    <cellStyle name="Neutrální" xfId="91"/>
    <cellStyle name="Neutrální 2" xfId="92"/>
    <cellStyle name="Normal 2" xfId="93"/>
    <cellStyle name="Normal 3" xfId="94"/>
    <cellStyle name="Normální 10" xfId="95"/>
    <cellStyle name="Normální 11" xfId="96"/>
    <cellStyle name="normální 2" xfId="97"/>
    <cellStyle name="normální 2 2" xfId="98"/>
    <cellStyle name="normální 2 3" xfId="99"/>
    <cellStyle name="normální 2 3 2" xfId="100"/>
    <cellStyle name="normální 2 3 2 2" xfId="101"/>
    <cellStyle name="normální 2 3 2_PV III. Rozpis rozpočtu VŠ 2011_final_PV" xfId="102"/>
    <cellStyle name="normální 2 3_PV III. Rozpis rozpočtu VŠ 2011_final_PV" xfId="103"/>
    <cellStyle name="normální 2 4" xfId="104"/>
    <cellStyle name="normální 2 4 2" xfId="105"/>
    <cellStyle name="normální 2 4_PV III. Rozpis rozpočtu VŠ 2011_final_PV" xfId="106"/>
    <cellStyle name="normální 2 5" xfId="107"/>
    <cellStyle name="normální 2_CP2012" xfId="108"/>
    <cellStyle name="normální 3" xfId="109"/>
    <cellStyle name="normální 3 2" xfId="110"/>
    <cellStyle name="normální 3_CP2012" xfId="111"/>
    <cellStyle name="normální 4" xfId="112"/>
    <cellStyle name="normální 4 2" xfId="113"/>
    <cellStyle name="normální 4_PV Rozpis rozpočtu VŠ 2011 III - tabulkové přílohy" xfId="114"/>
    <cellStyle name="Normální 5" xfId="115"/>
    <cellStyle name="normální 5 2" xfId="116"/>
    <cellStyle name="Normální 6" xfId="117"/>
    <cellStyle name="Normální 6 2" xfId="118"/>
    <cellStyle name="normální 7" xfId="119"/>
    <cellStyle name="Normální 8" xfId="120"/>
    <cellStyle name="Normální 8 2" xfId="121"/>
    <cellStyle name="Normální 9" xfId="122"/>
    <cellStyle name="normální_model_rozpocet_23112009-1" xfId="123"/>
    <cellStyle name="normální_návrh CP k 23.11.03" xfId="124"/>
    <cellStyle name="Followed Hyperlink" xfId="125"/>
    <cellStyle name="Poznámka" xfId="126"/>
    <cellStyle name="Poznámka 2" xfId="127"/>
    <cellStyle name="procent 2" xfId="128"/>
    <cellStyle name="procent 3" xfId="129"/>
    <cellStyle name="procent 4" xfId="130"/>
    <cellStyle name="Percent" xfId="131"/>
    <cellStyle name="Procenta 2" xfId="132"/>
    <cellStyle name="Propojená buňka" xfId="133"/>
    <cellStyle name="Propojená buňka 2" xfId="134"/>
    <cellStyle name="Správně" xfId="135"/>
    <cellStyle name="Správně 2" xfId="136"/>
    <cellStyle name="Text upozornění" xfId="137"/>
    <cellStyle name="Text upozornění 2" xfId="138"/>
    <cellStyle name="Title" xfId="139"/>
    <cellStyle name="Total" xfId="140"/>
    <cellStyle name="Vstup" xfId="141"/>
    <cellStyle name="Vstup 2" xfId="142"/>
    <cellStyle name="Výpočet" xfId="143"/>
    <cellStyle name="Výpočet 2" xfId="144"/>
    <cellStyle name="Výstup" xfId="145"/>
    <cellStyle name="Výstup 2" xfId="146"/>
    <cellStyle name="Vysvětlující text" xfId="147"/>
    <cellStyle name="Vysvětlující text 2" xfId="148"/>
    <cellStyle name="Warning Text" xfId="149"/>
    <cellStyle name="Zvýraznění 1" xfId="150"/>
    <cellStyle name="Zvýraznění 1 2" xfId="151"/>
    <cellStyle name="Zvýraznění 2" xfId="152"/>
    <cellStyle name="Zvýraznění 2 2" xfId="153"/>
    <cellStyle name="Zvýraznění 3" xfId="154"/>
    <cellStyle name="Zvýraznění 3 2" xfId="155"/>
    <cellStyle name="Zvýraznění 4" xfId="156"/>
    <cellStyle name="Zvýraznění 4 2" xfId="157"/>
    <cellStyle name="Zvýraznění 5" xfId="158"/>
    <cellStyle name="Zvýraznění 5 2" xfId="159"/>
    <cellStyle name="Zvýraznění 6" xfId="160"/>
    <cellStyle name="Zvýraznění 6 2" xfId="1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showGridLines="0" tabSelected="1" zoomScalePageLayoutView="0" workbookViewId="0" topLeftCell="A1">
      <selection activeCell="D33" sqref="D33"/>
    </sheetView>
  </sheetViews>
  <sheetFormatPr defaultColWidth="11.375" defaultRowHeight="12.75"/>
  <cols>
    <col min="1" max="1" width="4.375" style="49" customWidth="1"/>
    <col min="2" max="2" width="10.125" style="49" customWidth="1"/>
    <col min="3" max="3" width="13.625" style="49" customWidth="1"/>
    <col min="4" max="4" width="13.25390625" style="49" customWidth="1"/>
    <col min="5" max="5" width="12.75390625" style="49" customWidth="1"/>
    <col min="6" max="6" width="12.875" style="49" customWidth="1"/>
    <col min="7" max="7" width="12.00390625" style="49" customWidth="1"/>
    <col min="8" max="8" width="12.25390625" style="49" customWidth="1"/>
    <col min="9" max="9" width="11.625" style="49" customWidth="1"/>
    <col min="10" max="10" width="12.375" style="49" customWidth="1"/>
    <col min="11" max="11" width="11.25390625" style="49" customWidth="1"/>
    <col min="12" max="12" width="10.00390625" style="61" customWidth="1"/>
    <col min="13" max="13" width="10.625" style="49" customWidth="1"/>
    <col min="14" max="16384" width="11.375" style="49" customWidth="1"/>
  </cols>
  <sheetData>
    <row r="1" spans="1:11" ht="26.25">
      <c r="A1" s="134" t="s">
        <v>543</v>
      </c>
      <c r="B1" s="135"/>
      <c r="C1" s="60"/>
      <c r="D1" s="60"/>
      <c r="E1" s="60"/>
      <c r="F1" s="60"/>
      <c r="G1" s="60"/>
      <c r="H1" s="60"/>
      <c r="I1" s="60"/>
      <c r="J1" s="60"/>
      <c r="K1" s="60"/>
    </row>
    <row r="2" spans="1:13" ht="22.5" customHeight="1">
      <c r="A2" s="1528" t="s">
        <v>596</v>
      </c>
      <c r="B2" s="1528"/>
      <c r="C2" s="1528"/>
      <c r="D2" s="1528"/>
      <c r="E2" s="1528"/>
      <c r="F2" s="1528"/>
      <c r="G2" s="1528"/>
      <c r="H2" s="1528"/>
      <c r="I2" s="1528"/>
      <c r="J2" s="1528"/>
      <c r="K2" s="1528"/>
      <c r="L2" s="1528"/>
      <c r="M2" s="1528"/>
    </row>
    <row r="3" spans="1:13" ht="22.5" customHeight="1" thickBot="1">
      <c r="A3" s="136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</row>
    <row r="4" spans="1:12" ht="16.5" thickBot="1">
      <c r="A4" s="122" t="s">
        <v>185</v>
      </c>
      <c r="B4" s="60"/>
      <c r="C4" s="60"/>
      <c r="D4" s="60"/>
      <c r="E4" s="60"/>
      <c r="G4" s="719">
        <v>0.76</v>
      </c>
      <c r="H4" s="720">
        <v>0.24</v>
      </c>
      <c r="I4" s="138"/>
      <c r="J4" s="61"/>
      <c r="K4" s="61"/>
      <c r="L4" s="137"/>
    </row>
    <row r="5" spans="1:12" ht="12.75">
      <c r="A5" s="139"/>
      <c r="B5" s="140"/>
      <c r="C5" s="141"/>
      <c r="D5" s="142"/>
      <c r="E5" s="143"/>
      <c r="F5" s="144"/>
      <c r="G5" s="145"/>
      <c r="H5" s="145"/>
      <c r="I5" s="145"/>
      <c r="J5" s="146" t="s">
        <v>2</v>
      </c>
      <c r="K5" s="60"/>
      <c r="L5" s="49"/>
    </row>
    <row r="6" spans="1:12" ht="13.5" thickBot="1">
      <c r="A6" s="147" t="s">
        <v>3</v>
      </c>
      <c r="B6" s="148" t="s">
        <v>4</v>
      </c>
      <c r="C6" s="149"/>
      <c r="D6" s="150"/>
      <c r="E6" s="151" t="s">
        <v>400</v>
      </c>
      <c r="F6" s="152" t="s">
        <v>544</v>
      </c>
      <c r="G6" s="153" t="s">
        <v>199</v>
      </c>
      <c r="H6" s="153" t="s">
        <v>249</v>
      </c>
      <c r="I6" s="154" t="s">
        <v>184</v>
      </c>
      <c r="J6" s="155" t="s">
        <v>595</v>
      </c>
      <c r="K6" s="60"/>
      <c r="L6" s="49"/>
    </row>
    <row r="7" spans="1:12" ht="12.75">
      <c r="A7" s="156">
        <v>1</v>
      </c>
      <c r="B7" s="157" t="s">
        <v>98</v>
      </c>
      <c r="C7" s="158"/>
      <c r="D7" s="159"/>
      <c r="E7" s="160">
        <v>1820104</v>
      </c>
      <c r="F7" s="161">
        <v>1833282</v>
      </c>
      <c r="G7" s="162">
        <f>F7*G4</f>
        <v>1393294.32</v>
      </c>
      <c r="H7" s="162">
        <f>F7*H4</f>
        <v>439987.68</v>
      </c>
      <c r="I7" s="163"/>
      <c r="J7" s="164">
        <f>F7/E7</f>
        <v>1.0072402456123386</v>
      </c>
      <c r="K7" s="165">
        <v>45873.99999999977</v>
      </c>
      <c r="L7" s="49"/>
    </row>
    <row r="8" spans="1:12" ht="13.5" thickBot="1">
      <c r="A8" s="166">
        <v>2</v>
      </c>
      <c r="B8" s="167" t="s">
        <v>154</v>
      </c>
      <c r="C8" s="168"/>
      <c r="D8" s="169"/>
      <c r="E8" s="170">
        <v>538125</v>
      </c>
      <c r="F8" s="171">
        <v>531737</v>
      </c>
      <c r="G8" s="172"/>
      <c r="H8" s="172"/>
      <c r="I8" s="173">
        <f>F8</f>
        <v>531737</v>
      </c>
      <c r="J8" s="174">
        <f>F8/E8</f>
        <v>0.9881291521486644</v>
      </c>
      <c r="K8" s="60"/>
      <c r="L8" s="49"/>
    </row>
    <row r="9" spans="1:12" ht="13.5" thickBot="1">
      <c r="A9" s="175">
        <v>3</v>
      </c>
      <c r="B9" s="176" t="s">
        <v>5</v>
      </c>
      <c r="C9" s="177"/>
      <c r="D9" s="178"/>
      <c r="E9" s="179">
        <v>2358229</v>
      </c>
      <c r="F9" s="180">
        <f>SUM(F7:F8)</f>
        <v>2365019</v>
      </c>
      <c r="G9" s="181"/>
      <c r="H9" s="181"/>
      <c r="I9" s="182"/>
      <c r="J9" s="183">
        <f>F9/E9</f>
        <v>1.002879279323594</v>
      </c>
      <c r="K9" s="60"/>
      <c r="L9" s="49"/>
    </row>
    <row r="10" spans="1:12" ht="12.75">
      <c r="A10" s="184"/>
      <c r="B10" s="169"/>
      <c r="C10" s="168"/>
      <c r="D10" s="169"/>
      <c r="E10" s="168"/>
      <c r="F10" s="137"/>
      <c r="G10" s="137"/>
      <c r="H10" s="137"/>
      <c r="I10" s="137"/>
      <c r="J10" s="185"/>
      <c r="K10" s="60"/>
      <c r="L10" s="49"/>
    </row>
    <row r="11" spans="1:12" ht="12.75">
      <c r="A11" s="184"/>
      <c r="B11" s="169"/>
      <c r="C11" s="168"/>
      <c r="D11" s="169"/>
      <c r="E11" s="168"/>
      <c r="F11" s="137"/>
      <c r="G11" s="137"/>
      <c r="H11" s="137"/>
      <c r="I11" s="137"/>
      <c r="J11" s="185"/>
      <c r="K11" s="60"/>
      <c r="L11" s="49"/>
    </row>
    <row r="12" spans="1:11" ht="12.75">
      <c r="A12" s="60"/>
      <c r="B12" s="60"/>
      <c r="C12" s="60"/>
      <c r="D12" s="60"/>
      <c r="E12" s="60"/>
      <c r="G12" s="60"/>
      <c r="H12" s="60"/>
      <c r="I12" s="60"/>
      <c r="J12" s="60"/>
      <c r="K12" s="60"/>
    </row>
    <row r="13" spans="1:12" ht="16.5" thickBot="1">
      <c r="A13" s="122" t="s">
        <v>545</v>
      </c>
      <c r="B13" s="60"/>
      <c r="C13" s="60"/>
      <c r="D13" s="60"/>
      <c r="E13" s="60"/>
      <c r="F13" s="60"/>
      <c r="G13" s="60"/>
      <c r="H13" s="186"/>
      <c r="I13" s="60"/>
      <c r="J13" s="60"/>
      <c r="K13" s="187"/>
      <c r="L13" s="188"/>
    </row>
    <row r="14" spans="1:12" ht="30" customHeight="1">
      <c r="A14" s="1529" t="s">
        <v>250</v>
      </c>
      <c r="B14" s="1530"/>
      <c r="C14" s="205" t="s">
        <v>201</v>
      </c>
      <c r="D14" s="770" t="s">
        <v>201</v>
      </c>
      <c r="E14" s="206" t="s">
        <v>202</v>
      </c>
      <c r="F14" s="206" t="s">
        <v>283</v>
      </c>
      <c r="G14" s="207" t="s">
        <v>284</v>
      </c>
      <c r="H14" s="742" t="s">
        <v>250</v>
      </c>
      <c r="I14" s="740" t="s">
        <v>365</v>
      </c>
      <c r="J14" s="743" t="s">
        <v>287</v>
      </c>
      <c r="K14" s="189" t="s">
        <v>287</v>
      </c>
      <c r="L14" s="49"/>
    </row>
    <row r="15" spans="1:12" ht="30.75" customHeight="1" thickBot="1">
      <c r="A15" s="1531"/>
      <c r="B15" s="1532"/>
      <c r="C15" s="774" t="s">
        <v>286</v>
      </c>
      <c r="D15" s="775" t="s">
        <v>405</v>
      </c>
      <c r="E15" s="775" t="s">
        <v>286</v>
      </c>
      <c r="F15" s="775" t="s">
        <v>277</v>
      </c>
      <c r="G15" s="776" t="s">
        <v>285</v>
      </c>
      <c r="H15" s="741" t="s">
        <v>16</v>
      </c>
      <c r="I15" s="741"/>
      <c r="J15" s="744" t="s">
        <v>16</v>
      </c>
      <c r="K15" s="208" t="s">
        <v>379</v>
      </c>
      <c r="L15" s="49"/>
    </row>
    <row r="16" spans="1:12" ht="12.75">
      <c r="A16" s="209">
        <v>11</v>
      </c>
      <c r="B16" s="210" t="s">
        <v>7</v>
      </c>
      <c r="C16" s="211">
        <v>233556.57146840834</v>
      </c>
      <c r="D16" s="771">
        <v>2208.5987455845307</v>
      </c>
      <c r="E16" s="212">
        <v>21120.61148418908</v>
      </c>
      <c r="F16" s="1048">
        <f aca="true" t="shared" si="0" ref="F16:F23">G16/$G$28</f>
        <v>0.047234842862650124</v>
      </c>
      <c r="G16" s="213">
        <v>3290.601913331147</v>
      </c>
      <c r="H16" s="1492">
        <f>SUM(C16:E16)+G16</f>
        <v>260176.38361151307</v>
      </c>
      <c r="I16" s="1492">
        <f>str2!AH6</f>
        <v>69282.86773050853</v>
      </c>
      <c r="J16" s="1493">
        <f>SUM(H16:I16)</f>
        <v>329459.2513420216</v>
      </c>
      <c r="K16" s="1158">
        <v>329459</v>
      </c>
      <c r="L16" s="49"/>
    </row>
    <row r="17" spans="1:12" ht="12.75">
      <c r="A17" s="214">
        <v>21</v>
      </c>
      <c r="B17" s="215" t="s">
        <v>8</v>
      </c>
      <c r="C17" s="216">
        <v>215590.53746924107</v>
      </c>
      <c r="D17" s="772">
        <v>3013.3272221221423</v>
      </c>
      <c r="E17" s="217">
        <v>18023.82121634086</v>
      </c>
      <c r="F17" s="1009">
        <f t="shared" si="0"/>
        <v>0.1858064863174108</v>
      </c>
      <c r="G17" s="218">
        <v>12944.156100260308</v>
      </c>
      <c r="H17" s="1494">
        <f aca="true" t="shared" si="1" ref="H17:H27">SUM(C17:E17)+G17</f>
        <v>249571.84200796435</v>
      </c>
      <c r="I17" s="1494">
        <f>str2!AH7</f>
        <v>87693.40017771683</v>
      </c>
      <c r="J17" s="1495">
        <f aca="true" t="shared" si="2" ref="J17:J27">SUM(H17:I17)</f>
        <v>337265.2421856812</v>
      </c>
      <c r="K17" s="1151">
        <v>337265</v>
      </c>
      <c r="L17" s="49"/>
    </row>
    <row r="18" spans="1:12" ht="12.75">
      <c r="A18" s="214">
        <v>22</v>
      </c>
      <c r="B18" s="215" t="s">
        <v>9</v>
      </c>
      <c r="C18" s="216">
        <v>85627.04959954531</v>
      </c>
      <c r="D18" s="772">
        <v>870.3033097593515</v>
      </c>
      <c r="E18" s="217">
        <v>5825.603062264514</v>
      </c>
      <c r="F18" s="1009">
        <f t="shared" si="0"/>
        <v>0.03992510960117238</v>
      </c>
      <c r="G18" s="218">
        <v>2781.3714216345466</v>
      </c>
      <c r="H18" s="1494">
        <f t="shared" si="1"/>
        <v>95104.32739320373</v>
      </c>
      <c r="I18" s="1494">
        <f>str2!AH8</f>
        <v>26231.830385529505</v>
      </c>
      <c r="J18" s="1495">
        <f t="shared" si="2"/>
        <v>121336.15777873324</v>
      </c>
      <c r="K18" s="1151">
        <v>121336</v>
      </c>
      <c r="L18" s="49"/>
    </row>
    <row r="19" spans="1:12" ht="12.75">
      <c r="A19" s="214">
        <v>23</v>
      </c>
      <c r="B19" s="215" t="s">
        <v>10</v>
      </c>
      <c r="C19" s="216">
        <v>85623.7533064086</v>
      </c>
      <c r="D19" s="772">
        <v>1087.5241204221245</v>
      </c>
      <c r="E19" s="217">
        <v>13292.326857234077</v>
      </c>
      <c r="F19" s="1009">
        <f t="shared" si="0"/>
        <v>0.08767097633451443</v>
      </c>
      <c r="G19" s="218">
        <v>6107.573667786667</v>
      </c>
      <c r="H19" s="1494">
        <f t="shared" si="1"/>
        <v>106111.17795185147</v>
      </c>
      <c r="I19" s="1494">
        <f>str2!AH9</f>
        <v>38134.54997409908</v>
      </c>
      <c r="J19" s="1495">
        <f t="shared" si="2"/>
        <v>144245.72792595054</v>
      </c>
      <c r="K19" s="1151">
        <v>144246</v>
      </c>
      <c r="L19" s="49"/>
    </row>
    <row r="20" spans="1:12" ht="12.75">
      <c r="A20" s="214">
        <v>31</v>
      </c>
      <c r="B20" s="215" t="s">
        <v>11</v>
      </c>
      <c r="C20" s="216">
        <v>208285.42288077375</v>
      </c>
      <c r="D20" s="772">
        <v>2938.109811221298</v>
      </c>
      <c r="E20" s="217">
        <v>34680.82523275608</v>
      </c>
      <c r="F20" s="1009">
        <f t="shared" si="0"/>
        <v>0.18389189006113357</v>
      </c>
      <c r="G20" s="218">
        <v>12810.776295812091</v>
      </c>
      <c r="H20" s="1494">
        <f t="shared" si="1"/>
        <v>258715.13422056322</v>
      </c>
      <c r="I20" s="1494">
        <f>str2!AH10</f>
        <v>106769.56721228774</v>
      </c>
      <c r="J20" s="1495">
        <f t="shared" si="2"/>
        <v>365484.70143285097</v>
      </c>
      <c r="K20" s="1151">
        <v>365485</v>
      </c>
      <c r="L20" s="49"/>
    </row>
    <row r="21" spans="1:12" ht="12.75">
      <c r="A21" s="214">
        <v>33</v>
      </c>
      <c r="B21" s="215" t="s">
        <v>12</v>
      </c>
      <c r="C21" s="216">
        <v>89619.97370644043</v>
      </c>
      <c r="D21" s="772">
        <v>1328.048107333885</v>
      </c>
      <c r="E21" s="217">
        <v>6757.219170967104</v>
      </c>
      <c r="F21" s="1009">
        <f t="shared" si="0"/>
        <v>0.14979773216969972</v>
      </c>
      <c r="G21" s="218">
        <v>10435.616469046192</v>
      </c>
      <c r="H21" s="1494">
        <f t="shared" si="1"/>
        <v>108140.85745378761</v>
      </c>
      <c r="I21" s="1494">
        <f>str2!AH11</f>
        <v>24271.280658164636</v>
      </c>
      <c r="J21" s="1495">
        <f t="shared" si="2"/>
        <v>132412.13811195226</v>
      </c>
      <c r="K21" s="1151">
        <v>132412</v>
      </c>
      <c r="L21" s="49"/>
    </row>
    <row r="22" spans="1:12" ht="12.75">
      <c r="A22" s="214">
        <v>41</v>
      </c>
      <c r="B22" s="215" t="s">
        <v>13</v>
      </c>
      <c r="C22" s="216">
        <v>139038.46684870252</v>
      </c>
      <c r="D22" s="772">
        <v>2094.057777256973</v>
      </c>
      <c r="E22" s="217">
        <v>6729.694110691558</v>
      </c>
      <c r="F22" s="1009">
        <f t="shared" si="0"/>
        <v>0.11450570643322276</v>
      </c>
      <c r="G22" s="218">
        <v>7977.007519049835</v>
      </c>
      <c r="H22" s="1494">
        <f t="shared" si="1"/>
        <v>155839.22625570087</v>
      </c>
      <c r="I22" s="1494">
        <f>str2!AH12</f>
        <v>28110.11776187537</v>
      </c>
      <c r="J22" s="1495">
        <f t="shared" si="2"/>
        <v>183949.34401757625</v>
      </c>
      <c r="K22" s="781">
        <v>183950</v>
      </c>
      <c r="L22" s="49"/>
    </row>
    <row r="23" spans="1:12" ht="12.75">
      <c r="A23" s="214">
        <v>51</v>
      </c>
      <c r="B23" s="215" t="s">
        <v>14</v>
      </c>
      <c r="C23" s="216">
        <v>55774.441867851994</v>
      </c>
      <c r="D23" s="772">
        <v>799.5063510666065</v>
      </c>
      <c r="E23" s="217">
        <v>1637.3096734785486</v>
      </c>
      <c r="F23" s="1009">
        <f t="shared" si="0"/>
        <v>0.049767548888448365</v>
      </c>
      <c r="G23" s="218">
        <v>3467.04215932987</v>
      </c>
      <c r="H23" s="1494">
        <f t="shared" si="1"/>
        <v>61678.30005172702</v>
      </c>
      <c r="I23" s="1494">
        <f>str2!AH13</f>
        <v>9063.102825495982</v>
      </c>
      <c r="J23" s="1495">
        <f t="shared" si="2"/>
        <v>70741.40287722301</v>
      </c>
      <c r="K23" s="1151">
        <v>70741</v>
      </c>
      <c r="L23" s="49"/>
    </row>
    <row r="24" spans="1:12" ht="12.75">
      <c r="A24" s="214">
        <v>56</v>
      </c>
      <c r="B24" s="215" t="s">
        <v>15</v>
      </c>
      <c r="C24" s="216">
        <v>81896.13466728934</v>
      </c>
      <c r="D24" s="772">
        <v>1159.703053185366</v>
      </c>
      <c r="E24" s="217">
        <v>5050.662879464369</v>
      </c>
      <c r="F24" s="1009">
        <f>G24/$G$28</f>
        <v>0.14139970733174803</v>
      </c>
      <c r="G24" s="218">
        <v>9850.570453749342</v>
      </c>
      <c r="H24" s="1494">
        <f t="shared" si="1"/>
        <v>97957.07105368843</v>
      </c>
      <c r="I24" s="1494">
        <f>str2!AH14</f>
        <v>26427.43668998216</v>
      </c>
      <c r="J24" s="1495">
        <f t="shared" si="2"/>
        <v>124384.50774367059</v>
      </c>
      <c r="K24" s="1151">
        <v>124385</v>
      </c>
      <c r="L24" s="49"/>
    </row>
    <row r="25" spans="1:12" ht="12.75">
      <c r="A25" s="214">
        <v>71</v>
      </c>
      <c r="B25" s="219" t="s">
        <v>236</v>
      </c>
      <c r="C25" s="216"/>
      <c r="D25" s="772"/>
      <c r="E25" s="217"/>
      <c r="F25" s="217"/>
      <c r="G25" s="1490"/>
      <c r="H25" s="1494">
        <f t="shared" si="1"/>
        <v>0</v>
      </c>
      <c r="I25" s="1494">
        <f>str2!AH15</f>
        <v>19328.38644511643</v>
      </c>
      <c r="J25" s="1495">
        <f t="shared" si="2"/>
        <v>19328.38644511643</v>
      </c>
      <c r="K25" s="1151">
        <v>19328</v>
      </c>
      <c r="L25" s="49"/>
    </row>
    <row r="26" spans="1:12" ht="12.75">
      <c r="A26" s="214">
        <v>85</v>
      </c>
      <c r="B26" s="219" t="s">
        <v>106</v>
      </c>
      <c r="C26" s="216"/>
      <c r="D26" s="772"/>
      <c r="E26" s="217"/>
      <c r="F26" s="217"/>
      <c r="G26" s="1490"/>
      <c r="H26" s="1494">
        <f t="shared" si="1"/>
        <v>0</v>
      </c>
      <c r="I26" s="1494">
        <f>str2!AH16</f>
        <v>2224.07918095104</v>
      </c>
      <c r="J26" s="1495">
        <f t="shared" si="2"/>
        <v>2224.07918095104</v>
      </c>
      <c r="K26" s="1151">
        <v>2224</v>
      </c>
      <c r="L26" s="49"/>
    </row>
    <row r="27" spans="1:12" ht="13.5" thickBot="1">
      <c r="A27" s="166">
        <v>92</v>
      </c>
      <c r="B27" s="220" t="s">
        <v>17</v>
      </c>
      <c r="C27" s="221"/>
      <c r="D27" s="773"/>
      <c r="E27" s="222"/>
      <c r="F27" s="222"/>
      <c r="G27" s="1491"/>
      <c r="H27" s="1496">
        <f t="shared" si="1"/>
        <v>0</v>
      </c>
      <c r="I27" s="1494">
        <f>str2!AH17</f>
        <v>2451.060958272675</v>
      </c>
      <c r="J27" s="1497">
        <f t="shared" si="2"/>
        <v>2451.060958272675</v>
      </c>
      <c r="K27" s="1159">
        <v>2451</v>
      </c>
      <c r="L27" s="49"/>
    </row>
    <row r="28" spans="1:12" ht="13.5" thickBot="1">
      <c r="A28" s="223" t="s">
        <v>70</v>
      </c>
      <c r="B28" s="224"/>
      <c r="C28" s="225">
        <f>SUM(C16:C27)</f>
        <v>1195012.3518146614</v>
      </c>
      <c r="D28" s="226">
        <f aca="true" t="shared" si="3" ref="D28:K28">SUM(D16:D27)</f>
        <v>15499.178497952278</v>
      </c>
      <c r="E28" s="226">
        <f t="shared" si="3"/>
        <v>113118.0736873862</v>
      </c>
      <c r="F28" s="227">
        <f t="shared" si="3"/>
        <v>1.0000000000000002</v>
      </c>
      <c r="G28" s="228">
        <f t="shared" si="3"/>
        <v>69664.71599999999</v>
      </c>
      <c r="H28" s="1498">
        <f t="shared" si="3"/>
        <v>1393294.32</v>
      </c>
      <c r="I28" s="1498">
        <f t="shared" si="3"/>
        <v>439987.68000000005</v>
      </c>
      <c r="J28" s="1499">
        <f>SUM(J16:J27)</f>
        <v>1833281.9999999998</v>
      </c>
      <c r="K28" s="1160">
        <f t="shared" si="3"/>
        <v>1833282</v>
      </c>
      <c r="L28" s="49"/>
    </row>
    <row r="29" spans="1:12" ht="12.75">
      <c r="A29" s="199"/>
      <c r="B29" s="169"/>
      <c r="C29" s="200"/>
      <c r="D29" s="200"/>
      <c r="E29" s="200"/>
      <c r="F29" s="200"/>
      <c r="G29" s="201"/>
      <c r="K29" s="124"/>
      <c r="L29" s="49"/>
    </row>
    <row r="31" ht="12.75">
      <c r="C31" s="284"/>
    </row>
    <row r="43" spans="9:10" ht="12.75">
      <c r="I43" s="1157"/>
      <c r="J43" s="1157"/>
    </row>
    <row r="44" spans="3:10" ht="12.75">
      <c r="C44" s="124"/>
      <c r="D44" s="124"/>
      <c r="E44" s="124"/>
      <c r="F44" s="124"/>
      <c r="G44" s="124"/>
      <c r="I44" s="124"/>
      <c r="J44" s="124"/>
    </row>
    <row r="45" spans="3:10" ht="12.75">
      <c r="C45" s="124"/>
      <c r="D45" s="124"/>
      <c r="E45" s="124"/>
      <c r="F45" s="124"/>
      <c r="G45" s="124"/>
      <c r="I45" s="124"/>
      <c r="J45" s="124"/>
    </row>
    <row r="46" spans="3:10" ht="12.75">
      <c r="C46" s="124"/>
      <c r="D46" s="124"/>
      <c r="E46" s="124"/>
      <c r="F46" s="124"/>
      <c r="G46" s="124"/>
      <c r="I46" s="124"/>
      <c r="J46" s="124"/>
    </row>
    <row r="47" spans="3:10" ht="12.75">
      <c r="C47" s="124"/>
      <c r="D47" s="124"/>
      <c r="E47" s="124"/>
      <c r="F47" s="124"/>
      <c r="G47" s="124"/>
      <c r="I47" s="124"/>
      <c r="J47" s="124"/>
    </row>
    <row r="48" spans="3:10" ht="12.75">
      <c r="C48" s="124"/>
      <c r="D48" s="124"/>
      <c r="E48" s="124"/>
      <c r="F48" s="124"/>
      <c r="G48" s="124"/>
      <c r="I48" s="124"/>
      <c r="J48" s="124"/>
    </row>
    <row r="49" spans="3:10" ht="12.75">
      <c r="C49" s="124"/>
      <c r="D49" s="124"/>
      <c r="E49" s="124"/>
      <c r="F49" s="124"/>
      <c r="G49" s="124"/>
      <c r="I49" s="124"/>
      <c r="J49" s="124"/>
    </row>
    <row r="50" spans="3:10" ht="12.75">
      <c r="C50" s="124"/>
      <c r="D50" s="124"/>
      <c r="E50" s="124"/>
      <c r="F50" s="124"/>
      <c r="G50" s="124"/>
      <c r="I50" s="124"/>
      <c r="J50" s="124"/>
    </row>
    <row r="51" spans="3:10" ht="12.75">
      <c r="C51" s="124"/>
      <c r="D51" s="124"/>
      <c r="E51" s="124"/>
      <c r="F51" s="124"/>
      <c r="G51" s="124"/>
      <c r="I51" s="124"/>
      <c r="J51" s="124"/>
    </row>
    <row r="52" spans="3:10" ht="12.75">
      <c r="C52" s="124"/>
      <c r="D52" s="124"/>
      <c r="E52" s="124"/>
      <c r="F52" s="124"/>
      <c r="G52" s="124"/>
      <c r="I52" s="124"/>
      <c r="J52" s="124"/>
    </row>
    <row r="53" spans="3:10" ht="12.75">
      <c r="C53" s="124"/>
      <c r="D53" s="124"/>
      <c r="E53" s="124"/>
      <c r="F53" s="124"/>
      <c r="G53" s="124"/>
      <c r="I53" s="124"/>
      <c r="J53" s="124"/>
    </row>
    <row r="54" spans="3:10" ht="12.75">
      <c r="C54" s="124"/>
      <c r="D54" s="124"/>
      <c r="E54" s="124"/>
      <c r="F54" s="124"/>
      <c r="G54" s="124"/>
      <c r="I54" s="124"/>
      <c r="J54" s="124"/>
    </row>
    <row r="55" spans="3:10" ht="12.75">
      <c r="C55" s="124"/>
      <c r="D55" s="124"/>
      <c r="E55" s="124"/>
      <c r="F55" s="124"/>
      <c r="G55" s="124"/>
      <c r="I55" s="124"/>
      <c r="J55" s="124"/>
    </row>
  </sheetData>
  <sheetProtection/>
  <mergeCells count="2">
    <mergeCell ref="A2:M2"/>
    <mergeCell ref="A14:B15"/>
  </mergeCells>
  <printOptions/>
  <pageMargins left="0.7086614173228347" right="0.2755905511811024" top="0.6692913385826772" bottom="0.6299212598425197" header="0.5118110236220472" footer="0.31496062992125984"/>
  <pageSetup horizontalDpi="600" verticalDpi="600" orientation="landscape" paperSize="9" scale="85" r:id="rId1"/>
  <headerFooter alignWithMargins="0">
    <oddFooter>&amp;C&amp;9&amp;P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S57"/>
  <sheetViews>
    <sheetView zoomScalePageLayoutView="0" workbookViewId="0" topLeftCell="A1">
      <selection activeCell="E11" sqref="E11"/>
    </sheetView>
  </sheetViews>
  <sheetFormatPr defaultColWidth="8.75390625" defaultRowHeight="12.75"/>
  <cols>
    <col min="1" max="1" width="8.25390625" style="49" customWidth="1"/>
    <col min="2" max="2" width="5.625" style="49" customWidth="1"/>
    <col min="3" max="3" width="6.25390625" style="49" customWidth="1"/>
    <col min="4" max="4" width="6.875" style="49" customWidth="1"/>
    <col min="5" max="5" width="23.00390625" style="49" customWidth="1"/>
    <col min="6" max="6" width="3.75390625" style="645" bestFit="1" customWidth="1"/>
    <col min="7" max="7" width="43.75390625" style="638" customWidth="1"/>
    <col min="8" max="8" width="10.00390625" style="49" customWidth="1"/>
    <col min="9" max="9" width="5.125" style="49" hidden="1" customWidth="1"/>
    <col min="10" max="10" width="7.625" style="64" customWidth="1"/>
    <col min="11" max="14" width="8.00390625" style="64" customWidth="1"/>
    <col min="15" max="15" width="8.125" style="64" customWidth="1"/>
    <col min="16" max="16" width="10.125" style="61" customWidth="1"/>
    <col min="17" max="17" width="3.875" style="49" customWidth="1"/>
    <col min="18" max="16384" width="8.75390625" style="49" customWidth="1"/>
  </cols>
  <sheetData>
    <row r="1" spans="1:16" ht="15.75" customHeight="1">
      <c r="A1" s="1590" t="s">
        <v>530</v>
      </c>
      <c r="B1" s="1566"/>
      <c r="C1" s="1566"/>
      <c r="D1" s="1591"/>
      <c r="E1" s="1047"/>
      <c r="F1" s="560"/>
      <c r="G1" s="561"/>
      <c r="H1" s="562" t="s">
        <v>42</v>
      </c>
      <c r="I1" s="563" t="s">
        <v>43</v>
      </c>
      <c r="J1" s="564" t="s">
        <v>81</v>
      </c>
      <c r="K1" s="1592" t="s">
        <v>109</v>
      </c>
      <c r="L1" s="1593"/>
      <c r="M1" s="1593"/>
      <c r="N1" s="1593"/>
      <c r="O1" s="1594"/>
      <c r="P1" s="565" t="s">
        <v>44</v>
      </c>
    </row>
    <row r="2" spans="1:16" ht="13.5" thickBot="1">
      <c r="A2" s="566" t="s">
        <v>603</v>
      </c>
      <c r="B2" s="567"/>
      <c r="C2" s="567"/>
      <c r="D2" s="1595" t="s">
        <v>604</v>
      </c>
      <c r="E2" s="1596"/>
      <c r="F2" s="568" t="s">
        <v>34</v>
      </c>
      <c r="G2" s="569" t="s">
        <v>36</v>
      </c>
      <c r="H2" s="570">
        <v>2015</v>
      </c>
      <c r="I2" s="571" t="s">
        <v>26</v>
      </c>
      <c r="J2" s="572" t="s">
        <v>110</v>
      </c>
      <c r="K2" s="573" t="s">
        <v>111</v>
      </c>
      <c r="L2" s="574" t="s">
        <v>112</v>
      </c>
      <c r="M2" s="574" t="s">
        <v>113</v>
      </c>
      <c r="N2" s="1053" t="s">
        <v>143</v>
      </c>
      <c r="O2" s="572" t="s">
        <v>114</v>
      </c>
      <c r="P2" s="575">
        <v>2014</v>
      </c>
    </row>
    <row r="3" spans="1:16" ht="13.5" thickBot="1">
      <c r="A3" s="576" t="s">
        <v>605</v>
      </c>
      <c r="B3" s="577"/>
      <c r="C3" s="577"/>
      <c r="D3" s="577"/>
      <c r="E3" s="577"/>
      <c r="F3" s="578">
        <v>1</v>
      </c>
      <c r="G3" s="579"/>
      <c r="H3" s="495">
        <f aca="true" t="shared" si="0" ref="H3:P3">H4+SUM(H18:H27)</f>
        <v>0</v>
      </c>
      <c r="I3" s="580">
        <f t="shared" si="0"/>
        <v>0</v>
      </c>
      <c r="J3" s="581">
        <f t="shared" si="0"/>
        <v>0</v>
      </c>
      <c r="K3" s="582">
        <f t="shared" si="0"/>
        <v>0</v>
      </c>
      <c r="L3" s="582">
        <f t="shared" si="0"/>
        <v>0</v>
      </c>
      <c r="M3" s="582">
        <f t="shared" si="0"/>
        <v>0</v>
      </c>
      <c r="N3" s="582">
        <f t="shared" si="0"/>
        <v>0</v>
      </c>
      <c r="O3" s="581">
        <f t="shared" si="0"/>
        <v>0</v>
      </c>
      <c r="P3" s="583">
        <f t="shared" si="0"/>
        <v>0</v>
      </c>
    </row>
    <row r="4" spans="1:16" s="64" customFormat="1" ht="25.5" customHeight="1">
      <c r="A4" s="1027" t="s">
        <v>45</v>
      </c>
      <c r="B4" s="1028" t="s">
        <v>115</v>
      </c>
      <c r="C4" s="1028"/>
      <c r="D4" s="1028"/>
      <c r="E4" s="1028"/>
      <c r="F4" s="1029">
        <f>F3+1</f>
        <v>2</v>
      </c>
      <c r="G4" s="1030" t="s">
        <v>606</v>
      </c>
      <c r="H4" s="1031">
        <f>SUM(H5:H15)</f>
        <v>0</v>
      </c>
      <c r="I4" s="1032">
        <f aca="true" t="shared" si="1" ref="I4:P4">SUM(I5:I15)</f>
        <v>0</v>
      </c>
      <c r="J4" s="1032">
        <f t="shared" si="1"/>
        <v>0</v>
      </c>
      <c r="K4" s="1033">
        <f t="shared" si="1"/>
        <v>0</v>
      </c>
      <c r="L4" s="1033">
        <f t="shared" si="1"/>
        <v>0</v>
      </c>
      <c r="M4" s="1033">
        <f t="shared" si="1"/>
        <v>0</v>
      </c>
      <c r="N4" s="1033">
        <f t="shared" si="1"/>
        <v>0</v>
      </c>
      <c r="O4" s="1032">
        <f t="shared" si="1"/>
        <v>0</v>
      </c>
      <c r="P4" s="1034">
        <f t="shared" si="1"/>
        <v>0</v>
      </c>
    </row>
    <row r="5" spans="1:16" s="280" customFormat="1" ht="12.75">
      <c r="A5" s="589"/>
      <c r="B5" s="555"/>
      <c r="C5" s="555" t="s">
        <v>46</v>
      </c>
      <c r="D5" s="590" t="s">
        <v>47</v>
      </c>
      <c r="E5" s="590"/>
      <c r="F5" s="591">
        <f aca="true" t="shared" si="2" ref="F5:F27">F4+1</f>
        <v>3</v>
      </c>
      <c r="G5" s="592"/>
      <c r="H5" s="593"/>
      <c r="I5" s="594"/>
      <c r="J5" s="595"/>
      <c r="K5" s="595"/>
      <c r="L5" s="596"/>
      <c r="M5" s="596"/>
      <c r="N5" s="596"/>
      <c r="O5" s="594"/>
      <c r="P5" s="597"/>
    </row>
    <row r="6" spans="1:16" s="280" customFormat="1" ht="12.75">
      <c r="A6" s="589"/>
      <c r="B6" s="555"/>
      <c r="C6" s="555"/>
      <c r="D6" s="590" t="s">
        <v>48</v>
      </c>
      <c r="E6" s="590"/>
      <c r="F6" s="591">
        <f t="shared" si="2"/>
        <v>4</v>
      </c>
      <c r="G6" s="592"/>
      <c r="H6" s="593"/>
      <c r="I6" s="594"/>
      <c r="J6" s="595"/>
      <c r="K6" s="595"/>
      <c r="L6" s="596"/>
      <c r="M6" s="596"/>
      <c r="N6" s="596"/>
      <c r="O6" s="594"/>
      <c r="P6" s="597"/>
    </row>
    <row r="7" spans="1:16" s="280" customFormat="1" ht="12.75">
      <c r="A7" s="589"/>
      <c r="B7" s="555"/>
      <c r="C7" s="555"/>
      <c r="D7" s="590" t="s">
        <v>131</v>
      </c>
      <c r="E7" s="590"/>
      <c r="F7" s="591">
        <f t="shared" si="2"/>
        <v>5</v>
      </c>
      <c r="G7" s="592"/>
      <c r="H7" s="593"/>
      <c r="I7" s="594"/>
      <c r="J7" s="595"/>
      <c r="K7" s="595"/>
      <c r="L7" s="596"/>
      <c r="M7" s="596"/>
      <c r="N7" s="596"/>
      <c r="O7" s="594"/>
      <c r="P7" s="597"/>
    </row>
    <row r="8" spans="1:16" s="280" customFormat="1" ht="12.75">
      <c r="A8" s="589"/>
      <c r="B8" s="555"/>
      <c r="C8" s="555"/>
      <c r="D8" s="590" t="s">
        <v>49</v>
      </c>
      <c r="E8" s="590"/>
      <c r="F8" s="591">
        <f t="shared" si="2"/>
        <v>6</v>
      </c>
      <c r="G8" s="592"/>
      <c r="H8" s="593"/>
      <c r="I8" s="594"/>
      <c r="J8" s="595"/>
      <c r="K8" s="595"/>
      <c r="L8" s="596"/>
      <c r="M8" s="596"/>
      <c r="N8" s="596"/>
      <c r="O8" s="594"/>
      <c r="P8" s="597"/>
    </row>
    <row r="9" spans="1:16" s="280" customFormat="1" ht="12.75">
      <c r="A9" s="589"/>
      <c r="B9" s="555"/>
      <c r="C9" s="555"/>
      <c r="D9" s="590" t="s">
        <v>50</v>
      </c>
      <c r="E9" s="590"/>
      <c r="F9" s="591">
        <f t="shared" si="2"/>
        <v>7</v>
      </c>
      <c r="G9" s="592"/>
      <c r="H9" s="593"/>
      <c r="I9" s="594"/>
      <c r="J9" s="595"/>
      <c r="K9" s="595"/>
      <c r="L9" s="596"/>
      <c r="M9" s="596"/>
      <c r="N9" s="596"/>
      <c r="O9" s="594"/>
      <c r="P9" s="597"/>
    </row>
    <row r="10" spans="1:19" s="280" customFormat="1" ht="12.75">
      <c r="A10" s="589"/>
      <c r="B10" s="555"/>
      <c r="C10" s="555"/>
      <c r="D10" s="590" t="s">
        <v>51</v>
      </c>
      <c r="E10" s="590"/>
      <c r="F10" s="591">
        <f t="shared" si="2"/>
        <v>8</v>
      </c>
      <c r="G10" s="592"/>
      <c r="H10" s="593"/>
      <c r="I10" s="594"/>
      <c r="J10" s="595"/>
      <c r="K10" s="595"/>
      <c r="L10" s="596"/>
      <c r="M10" s="596"/>
      <c r="N10" s="596"/>
      <c r="O10" s="594"/>
      <c r="P10" s="597"/>
      <c r="R10" s="598"/>
      <c r="S10" s="598"/>
    </row>
    <row r="11" spans="1:19" s="280" customFormat="1" ht="12.75">
      <c r="A11" s="589"/>
      <c r="B11" s="555"/>
      <c r="C11" s="555"/>
      <c r="D11" s="590" t="s">
        <v>52</v>
      </c>
      <c r="E11" s="590"/>
      <c r="F11" s="591">
        <f t="shared" si="2"/>
        <v>9</v>
      </c>
      <c r="G11" s="592"/>
      <c r="H11" s="593"/>
      <c r="I11" s="594"/>
      <c r="J11" s="595"/>
      <c r="K11" s="595"/>
      <c r="L11" s="596"/>
      <c r="M11" s="596"/>
      <c r="N11" s="596"/>
      <c r="O11" s="594"/>
      <c r="P11" s="597"/>
      <c r="R11" s="598"/>
      <c r="S11" s="598"/>
    </row>
    <row r="12" spans="1:16" s="280" customFormat="1" ht="12.75">
      <c r="A12" s="589"/>
      <c r="B12" s="555"/>
      <c r="C12" s="555"/>
      <c r="D12" s="590" t="s">
        <v>53</v>
      </c>
      <c r="E12" s="590"/>
      <c r="F12" s="591">
        <f t="shared" si="2"/>
        <v>10</v>
      </c>
      <c r="G12" s="592"/>
      <c r="H12" s="593"/>
      <c r="I12" s="594"/>
      <c r="J12" s="595"/>
      <c r="K12" s="595"/>
      <c r="L12" s="596"/>
      <c r="M12" s="596"/>
      <c r="N12" s="596"/>
      <c r="O12" s="594"/>
      <c r="P12" s="597"/>
    </row>
    <row r="13" spans="1:16" s="280" customFormat="1" ht="12.75">
      <c r="A13" s="589"/>
      <c r="B13" s="555"/>
      <c r="C13" s="555"/>
      <c r="D13" s="590" t="s">
        <v>23</v>
      </c>
      <c r="E13" s="590"/>
      <c r="F13" s="591">
        <f t="shared" si="2"/>
        <v>11</v>
      </c>
      <c r="G13" s="592"/>
      <c r="H13" s="593"/>
      <c r="I13" s="594"/>
      <c r="J13" s="595"/>
      <c r="K13" s="595"/>
      <c r="L13" s="596"/>
      <c r="M13" s="596"/>
      <c r="N13" s="596"/>
      <c r="O13" s="594"/>
      <c r="P13" s="597"/>
    </row>
    <row r="14" spans="1:16" s="280" customFormat="1" ht="12.75">
      <c r="A14" s="589"/>
      <c r="B14" s="555"/>
      <c r="C14" s="555"/>
      <c r="D14" s="590" t="s">
        <v>54</v>
      </c>
      <c r="E14" s="590"/>
      <c r="F14" s="591">
        <f>F13+1</f>
        <v>12</v>
      </c>
      <c r="G14" s="592"/>
      <c r="H14" s="593"/>
      <c r="I14" s="594"/>
      <c r="J14" s="595"/>
      <c r="K14" s="595"/>
      <c r="L14" s="596"/>
      <c r="M14" s="596"/>
      <c r="N14" s="596"/>
      <c r="O14" s="594"/>
      <c r="P14" s="597"/>
    </row>
    <row r="15" spans="1:16" s="280" customFormat="1" ht="12.75">
      <c r="A15" s="589"/>
      <c r="B15" s="555"/>
      <c r="C15" s="590"/>
      <c r="D15" s="590" t="s">
        <v>20</v>
      </c>
      <c r="E15" s="590"/>
      <c r="F15" s="591">
        <f t="shared" si="2"/>
        <v>13</v>
      </c>
      <c r="G15" s="592"/>
      <c r="H15" s="593"/>
      <c r="I15" s="594"/>
      <c r="J15" s="595"/>
      <c r="K15" s="595"/>
      <c r="L15" s="596"/>
      <c r="M15" s="596"/>
      <c r="N15" s="596"/>
      <c r="O15" s="594"/>
      <c r="P15" s="597"/>
    </row>
    <row r="16" spans="1:16" s="309" customFormat="1" ht="12" hidden="1">
      <c r="A16" s="599"/>
      <c r="B16" s="600"/>
      <c r="C16" s="601"/>
      <c r="D16" s="601"/>
      <c r="E16" s="601" t="s">
        <v>161</v>
      </c>
      <c r="F16" s="591" t="s">
        <v>607</v>
      </c>
      <c r="G16" s="602"/>
      <c r="H16" s="603"/>
      <c r="I16" s="604"/>
      <c r="J16" s="605"/>
      <c r="K16" s="605"/>
      <c r="L16" s="606"/>
      <c r="M16" s="606"/>
      <c r="N16" s="606"/>
      <c r="O16" s="604"/>
      <c r="P16" s="597"/>
    </row>
    <row r="17" spans="1:16" s="309" customFormat="1" ht="12" hidden="1">
      <c r="A17" s="599"/>
      <c r="B17" s="600"/>
      <c r="C17" s="1054"/>
      <c r="D17" s="1054"/>
      <c r="E17" s="1054" t="s">
        <v>177</v>
      </c>
      <c r="F17" s="1055" t="s">
        <v>608</v>
      </c>
      <c r="G17" s="1056"/>
      <c r="H17" s="1057"/>
      <c r="I17" s="1058"/>
      <c r="J17" s="1059"/>
      <c r="K17" s="1059"/>
      <c r="L17" s="1060"/>
      <c r="M17" s="1060"/>
      <c r="N17" s="1060"/>
      <c r="O17" s="1058"/>
      <c r="P17" s="1061"/>
    </row>
    <row r="18" spans="1:16" s="64" customFormat="1" ht="12.75">
      <c r="A18" s="584"/>
      <c r="B18" s="1062" t="s">
        <v>55</v>
      </c>
      <c r="C18" s="1062"/>
      <c r="D18" s="1062"/>
      <c r="E18" s="1062"/>
      <c r="F18" s="1063">
        <f>F15+1</f>
        <v>14</v>
      </c>
      <c r="G18" s="1064" t="s">
        <v>56</v>
      </c>
      <c r="H18" s="1065"/>
      <c r="I18" s="1066"/>
      <c r="J18" s="1067"/>
      <c r="K18" s="1067"/>
      <c r="L18" s="1068"/>
      <c r="M18" s="1068"/>
      <c r="N18" s="1068"/>
      <c r="O18" s="1066"/>
      <c r="P18" s="1069"/>
    </row>
    <row r="19" spans="1:16" s="64" customFormat="1" ht="12.75">
      <c r="A19" s="584"/>
      <c r="B19" s="107" t="s">
        <v>57</v>
      </c>
      <c r="C19" s="99"/>
      <c r="D19" s="99"/>
      <c r="E19" s="99"/>
      <c r="F19" s="591">
        <f t="shared" si="2"/>
        <v>15</v>
      </c>
      <c r="G19" s="608" t="s">
        <v>58</v>
      </c>
      <c r="H19" s="609"/>
      <c r="I19" s="610"/>
      <c r="J19" s="611"/>
      <c r="K19" s="611"/>
      <c r="L19" s="612"/>
      <c r="M19" s="612"/>
      <c r="N19" s="612"/>
      <c r="O19" s="610"/>
      <c r="P19" s="613"/>
    </row>
    <row r="20" spans="1:16" s="64" customFormat="1" ht="12.75">
      <c r="A20" s="584"/>
      <c r="B20" s="614" t="s">
        <v>59</v>
      </c>
      <c r="C20" s="615"/>
      <c r="D20" s="615"/>
      <c r="E20" s="615"/>
      <c r="F20" s="591">
        <f t="shared" si="2"/>
        <v>16</v>
      </c>
      <c r="G20" s="616" t="s">
        <v>531</v>
      </c>
      <c r="H20" s="609"/>
      <c r="I20" s="610"/>
      <c r="J20" s="611"/>
      <c r="K20" s="611"/>
      <c r="L20" s="612"/>
      <c r="M20" s="612"/>
      <c r="N20" s="612"/>
      <c r="O20" s="610"/>
      <c r="P20" s="613"/>
    </row>
    <row r="21" spans="1:16" s="64" customFormat="1" ht="12.75">
      <c r="A21" s="584"/>
      <c r="B21" s="614" t="s">
        <v>60</v>
      </c>
      <c r="C21" s="614"/>
      <c r="D21" s="614"/>
      <c r="E21" s="615"/>
      <c r="F21" s="591">
        <f t="shared" si="2"/>
        <v>17</v>
      </c>
      <c r="G21" s="617" t="s">
        <v>116</v>
      </c>
      <c r="H21" s="609"/>
      <c r="I21" s="610"/>
      <c r="J21" s="611"/>
      <c r="K21" s="611"/>
      <c r="L21" s="612"/>
      <c r="M21" s="612"/>
      <c r="N21" s="612"/>
      <c r="O21" s="610"/>
      <c r="P21" s="613"/>
    </row>
    <row r="22" spans="1:16" s="64" customFormat="1" ht="12.75">
      <c r="A22" s="584"/>
      <c r="B22" s="614" t="s">
        <v>609</v>
      </c>
      <c r="C22" s="614"/>
      <c r="D22" s="614"/>
      <c r="E22" s="615"/>
      <c r="F22" s="591">
        <f t="shared" si="2"/>
        <v>18</v>
      </c>
      <c r="G22" s="617" t="s">
        <v>117</v>
      </c>
      <c r="H22" s="609"/>
      <c r="I22" s="610"/>
      <c r="J22" s="611"/>
      <c r="K22" s="611"/>
      <c r="L22" s="612"/>
      <c r="M22" s="612"/>
      <c r="N22" s="612"/>
      <c r="O22" s="610"/>
      <c r="P22" s="613"/>
    </row>
    <row r="23" spans="1:16" s="64" customFormat="1" ht="12.75">
      <c r="A23" s="584"/>
      <c r="B23" s="614" t="s">
        <v>129</v>
      </c>
      <c r="C23" s="614"/>
      <c r="D23" s="614"/>
      <c r="E23" s="615"/>
      <c r="F23" s="591">
        <f>F22+1</f>
        <v>19</v>
      </c>
      <c r="G23" s="617" t="s">
        <v>61</v>
      </c>
      <c r="H23" s="609"/>
      <c r="I23" s="610"/>
      <c r="J23" s="610"/>
      <c r="K23" s="612"/>
      <c r="L23" s="612"/>
      <c r="M23" s="612"/>
      <c r="N23" s="612"/>
      <c r="O23" s="610"/>
      <c r="P23" s="613"/>
    </row>
    <row r="24" spans="1:16" s="64" customFormat="1" ht="12.75">
      <c r="A24" s="584"/>
      <c r="B24" s="614" t="s">
        <v>62</v>
      </c>
      <c r="C24" s="614"/>
      <c r="D24" s="614"/>
      <c r="E24" s="615"/>
      <c r="F24" s="591">
        <f t="shared" si="2"/>
        <v>20</v>
      </c>
      <c r="G24" s="1035" t="s">
        <v>610</v>
      </c>
      <c r="H24" s="609"/>
      <c r="I24" s="610"/>
      <c r="J24" s="610"/>
      <c r="K24" s="612"/>
      <c r="L24" s="612"/>
      <c r="M24" s="612"/>
      <c r="N24" s="612"/>
      <c r="O24" s="610"/>
      <c r="P24" s="613"/>
    </row>
    <row r="25" spans="1:16" s="64" customFormat="1" ht="12.75">
      <c r="A25" s="584"/>
      <c r="B25" s="614" t="s">
        <v>189</v>
      </c>
      <c r="C25" s="614"/>
      <c r="D25" s="614"/>
      <c r="E25" s="615"/>
      <c r="F25" s="591">
        <f t="shared" si="2"/>
        <v>21</v>
      </c>
      <c r="G25" s="617" t="s">
        <v>532</v>
      </c>
      <c r="H25" s="609"/>
      <c r="I25" s="610"/>
      <c r="J25" s="610"/>
      <c r="K25" s="612"/>
      <c r="L25" s="612"/>
      <c r="M25" s="612"/>
      <c r="N25" s="612"/>
      <c r="O25" s="610"/>
      <c r="P25" s="613"/>
    </row>
    <row r="26" spans="1:16" s="64" customFormat="1" ht="12.75">
      <c r="A26" s="584"/>
      <c r="B26" s="614" t="s">
        <v>130</v>
      </c>
      <c r="C26" s="614"/>
      <c r="D26" s="614"/>
      <c r="E26" s="615"/>
      <c r="F26" s="591">
        <f t="shared" si="2"/>
        <v>22</v>
      </c>
      <c r="G26" s="617" t="s">
        <v>119</v>
      </c>
      <c r="H26" s="609"/>
      <c r="I26" s="610"/>
      <c r="J26" s="610"/>
      <c r="K26" s="612"/>
      <c r="L26" s="612"/>
      <c r="M26" s="612"/>
      <c r="N26" s="612"/>
      <c r="O26" s="610"/>
      <c r="P26" s="613"/>
    </row>
    <row r="27" spans="1:16" s="64" customFormat="1" ht="13.5" thickBot="1">
      <c r="A27" s="584"/>
      <c r="B27" s="107" t="s">
        <v>63</v>
      </c>
      <c r="C27" s="107"/>
      <c r="D27" s="107"/>
      <c r="E27" s="99"/>
      <c r="F27" s="591">
        <f t="shared" si="2"/>
        <v>23</v>
      </c>
      <c r="G27" s="618" t="s">
        <v>64</v>
      </c>
      <c r="H27" s="609"/>
      <c r="I27" s="610"/>
      <c r="J27" s="610"/>
      <c r="K27" s="612"/>
      <c r="L27" s="612"/>
      <c r="M27" s="612"/>
      <c r="N27" s="612"/>
      <c r="O27" s="610"/>
      <c r="P27" s="613"/>
    </row>
    <row r="28" spans="1:16" ht="13.5" thickBot="1">
      <c r="A28" s="619" t="s">
        <v>611</v>
      </c>
      <c r="B28" s="620"/>
      <c r="C28" s="620"/>
      <c r="D28" s="620"/>
      <c r="E28" s="620"/>
      <c r="F28" s="578">
        <f>F27+1</f>
        <v>24</v>
      </c>
      <c r="G28" s="621"/>
      <c r="H28" s="495">
        <f>SUM(H29:H43)</f>
        <v>0</v>
      </c>
      <c r="I28" s="580">
        <f aca="true" t="shared" si="3" ref="I28:P28">SUM(I29:I43)</f>
        <v>0</v>
      </c>
      <c r="J28" s="581">
        <f t="shared" si="3"/>
        <v>0</v>
      </c>
      <c r="K28" s="582">
        <f t="shared" si="3"/>
        <v>0</v>
      </c>
      <c r="L28" s="582">
        <f t="shared" si="3"/>
        <v>0</v>
      </c>
      <c r="M28" s="582">
        <f t="shared" si="3"/>
        <v>0</v>
      </c>
      <c r="N28" s="582">
        <f t="shared" si="3"/>
        <v>0</v>
      </c>
      <c r="O28" s="581">
        <f t="shared" si="3"/>
        <v>0</v>
      </c>
      <c r="P28" s="583">
        <f t="shared" si="3"/>
        <v>0</v>
      </c>
    </row>
    <row r="29" spans="1:16" s="64" customFormat="1" ht="12.75">
      <c r="A29" s="584" t="s">
        <v>45</v>
      </c>
      <c r="B29" s="99" t="s">
        <v>120</v>
      </c>
      <c r="C29" s="99"/>
      <c r="D29" s="99"/>
      <c r="E29" s="99"/>
      <c r="F29" s="607">
        <f>F28+1</f>
        <v>25</v>
      </c>
      <c r="G29" s="608" t="s">
        <v>65</v>
      </c>
      <c r="H29" s="585"/>
      <c r="I29" s="586"/>
      <c r="J29" s="586"/>
      <c r="K29" s="587"/>
      <c r="L29" s="587"/>
      <c r="M29" s="587"/>
      <c r="N29" s="587"/>
      <c r="O29" s="586"/>
      <c r="P29" s="588"/>
    </row>
    <row r="30" spans="1:16" s="64" customFormat="1" ht="12.75">
      <c r="A30" s="584"/>
      <c r="B30" s="107" t="s">
        <v>55</v>
      </c>
      <c r="C30" s="107"/>
      <c r="D30" s="107"/>
      <c r="E30" s="99"/>
      <c r="F30" s="607">
        <f>F29+1</f>
        <v>26</v>
      </c>
      <c r="G30" s="618" t="s">
        <v>56</v>
      </c>
      <c r="H30" s="609"/>
      <c r="I30" s="622"/>
      <c r="J30" s="622"/>
      <c r="K30" s="623"/>
      <c r="L30" s="623"/>
      <c r="M30" s="623"/>
      <c r="N30" s="623"/>
      <c r="O30" s="622"/>
      <c r="P30" s="550"/>
    </row>
    <row r="31" spans="1:16" s="64" customFormat="1" ht="12.75">
      <c r="A31" s="584"/>
      <c r="B31" s="107" t="s">
        <v>57</v>
      </c>
      <c r="C31" s="107"/>
      <c r="D31" s="107"/>
      <c r="E31" s="99"/>
      <c r="F31" s="607">
        <f aca="true" t="shared" si="4" ref="F31:F42">F30+1</f>
        <v>27</v>
      </c>
      <c r="G31" s="618" t="s">
        <v>58</v>
      </c>
      <c r="H31" s="609"/>
      <c r="I31" s="622"/>
      <c r="J31" s="622"/>
      <c r="K31" s="623"/>
      <c r="L31" s="623"/>
      <c r="M31" s="623"/>
      <c r="N31" s="623"/>
      <c r="O31" s="622"/>
      <c r="P31" s="550"/>
    </row>
    <row r="32" spans="1:16" s="64" customFormat="1" ht="12.75">
      <c r="A32" s="584"/>
      <c r="B32" s="614" t="s">
        <v>59</v>
      </c>
      <c r="C32" s="615"/>
      <c r="D32" s="615"/>
      <c r="E32" s="615"/>
      <c r="F32" s="607">
        <f t="shared" si="4"/>
        <v>28</v>
      </c>
      <c r="G32" s="616" t="s">
        <v>533</v>
      </c>
      <c r="H32" s="609"/>
      <c r="I32" s="622"/>
      <c r="J32" s="622"/>
      <c r="K32" s="623"/>
      <c r="L32" s="623"/>
      <c r="M32" s="623"/>
      <c r="N32" s="623"/>
      <c r="O32" s="622"/>
      <c r="P32" s="550"/>
    </row>
    <row r="33" spans="1:16" s="64" customFormat="1" ht="12.75">
      <c r="A33" s="584"/>
      <c r="B33" s="614" t="s">
        <v>121</v>
      </c>
      <c r="C33" s="614"/>
      <c r="D33" s="614"/>
      <c r="E33" s="615"/>
      <c r="F33" s="607">
        <f t="shared" si="4"/>
        <v>29</v>
      </c>
      <c r="G33" s="617" t="s">
        <v>534</v>
      </c>
      <c r="H33" s="609"/>
      <c r="I33" s="622"/>
      <c r="J33" s="622"/>
      <c r="K33" s="623"/>
      <c r="L33" s="623"/>
      <c r="M33" s="623"/>
      <c r="N33" s="623"/>
      <c r="O33" s="622"/>
      <c r="P33" s="550"/>
    </row>
    <row r="34" spans="1:16" s="64" customFormat="1" ht="12.75">
      <c r="A34" s="584"/>
      <c r="B34" s="614" t="s">
        <v>60</v>
      </c>
      <c r="C34" s="614"/>
      <c r="D34" s="614"/>
      <c r="E34" s="615"/>
      <c r="F34" s="607">
        <f t="shared" si="4"/>
        <v>30</v>
      </c>
      <c r="G34" s="617" t="s">
        <v>116</v>
      </c>
      <c r="H34" s="609"/>
      <c r="I34" s="622"/>
      <c r="J34" s="622"/>
      <c r="K34" s="623"/>
      <c r="L34" s="623"/>
      <c r="M34" s="623"/>
      <c r="N34" s="623"/>
      <c r="O34" s="622"/>
      <c r="P34" s="550"/>
    </row>
    <row r="35" spans="1:16" s="64" customFormat="1" ht="12.75">
      <c r="A35" s="584"/>
      <c r="B35" s="614" t="s">
        <v>609</v>
      </c>
      <c r="C35" s="614"/>
      <c r="D35" s="614"/>
      <c r="E35" s="615"/>
      <c r="F35" s="607">
        <f t="shared" si="4"/>
        <v>31</v>
      </c>
      <c r="G35" s="617" t="s">
        <v>117</v>
      </c>
      <c r="H35" s="609"/>
      <c r="I35" s="622"/>
      <c r="J35" s="622"/>
      <c r="K35" s="623"/>
      <c r="L35" s="623"/>
      <c r="M35" s="623"/>
      <c r="N35" s="623"/>
      <c r="O35" s="622"/>
      <c r="P35" s="550"/>
    </row>
    <row r="36" spans="1:16" s="64" customFormat="1" ht="12.75">
      <c r="A36" s="584"/>
      <c r="B36" s="614" t="s">
        <v>122</v>
      </c>
      <c r="C36" s="614"/>
      <c r="D36" s="614"/>
      <c r="E36" s="615"/>
      <c r="F36" s="607">
        <f t="shared" si="4"/>
        <v>32</v>
      </c>
      <c r="G36" s="617" t="s">
        <v>61</v>
      </c>
      <c r="H36" s="609"/>
      <c r="I36" s="622"/>
      <c r="J36" s="622"/>
      <c r="K36" s="623"/>
      <c r="L36" s="623"/>
      <c r="M36" s="623"/>
      <c r="N36" s="623"/>
      <c r="O36" s="622"/>
      <c r="P36" s="550"/>
    </row>
    <row r="37" spans="1:16" s="64" customFormat="1" ht="12.75">
      <c r="A37" s="584"/>
      <c r="B37" s="614" t="s">
        <v>160</v>
      </c>
      <c r="C37" s="614"/>
      <c r="D37" s="614"/>
      <c r="E37" s="615"/>
      <c r="F37" s="607">
        <f t="shared" si="4"/>
        <v>33</v>
      </c>
      <c r="G37" s="617">
        <v>2112</v>
      </c>
      <c r="H37" s="609"/>
      <c r="I37" s="622"/>
      <c r="J37" s="622"/>
      <c r="K37" s="623"/>
      <c r="L37" s="623"/>
      <c r="M37" s="623"/>
      <c r="N37" s="623"/>
      <c r="O37" s="622"/>
      <c r="P37" s="550"/>
    </row>
    <row r="38" spans="1:16" s="64" customFormat="1" ht="12.75">
      <c r="A38" s="584"/>
      <c r="B38" s="614" t="s">
        <v>123</v>
      </c>
      <c r="C38" s="614"/>
      <c r="D38" s="614"/>
      <c r="E38" s="615"/>
      <c r="F38" s="607">
        <f t="shared" si="4"/>
        <v>34</v>
      </c>
      <c r="G38" s="617" t="s">
        <v>612</v>
      </c>
      <c r="H38" s="609"/>
      <c r="I38" s="622"/>
      <c r="J38" s="622"/>
      <c r="K38" s="623"/>
      <c r="L38" s="623"/>
      <c r="M38" s="623"/>
      <c r="N38" s="623"/>
      <c r="O38" s="622"/>
      <c r="P38" s="550"/>
    </row>
    <row r="39" spans="1:16" s="64" customFormat="1" ht="12.75">
      <c r="A39" s="584"/>
      <c r="B39" s="614" t="s">
        <v>189</v>
      </c>
      <c r="C39" s="614"/>
      <c r="D39" s="614"/>
      <c r="E39" s="615"/>
      <c r="F39" s="607">
        <f t="shared" si="4"/>
        <v>35</v>
      </c>
      <c r="G39" s="617" t="s">
        <v>532</v>
      </c>
      <c r="H39" s="609"/>
      <c r="I39" s="622"/>
      <c r="J39" s="622"/>
      <c r="K39" s="623"/>
      <c r="L39" s="623"/>
      <c r="M39" s="623"/>
      <c r="N39" s="623"/>
      <c r="O39" s="622"/>
      <c r="P39" s="550"/>
    </row>
    <row r="40" spans="1:16" s="64" customFormat="1" ht="12.75">
      <c r="A40" s="584"/>
      <c r="B40" s="614" t="s">
        <v>118</v>
      </c>
      <c r="C40" s="614"/>
      <c r="D40" s="614"/>
      <c r="E40" s="615"/>
      <c r="F40" s="607">
        <f t="shared" si="4"/>
        <v>36</v>
      </c>
      <c r="G40" s="617" t="s">
        <v>119</v>
      </c>
      <c r="H40" s="609"/>
      <c r="I40" s="622"/>
      <c r="J40" s="622"/>
      <c r="K40" s="623"/>
      <c r="L40" s="623"/>
      <c r="M40" s="623"/>
      <c r="N40" s="623"/>
      <c r="O40" s="622"/>
      <c r="P40" s="550"/>
    </row>
    <row r="41" spans="1:16" s="64" customFormat="1" ht="12.75">
      <c r="A41" s="584"/>
      <c r="B41" s="614" t="s">
        <v>124</v>
      </c>
      <c r="C41" s="614"/>
      <c r="D41" s="614"/>
      <c r="E41" s="615"/>
      <c r="F41" s="607">
        <f t="shared" si="4"/>
        <v>37</v>
      </c>
      <c r="G41" s="617" t="s">
        <v>190</v>
      </c>
      <c r="H41" s="609"/>
      <c r="I41" s="622"/>
      <c r="J41" s="622"/>
      <c r="K41" s="623"/>
      <c r="L41" s="623"/>
      <c r="M41" s="623"/>
      <c r="N41" s="623"/>
      <c r="O41" s="622"/>
      <c r="P41" s="550"/>
    </row>
    <row r="42" spans="1:16" s="64" customFormat="1" ht="12.75">
      <c r="A42" s="584"/>
      <c r="B42" s="614" t="s">
        <v>66</v>
      </c>
      <c r="C42" s="614"/>
      <c r="D42" s="614"/>
      <c r="E42" s="615"/>
      <c r="F42" s="607">
        <f t="shared" si="4"/>
        <v>38</v>
      </c>
      <c r="G42" s="617" t="s">
        <v>164</v>
      </c>
      <c r="H42" s="609"/>
      <c r="I42" s="622"/>
      <c r="J42" s="622"/>
      <c r="K42" s="623"/>
      <c r="L42" s="623"/>
      <c r="M42" s="623"/>
      <c r="N42" s="623"/>
      <c r="O42" s="622"/>
      <c r="P42" s="550"/>
    </row>
    <row r="43" spans="1:16" s="64" customFormat="1" ht="12.75">
      <c r="A43" s="624"/>
      <c r="B43" s="625" t="s">
        <v>63</v>
      </c>
      <c r="C43" s="625"/>
      <c r="D43" s="625"/>
      <c r="E43" s="625"/>
      <c r="F43" s="626">
        <f>F42+1</f>
        <v>39</v>
      </c>
      <c r="G43" s="627" t="s">
        <v>64</v>
      </c>
      <c r="H43" s="1070"/>
      <c r="I43" s="628"/>
      <c r="J43" s="628"/>
      <c r="K43" s="629"/>
      <c r="L43" s="629"/>
      <c r="M43" s="629"/>
      <c r="N43" s="629"/>
      <c r="O43" s="628"/>
      <c r="P43" s="630"/>
    </row>
    <row r="44" spans="1:16" s="64" customFormat="1" ht="13.5" thickBot="1">
      <c r="A44" s="631" t="s">
        <v>613</v>
      </c>
      <c r="B44" s="632"/>
      <c r="C44" s="632"/>
      <c r="D44" s="632"/>
      <c r="E44" s="113"/>
      <c r="F44" s="607">
        <f>F43+1</f>
        <v>40</v>
      </c>
      <c r="G44" s="633"/>
      <c r="H44" s="634">
        <f>H29+H33+H37+H41+H42+H43-H4-H27</f>
        <v>0</v>
      </c>
      <c r="I44" s="635"/>
      <c r="J44" s="635"/>
      <c r="K44" s="636"/>
      <c r="L44" s="636"/>
      <c r="M44" s="636"/>
      <c r="N44" s="636"/>
      <c r="O44" s="635"/>
      <c r="P44" s="637">
        <f>P29+P33+P37+P41+P42+P43-P4-P27</f>
        <v>0</v>
      </c>
    </row>
    <row r="45" spans="1:16" ht="13.5" thickBot="1">
      <c r="A45" s="619" t="s">
        <v>614</v>
      </c>
      <c r="B45" s="620"/>
      <c r="C45" s="620"/>
      <c r="D45" s="620"/>
      <c r="E45" s="620"/>
      <c r="F45" s="578">
        <f>F44+1</f>
        <v>41</v>
      </c>
      <c r="G45" s="621"/>
      <c r="H45" s="495">
        <f aca="true" t="shared" si="5" ref="H45:P45">H28-H3</f>
        <v>0</v>
      </c>
      <c r="I45" s="580">
        <f t="shared" si="5"/>
        <v>0</v>
      </c>
      <c r="J45" s="581">
        <f t="shared" si="5"/>
        <v>0</v>
      </c>
      <c r="K45" s="582">
        <f t="shared" si="5"/>
        <v>0</v>
      </c>
      <c r="L45" s="582">
        <f t="shared" si="5"/>
        <v>0</v>
      </c>
      <c r="M45" s="582">
        <f t="shared" si="5"/>
        <v>0</v>
      </c>
      <c r="N45" s="582">
        <f t="shared" si="5"/>
        <v>0</v>
      </c>
      <c r="O45" s="581">
        <f t="shared" si="5"/>
        <v>0</v>
      </c>
      <c r="P45" s="583">
        <f t="shared" si="5"/>
        <v>0</v>
      </c>
    </row>
    <row r="46" spans="1:7" ht="12.75">
      <c r="A46" s="61" t="s">
        <v>75</v>
      </c>
      <c r="B46" s="61"/>
      <c r="C46" s="61"/>
      <c r="D46" s="61"/>
      <c r="E46" s="61"/>
      <c r="F46" s="188"/>
      <c r="G46" s="638" t="s">
        <v>76</v>
      </c>
    </row>
    <row r="47" spans="6:15" s="61" customFormat="1" ht="12.75">
      <c r="F47" s="188"/>
      <c r="G47" s="638"/>
      <c r="H47" s="49"/>
      <c r="J47" s="64"/>
      <c r="K47" s="64"/>
      <c r="L47" s="64"/>
      <c r="M47" s="64"/>
      <c r="N47" s="64"/>
      <c r="O47" s="64"/>
    </row>
    <row r="48" spans="1:15" s="61" customFormat="1" ht="12.75">
      <c r="A48" s="506" t="s">
        <v>125</v>
      </c>
      <c r="F48" s="188"/>
      <c r="G48" s="638"/>
      <c r="H48" s="49"/>
      <c r="J48" s="64"/>
      <c r="K48" s="64"/>
      <c r="L48" s="64"/>
      <c r="M48" s="64"/>
      <c r="N48" s="64"/>
      <c r="O48" s="64"/>
    </row>
    <row r="49" spans="1:15" s="61" customFormat="1" ht="12.75">
      <c r="A49" s="506" t="s">
        <v>195</v>
      </c>
      <c r="F49" s="188"/>
      <c r="G49" s="638"/>
      <c r="H49" s="49"/>
      <c r="J49" s="64"/>
      <c r="K49" s="64"/>
      <c r="L49" s="64"/>
      <c r="M49" s="64"/>
      <c r="N49" s="64"/>
      <c r="O49" s="64"/>
    </row>
    <row r="50" spans="1:15" s="61" customFormat="1" ht="12.75">
      <c r="A50" s="506" t="s">
        <v>126</v>
      </c>
      <c r="F50" s="188"/>
      <c r="G50" s="638"/>
      <c r="H50" s="639"/>
      <c r="J50" s="64"/>
      <c r="K50" s="64"/>
      <c r="L50" s="64"/>
      <c r="M50" s="64"/>
      <c r="N50" s="64"/>
      <c r="O50" s="64"/>
    </row>
    <row r="51" spans="1:15" s="506" customFormat="1" ht="12.75">
      <c r="A51" s="640" t="s">
        <v>615</v>
      </c>
      <c r="F51" s="641"/>
      <c r="G51" s="642"/>
      <c r="H51" s="643"/>
      <c r="J51" s="644"/>
      <c r="K51" s="644"/>
      <c r="L51" s="644"/>
      <c r="M51" s="644"/>
      <c r="N51" s="644"/>
      <c r="O51" s="644"/>
    </row>
    <row r="52" spans="1:15" s="506" customFormat="1" ht="12.75">
      <c r="A52" s="506" t="s">
        <v>616</v>
      </c>
      <c r="F52" s="641"/>
      <c r="G52" s="642"/>
      <c r="H52" s="643"/>
      <c r="J52" s="644"/>
      <c r="K52" s="644"/>
      <c r="L52" s="644"/>
      <c r="M52" s="644"/>
      <c r="N52" s="644"/>
      <c r="O52" s="644"/>
    </row>
    <row r="53" spans="1:15" s="506" customFormat="1" ht="12.75">
      <c r="A53" s="506" t="s">
        <v>617</v>
      </c>
      <c r="F53" s="641"/>
      <c r="G53" s="642"/>
      <c r="H53" s="643"/>
      <c r="J53" s="644"/>
      <c r="K53" s="644"/>
      <c r="L53" s="644"/>
      <c r="M53" s="644"/>
      <c r="N53" s="644"/>
      <c r="O53" s="644"/>
    </row>
    <row r="54" spans="1:15" s="61" customFormat="1" ht="12.75">
      <c r="A54" s="506"/>
      <c r="B54" s="506"/>
      <c r="C54" s="506"/>
      <c r="D54" s="506"/>
      <c r="E54" s="506"/>
      <c r="F54" s="188"/>
      <c r="G54" s="638"/>
      <c r="H54" s="49"/>
      <c r="J54" s="64"/>
      <c r="K54" s="64"/>
      <c r="L54" s="64"/>
      <c r="M54" s="64"/>
      <c r="N54" s="64"/>
      <c r="O54" s="64"/>
    </row>
    <row r="55" spans="1:15" s="61" customFormat="1" ht="12.75">
      <c r="A55" s="506"/>
      <c r="B55" s="506"/>
      <c r="C55" s="506"/>
      <c r="D55" s="506"/>
      <c r="E55" s="506"/>
      <c r="F55" s="188"/>
      <c r="G55" s="638"/>
      <c r="H55" s="49"/>
      <c r="J55" s="64"/>
      <c r="K55" s="64"/>
      <c r="L55" s="64"/>
      <c r="M55" s="64"/>
      <c r="N55" s="64"/>
      <c r="O55" s="64"/>
    </row>
    <row r="56" spans="1:15" s="61" customFormat="1" ht="12.75">
      <c r="A56" s="506"/>
      <c r="B56" s="506"/>
      <c r="C56" s="506"/>
      <c r="D56" s="506"/>
      <c r="E56" s="506"/>
      <c r="F56" s="188"/>
      <c r="G56" s="638"/>
      <c r="H56" s="49"/>
      <c r="J56" s="64"/>
      <c r="K56" s="64"/>
      <c r="L56" s="64"/>
      <c r="M56" s="64"/>
      <c r="N56" s="64"/>
      <c r="O56" s="64"/>
    </row>
    <row r="57" spans="1:15" s="61" customFormat="1" ht="12.75">
      <c r="A57" s="506"/>
      <c r="B57" s="506"/>
      <c r="C57" s="506"/>
      <c r="D57" s="506"/>
      <c r="E57" s="506"/>
      <c r="F57" s="188"/>
      <c r="G57" s="638"/>
      <c r="H57" s="49"/>
      <c r="J57" s="64"/>
      <c r="K57" s="64"/>
      <c r="L57" s="64"/>
      <c r="M57" s="64"/>
      <c r="N57" s="64"/>
      <c r="O57" s="64"/>
    </row>
  </sheetData>
  <sheetProtection/>
  <mergeCells count="3">
    <mergeCell ref="A1:D1"/>
    <mergeCell ref="K1:O1"/>
    <mergeCell ref="D2:E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3" r:id="rId1"/>
  <headerFooter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42"/>
  <sheetViews>
    <sheetView showGridLines="0" zoomScalePageLayoutView="0" workbookViewId="0" topLeftCell="A1">
      <selection activeCell="E13" sqref="E13"/>
    </sheetView>
  </sheetViews>
  <sheetFormatPr defaultColWidth="9.00390625" defaultRowHeight="12.75"/>
  <cols>
    <col min="1" max="1" width="4.375" style="0" customWidth="1"/>
    <col min="3" max="3" width="18.375" style="0" customWidth="1"/>
    <col min="4" max="4" width="11.75390625" style="0" customWidth="1"/>
    <col min="5" max="5" width="12.875" style="0" customWidth="1"/>
  </cols>
  <sheetData>
    <row r="1" ht="13.5" thickBot="1">
      <c r="A1" s="808" t="s">
        <v>664</v>
      </c>
    </row>
    <row r="2" spans="1:5" ht="13.5" thickBot="1">
      <c r="A2" s="808"/>
      <c r="B2" s="808"/>
      <c r="C2" s="808"/>
      <c r="E2" s="1116">
        <v>57577</v>
      </c>
    </row>
    <row r="3" ht="13.5" thickBot="1"/>
    <row r="4" spans="1:5" ht="12.75">
      <c r="A4" s="126"/>
      <c r="B4" s="458" t="s">
        <v>37</v>
      </c>
      <c r="C4" s="312"/>
      <c r="D4" s="312"/>
      <c r="E4" s="843"/>
    </row>
    <row r="5" spans="1:5" ht="13.5" thickBot="1">
      <c r="A5" s="461" t="s">
        <v>34</v>
      </c>
      <c r="B5" s="462" t="s">
        <v>38</v>
      </c>
      <c r="C5" s="463"/>
      <c r="D5" s="463"/>
      <c r="E5" s="844" t="s">
        <v>431</v>
      </c>
    </row>
    <row r="6" spans="1:5" ht="25.5">
      <c r="A6" s="1083"/>
      <c r="B6" s="312"/>
      <c r="C6" s="847"/>
      <c r="D6" s="1099" t="s">
        <v>665</v>
      </c>
      <c r="E6" s="843" t="s">
        <v>444</v>
      </c>
    </row>
    <row r="7" spans="1:5" ht="12.75">
      <c r="A7" s="333">
        <v>1</v>
      </c>
      <c r="B7" s="1100">
        <v>11</v>
      </c>
      <c r="C7" s="334" t="s">
        <v>7</v>
      </c>
      <c r="D7" s="1101">
        <v>0</v>
      </c>
      <c r="E7" s="851">
        <v>9212</v>
      </c>
    </row>
    <row r="8" spans="1:5" ht="12.75">
      <c r="A8" s="314">
        <v>2</v>
      </c>
      <c r="B8" s="1102">
        <v>21</v>
      </c>
      <c r="C8" s="55" t="s">
        <v>8</v>
      </c>
      <c r="D8" s="1103">
        <v>0.1599940816853405</v>
      </c>
      <c r="E8" s="845">
        <v>8631</v>
      </c>
    </row>
    <row r="9" spans="1:5" ht="12.75">
      <c r="A9" s="51">
        <v>3</v>
      </c>
      <c r="B9" s="1102">
        <v>22</v>
      </c>
      <c r="C9" s="55" t="s">
        <v>9</v>
      </c>
      <c r="D9" s="1103">
        <v>0.14991177631397792</v>
      </c>
      <c r="E9" s="845">
        <v>2905</v>
      </c>
    </row>
    <row r="10" spans="1:5" ht="12.75">
      <c r="A10" s="314">
        <v>4</v>
      </c>
      <c r="B10" s="1102">
        <v>23</v>
      </c>
      <c r="C10" s="55" t="s">
        <v>10</v>
      </c>
      <c r="D10" s="1103">
        <v>0.05045963086077538</v>
      </c>
      <c r="E10" s="845">
        <v>4601</v>
      </c>
    </row>
    <row r="11" spans="1:5" ht="12.75">
      <c r="A11" s="51">
        <v>5</v>
      </c>
      <c r="B11" s="1102">
        <v>31</v>
      </c>
      <c r="C11" s="55" t="s">
        <v>11</v>
      </c>
      <c r="D11" s="1103">
        <v>0.07990487481425221</v>
      </c>
      <c r="E11" s="845">
        <v>14605</v>
      </c>
    </row>
    <row r="12" spans="1:5" ht="12.75">
      <c r="A12" s="314">
        <v>6</v>
      </c>
      <c r="B12" s="1102">
        <v>33</v>
      </c>
      <c r="C12" s="55" t="s">
        <v>12</v>
      </c>
      <c r="D12" s="1103">
        <v>0.2536570153402073</v>
      </c>
      <c r="E12" s="845">
        <v>3140</v>
      </c>
    </row>
    <row r="13" spans="1:5" ht="12.75">
      <c r="A13" s="51">
        <v>7</v>
      </c>
      <c r="B13" s="1102">
        <v>41</v>
      </c>
      <c r="C13" s="55" t="s">
        <v>13</v>
      </c>
      <c r="D13" s="1103">
        <v>0.05454294595479682</v>
      </c>
      <c r="E13" s="1150">
        <v>4421</v>
      </c>
    </row>
    <row r="14" spans="1:5" ht="12.75">
      <c r="A14" s="314">
        <v>8</v>
      </c>
      <c r="B14" s="1102">
        <v>51</v>
      </c>
      <c r="C14" s="55" t="s">
        <v>14</v>
      </c>
      <c r="D14" s="1103">
        <v>0.07677511200436886</v>
      </c>
      <c r="E14" s="845">
        <v>1693</v>
      </c>
    </row>
    <row r="15" spans="1:5" ht="12.75">
      <c r="A15" s="53">
        <v>9</v>
      </c>
      <c r="B15" s="1104">
        <v>56</v>
      </c>
      <c r="C15" s="537" t="s">
        <v>15</v>
      </c>
      <c r="D15" s="1105">
        <v>0.029408517942993664</v>
      </c>
      <c r="E15" s="853">
        <v>3059</v>
      </c>
    </row>
    <row r="16" spans="1:5" ht="12.75">
      <c r="A16" s="1597" t="s">
        <v>461</v>
      </c>
      <c r="B16" s="1598"/>
      <c r="C16" s="1599"/>
      <c r="D16" s="1106"/>
      <c r="E16" s="1107">
        <f>SUM(E7:E15)</f>
        <v>52267</v>
      </c>
    </row>
    <row r="17" spans="1:5" ht="12.75">
      <c r="A17" s="752">
        <v>10</v>
      </c>
      <c r="B17" s="1007">
        <v>71</v>
      </c>
      <c r="C17" s="1008" t="s">
        <v>236</v>
      </c>
      <c r="D17" s="1108">
        <v>0.053129075125936565</v>
      </c>
      <c r="E17" s="1109">
        <v>4999</v>
      </c>
    </row>
    <row r="18" spans="1:5" ht="12.75">
      <c r="A18" s="752">
        <v>11</v>
      </c>
      <c r="B18" s="849">
        <v>92</v>
      </c>
      <c r="C18" s="1008" t="s">
        <v>17</v>
      </c>
      <c r="D18" s="1110">
        <v>0</v>
      </c>
      <c r="E18" s="1111">
        <v>311</v>
      </c>
    </row>
    <row r="19" spans="1:5" ht="13.5" thickBot="1">
      <c r="A19" s="1603" t="s">
        <v>666</v>
      </c>
      <c r="B19" s="1604"/>
      <c r="C19" s="1605"/>
      <c r="D19" s="1112"/>
      <c r="E19" s="1113">
        <f>SUM(E17:E18)</f>
        <v>5310</v>
      </c>
    </row>
    <row r="20" spans="1:5" ht="13.5" thickBot="1">
      <c r="A20" s="318">
        <v>12</v>
      </c>
      <c r="B20" s="516"/>
      <c r="C20" s="59" t="s">
        <v>16</v>
      </c>
      <c r="D20" s="1114">
        <f>SUM(D7:D15,D17:D18)</f>
        <v>0.9077830300426492</v>
      </c>
      <c r="E20" s="1115">
        <f>E16+E19</f>
        <v>57577</v>
      </c>
    </row>
    <row r="25" spans="1:5" ht="13.5" thickBot="1">
      <c r="A25" s="808" t="s">
        <v>667</v>
      </c>
      <c r="B25" s="808"/>
      <c r="C25" s="808"/>
      <c r="E25" s="808"/>
    </row>
    <row r="26" spans="1:5" ht="13.5" thickBot="1">
      <c r="A26" s="808"/>
      <c r="B26" s="808"/>
      <c r="C26" s="808"/>
      <c r="E26" s="1116">
        <v>12825</v>
      </c>
    </row>
    <row r="27" ht="13.5" thickBot="1"/>
    <row r="28" spans="1:5" ht="12.75">
      <c r="A28" s="126"/>
      <c r="B28" s="458" t="s">
        <v>37</v>
      </c>
      <c r="C28" s="312"/>
      <c r="D28" s="312"/>
      <c r="E28" s="843"/>
    </row>
    <row r="29" spans="1:5" ht="13.5" thickBot="1">
      <c r="A29" s="461" t="s">
        <v>34</v>
      </c>
      <c r="B29" s="462" t="s">
        <v>38</v>
      </c>
      <c r="C29" s="463"/>
      <c r="D29" s="463"/>
      <c r="E29" s="844" t="s">
        <v>431</v>
      </c>
    </row>
    <row r="30" spans="1:5" ht="39.75" customHeight="1">
      <c r="A30" s="846"/>
      <c r="B30" s="312"/>
      <c r="C30" s="847"/>
      <c r="D30" s="848" t="s">
        <v>430</v>
      </c>
      <c r="E30" s="843" t="s">
        <v>444</v>
      </c>
    </row>
    <row r="31" spans="1:5" ht="12.75">
      <c r="A31" s="333">
        <v>1</v>
      </c>
      <c r="B31" s="849">
        <v>11</v>
      </c>
      <c r="C31" s="334" t="s">
        <v>7</v>
      </c>
      <c r="D31" s="850">
        <f>str1!J16/SUM(str1!$J$16:$J$24)</f>
        <v>0.1820942746972773</v>
      </c>
      <c r="E31" s="851">
        <f aca="true" t="shared" si="0" ref="E31:E39">D31*$E$26</f>
        <v>2335.3590729925813</v>
      </c>
    </row>
    <row r="32" spans="1:5" ht="12.75">
      <c r="A32" s="314">
        <v>2</v>
      </c>
      <c r="B32" s="529">
        <v>21</v>
      </c>
      <c r="C32" s="55" t="s">
        <v>8</v>
      </c>
      <c r="D32" s="809">
        <f>str1!J17/SUM(str1!$J$16:$J$24)</f>
        <v>0.18640869669386634</v>
      </c>
      <c r="E32" s="845">
        <f t="shared" si="0"/>
        <v>2390.6915350988356</v>
      </c>
    </row>
    <row r="33" spans="1:5" ht="12.75">
      <c r="A33" s="51">
        <v>3</v>
      </c>
      <c r="B33" s="529">
        <v>22</v>
      </c>
      <c r="C33" s="55" t="s">
        <v>9</v>
      </c>
      <c r="D33" s="809">
        <f>str1!J18/SUM(str1!$J$16:$J$24)</f>
        <v>0.06706328492908441</v>
      </c>
      <c r="E33" s="845">
        <f t="shared" si="0"/>
        <v>860.0866292155075</v>
      </c>
    </row>
    <row r="34" spans="1:5" ht="12.75">
      <c r="A34" s="314">
        <v>4</v>
      </c>
      <c r="B34" s="529">
        <v>23</v>
      </c>
      <c r="C34" s="55" t="s">
        <v>10</v>
      </c>
      <c r="D34" s="809">
        <f>str1!J19/SUM(str1!$J$16:$J$24)</f>
        <v>0.07972555360902249</v>
      </c>
      <c r="E34" s="845">
        <f t="shared" si="0"/>
        <v>1022.4802250357135</v>
      </c>
    </row>
    <row r="35" spans="1:5" ht="12.75">
      <c r="A35" s="51">
        <v>5</v>
      </c>
      <c r="B35" s="529">
        <v>31</v>
      </c>
      <c r="C35" s="55" t="s">
        <v>11</v>
      </c>
      <c r="D35" s="809">
        <f>str1!J20/SUM(str1!$J$16:$J$24)</f>
        <v>0.20200577567413822</v>
      </c>
      <c r="E35" s="845">
        <f t="shared" si="0"/>
        <v>2590.7240730208227</v>
      </c>
    </row>
    <row r="36" spans="1:5" ht="12.75">
      <c r="A36" s="314">
        <v>6</v>
      </c>
      <c r="B36" s="529">
        <v>33</v>
      </c>
      <c r="C36" s="55" t="s">
        <v>12</v>
      </c>
      <c r="D36" s="809">
        <f>str1!J21/SUM(str1!$J$16:$J$24)</f>
        <v>0.07318505142106568</v>
      </c>
      <c r="E36" s="845">
        <f t="shared" si="0"/>
        <v>938.5982844751674</v>
      </c>
    </row>
    <row r="37" spans="1:5" ht="12.75">
      <c r="A37" s="51">
        <v>7</v>
      </c>
      <c r="B37" s="529">
        <v>41</v>
      </c>
      <c r="C37" s="55" t="s">
        <v>13</v>
      </c>
      <c r="D37" s="809">
        <f>str1!J22/SUM(str1!$J$16:$J$24)</f>
        <v>0.10167000089837257</v>
      </c>
      <c r="E37" s="845">
        <f t="shared" si="0"/>
        <v>1303.917761521628</v>
      </c>
    </row>
    <row r="38" spans="1:5" ht="12.75">
      <c r="A38" s="314">
        <v>8</v>
      </c>
      <c r="B38" s="529">
        <v>51</v>
      </c>
      <c r="C38" s="55" t="s">
        <v>240</v>
      </c>
      <c r="D38" s="809">
        <f>str1!J23/SUM(str1!$J$16:$J$24)</f>
        <v>0.039099234261972586</v>
      </c>
      <c r="E38" s="845">
        <f t="shared" si="0"/>
        <v>501.4476794097984</v>
      </c>
    </row>
    <row r="39" spans="1:5" ht="12.75">
      <c r="A39" s="53">
        <v>9</v>
      </c>
      <c r="B39" s="536">
        <v>56</v>
      </c>
      <c r="C39" s="537" t="s">
        <v>15</v>
      </c>
      <c r="D39" s="852">
        <f>str1!J24/SUM(str1!$J$16:$J$24)</f>
        <v>0.0687481278152005</v>
      </c>
      <c r="E39" s="853">
        <f t="shared" si="0"/>
        <v>881.6947392299463</v>
      </c>
    </row>
    <row r="40" spans="1:5" ht="12.75">
      <c r="A40" s="1597" t="s">
        <v>461</v>
      </c>
      <c r="B40" s="1598"/>
      <c r="C40" s="1599"/>
      <c r="D40" s="1011"/>
      <c r="E40" s="1012">
        <f>SUM(E31:E39)</f>
        <v>12825.000000000002</v>
      </c>
    </row>
    <row r="41" spans="1:5" ht="12.75">
      <c r="A41" s="752">
        <v>10</v>
      </c>
      <c r="B41" s="1007">
        <v>99</v>
      </c>
      <c r="C41" s="1008" t="s">
        <v>18</v>
      </c>
      <c r="D41" s="1009"/>
      <c r="E41" s="1010">
        <v>-12825</v>
      </c>
    </row>
    <row r="42" spans="1:5" ht="13.5" thickBot="1">
      <c r="A42" s="1600" t="s">
        <v>462</v>
      </c>
      <c r="B42" s="1601"/>
      <c r="C42" s="1602"/>
      <c r="D42" s="1013"/>
      <c r="E42" s="1014">
        <f>SUM(E40:E41)</f>
        <v>0</v>
      </c>
    </row>
  </sheetData>
  <sheetProtection/>
  <mergeCells count="4">
    <mergeCell ref="A40:C40"/>
    <mergeCell ref="A42:C42"/>
    <mergeCell ref="A16:C16"/>
    <mergeCell ref="A19:C1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showGridLines="0" zoomScalePageLayoutView="0" workbookViewId="0" topLeftCell="A4">
      <selection activeCell="I31" sqref="I31"/>
    </sheetView>
  </sheetViews>
  <sheetFormatPr defaultColWidth="11.375" defaultRowHeight="12.75"/>
  <cols>
    <col min="1" max="1" width="4.375" style="64" customWidth="1"/>
    <col min="2" max="2" width="9.875" style="64" customWidth="1"/>
    <col min="3" max="3" width="9.375" style="64" bestFit="1" customWidth="1"/>
    <col min="4" max="4" width="9.625" style="64" customWidth="1"/>
    <col min="5" max="5" width="9.125" style="64" customWidth="1"/>
    <col min="6" max="6" width="8.75390625" style="64" customWidth="1"/>
    <col min="7" max="7" width="9.875" style="64" customWidth="1"/>
    <col min="8" max="8" width="10.125" style="64" customWidth="1"/>
    <col min="9" max="9" width="9.875" style="64" customWidth="1"/>
    <col min="10" max="10" width="10.875" style="64" customWidth="1"/>
    <col min="11" max="11" width="10.375" style="64" customWidth="1"/>
    <col min="12" max="12" width="11.25390625" style="64" customWidth="1"/>
    <col min="13" max="13" width="9.625" style="64" customWidth="1"/>
    <col min="14" max="14" width="9.25390625" style="64" customWidth="1"/>
    <col min="15" max="15" width="11.625" style="64" customWidth="1"/>
    <col min="16" max="16" width="9.375" style="64" customWidth="1"/>
    <col min="17" max="17" width="10.00390625" style="64" customWidth="1"/>
    <col min="18" max="16384" width="11.375" style="64" customWidth="1"/>
  </cols>
  <sheetData>
    <row r="1" ht="12.75">
      <c r="A1" s="133" t="s">
        <v>367</v>
      </c>
    </row>
    <row r="2" ht="12">
      <c r="A2" s="129"/>
    </row>
    <row r="3" ht="12">
      <c r="A3" s="130" t="s">
        <v>348</v>
      </c>
    </row>
    <row r="4" spans="1:8" ht="12">
      <c r="A4" s="130"/>
      <c r="H4" s="811"/>
    </row>
    <row r="5" spans="4:14" ht="12.75" thickBot="1">
      <c r="D5" s="1071">
        <f>'pom2 - Poměr VaV'!K31</f>
        <v>0.34</v>
      </c>
      <c r="N5" s="722"/>
    </row>
    <row r="6" spans="3:17" ht="12">
      <c r="C6" s="65" t="s">
        <v>309</v>
      </c>
      <c r="D6" s="1608" t="s">
        <v>345</v>
      </c>
      <c r="E6" s="66"/>
      <c r="F6" s="67"/>
      <c r="G6" s="1608" t="s">
        <v>344</v>
      </c>
      <c r="H6" s="1098" t="s">
        <v>309</v>
      </c>
      <c r="I6" s="66" t="s">
        <v>662</v>
      </c>
      <c r="J6" s="1608" t="s">
        <v>345</v>
      </c>
      <c r="K6" s="1608" t="s">
        <v>344</v>
      </c>
      <c r="L6" s="688" t="s">
        <v>661</v>
      </c>
      <c r="M6" s="1610" t="s">
        <v>31</v>
      </c>
      <c r="N6" s="1611"/>
      <c r="O6" s="66"/>
      <c r="P6" s="68"/>
      <c r="Q6" s="68"/>
    </row>
    <row r="7" spans="3:17" ht="12">
      <c r="C7" s="69" t="s">
        <v>340</v>
      </c>
      <c r="D7" s="1609"/>
      <c r="E7" s="70" t="s">
        <v>343</v>
      </c>
      <c r="F7" s="70" t="s">
        <v>352</v>
      </c>
      <c r="G7" s="1609"/>
      <c r="H7" s="71" t="s">
        <v>659</v>
      </c>
      <c r="I7" s="70" t="s">
        <v>347</v>
      </c>
      <c r="J7" s="1609"/>
      <c r="K7" s="1609"/>
      <c r="L7" s="1097" t="s">
        <v>660</v>
      </c>
      <c r="M7" s="1612"/>
      <c r="N7" s="1613"/>
      <c r="O7" s="70" t="s">
        <v>361</v>
      </c>
      <c r="P7" s="72" t="s">
        <v>353</v>
      </c>
      <c r="Q7" s="72" t="s">
        <v>184</v>
      </c>
    </row>
    <row r="8" spans="3:17" ht="26.25" customHeight="1">
      <c r="C8" s="73" t="s">
        <v>393</v>
      </c>
      <c r="D8" s="74" t="s">
        <v>342</v>
      </c>
      <c r="E8" s="75" t="s">
        <v>184</v>
      </c>
      <c r="F8" s="75" t="s">
        <v>184</v>
      </c>
      <c r="G8" s="74" t="s">
        <v>350</v>
      </c>
      <c r="H8" s="76" t="s">
        <v>395</v>
      </c>
      <c r="I8" s="75" t="s">
        <v>360</v>
      </c>
      <c r="J8" s="74" t="s">
        <v>342</v>
      </c>
      <c r="K8" s="74" t="s">
        <v>350</v>
      </c>
      <c r="L8" s="690" t="s">
        <v>394</v>
      </c>
      <c r="M8" s="77" t="s">
        <v>360</v>
      </c>
      <c r="N8" s="77" t="s">
        <v>395</v>
      </c>
      <c r="O8" s="75" t="s">
        <v>16</v>
      </c>
      <c r="P8" s="78" t="s">
        <v>184</v>
      </c>
      <c r="Q8" s="78" t="s">
        <v>379</v>
      </c>
    </row>
    <row r="9" spans="3:17" ht="14.25" customHeight="1" thickBot="1">
      <c r="C9" s="69">
        <v>1</v>
      </c>
      <c r="D9" s="79">
        <v>2</v>
      </c>
      <c r="E9" s="70">
        <v>3</v>
      </c>
      <c r="F9" s="70">
        <v>4</v>
      </c>
      <c r="G9" s="79">
        <v>5</v>
      </c>
      <c r="H9" s="71" t="s">
        <v>354</v>
      </c>
      <c r="I9" s="70">
        <v>7</v>
      </c>
      <c r="J9" s="79">
        <v>8</v>
      </c>
      <c r="K9" s="79">
        <v>9</v>
      </c>
      <c r="L9" s="689" t="s">
        <v>355</v>
      </c>
      <c r="M9" s="71" t="s">
        <v>362</v>
      </c>
      <c r="N9" s="71" t="s">
        <v>363</v>
      </c>
      <c r="O9" s="70" t="s">
        <v>356</v>
      </c>
      <c r="P9" s="72" t="s">
        <v>663</v>
      </c>
      <c r="Q9" s="72"/>
    </row>
    <row r="10" spans="1:18" ht="12">
      <c r="A10" s="969">
        <v>11</v>
      </c>
      <c r="B10" s="970" t="s">
        <v>7</v>
      </c>
      <c r="C10" s="80">
        <f>'rozpis pro rozpocet'!G48</f>
        <v>234570</v>
      </c>
      <c r="D10" s="81"/>
      <c r="E10" s="82">
        <f>'rozpis pro rozpocet'!E48</f>
        <v>66146</v>
      </c>
      <c r="F10" s="83">
        <f aca="true" t="shared" si="0" ref="F10:F18">E10/SUM($E$10:$E$18,$E$20)</f>
        <v>0.13043692603788914</v>
      </c>
      <c r="G10" s="82">
        <f aca="true" t="shared" si="1" ref="G10:G18">F10*-$D$32</f>
        <v>6403.044349659143</v>
      </c>
      <c r="H10" s="735">
        <f>C10+G10+D10</f>
        <v>240973.04434965915</v>
      </c>
      <c r="I10" s="82">
        <f>'rozpis pro rozpocet'!H48</f>
        <v>0</v>
      </c>
      <c r="J10" s="81"/>
      <c r="K10" s="85">
        <f>-F10*$J$36</f>
        <v>2704.3253088968686</v>
      </c>
      <c r="L10" s="691">
        <f aca="true" t="shared" si="2" ref="L10:L18">I10+K10+J10</f>
        <v>2704.3253088968686</v>
      </c>
      <c r="M10" s="84">
        <f>I10</f>
        <v>0</v>
      </c>
      <c r="N10" s="84">
        <f>L10-M10</f>
        <v>2704.3253088968686</v>
      </c>
      <c r="O10" s="82">
        <f>-D10-G10-J10-K10</f>
        <v>-9107.369658556012</v>
      </c>
      <c r="P10" s="714">
        <f>O10+E10</f>
        <v>57038.63034144399</v>
      </c>
      <c r="Q10" s="86">
        <f>TRUNC(ROUND(P10,0),0)</f>
        <v>57039</v>
      </c>
      <c r="R10" s="131"/>
    </row>
    <row r="11" spans="1:18" ht="12">
      <c r="A11" s="971">
        <v>21</v>
      </c>
      <c r="B11" s="746" t="s">
        <v>8</v>
      </c>
      <c r="C11" s="80">
        <f>'rozpis pro rozpocet'!G49</f>
        <v>250720</v>
      </c>
      <c r="D11" s="81"/>
      <c r="E11" s="82">
        <f>'rozpis pro rozpocet'!E49</f>
        <v>60777</v>
      </c>
      <c r="F11" s="83">
        <f t="shared" si="0"/>
        <v>0.11984950040523672</v>
      </c>
      <c r="G11" s="82">
        <f t="shared" si="1"/>
        <v>5883.316095292743</v>
      </c>
      <c r="H11" s="735">
        <f aca="true" t="shared" si="3" ref="H11:H31">C11+G11+D11</f>
        <v>256603.31609529274</v>
      </c>
      <c r="I11" s="82">
        <f>'rozpis pro rozpocet'!H49</f>
        <v>100</v>
      </c>
      <c r="J11" s="81"/>
      <c r="K11" s="85">
        <f aca="true" t="shared" si="4" ref="K11:K17">-F11*$J$36</f>
        <v>2484.8181189917</v>
      </c>
      <c r="L11" s="691">
        <f t="shared" si="2"/>
        <v>2584.8181189917</v>
      </c>
      <c r="M11" s="84">
        <f aca="true" t="shared" si="5" ref="M11:M18">I11</f>
        <v>100</v>
      </c>
      <c r="N11" s="84">
        <f aca="true" t="shared" si="6" ref="N11:N18">L11-M11</f>
        <v>2484.8181189917</v>
      </c>
      <c r="O11" s="82">
        <f aca="true" t="shared" si="7" ref="O11:O18">-D11-G11-J11-K11</f>
        <v>-8368.134214284442</v>
      </c>
      <c r="P11" s="714">
        <f aca="true" t="shared" si="8" ref="P11:P18">O11+E11</f>
        <v>52408.865785715556</v>
      </c>
      <c r="Q11" s="86">
        <f aca="true" t="shared" si="9" ref="Q11:Q31">TRUNC(ROUND(P11,0),0)</f>
        <v>52409</v>
      </c>
      <c r="R11" s="131"/>
    </row>
    <row r="12" spans="1:18" ht="12">
      <c r="A12" s="971">
        <v>22</v>
      </c>
      <c r="B12" s="746" t="s">
        <v>9</v>
      </c>
      <c r="C12" s="80">
        <f>'rozpis pro rozpocet'!G50</f>
        <v>88406</v>
      </c>
      <c r="D12" s="81"/>
      <c r="E12" s="82">
        <f>'rozpis pro rozpocet'!E50</f>
        <v>23409</v>
      </c>
      <c r="F12" s="83">
        <f t="shared" si="0"/>
        <v>0.04616149127114182</v>
      </c>
      <c r="G12" s="82">
        <f t="shared" si="1"/>
        <v>2266.030677307334</v>
      </c>
      <c r="H12" s="735">
        <f t="shared" si="3"/>
        <v>90672.03067730734</v>
      </c>
      <c r="I12" s="82">
        <f>'rozpis pro rozpocet'!H50</f>
        <v>0</v>
      </c>
      <c r="J12" s="81"/>
      <c r="K12" s="85">
        <f t="shared" si="4"/>
        <v>957.0578894561546</v>
      </c>
      <c r="L12" s="691">
        <f t="shared" si="2"/>
        <v>957.0578894561546</v>
      </c>
      <c r="M12" s="84">
        <f t="shared" si="5"/>
        <v>0</v>
      </c>
      <c r="N12" s="84">
        <f t="shared" si="6"/>
        <v>957.0578894561546</v>
      </c>
      <c r="O12" s="82">
        <f t="shared" si="7"/>
        <v>-3223.0885667634884</v>
      </c>
      <c r="P12" s="714">
        <f t="shared" si="8"/>
        <v>20185.911433236513</v>
      </c>
      <c r="Q12" s="86">
        <f t="shared" si="9"/>
        <v>20186</v>
      </c>
      <c r="R12" s="131"/>
    </row>
    <row r="13" spans="1:18" ht="12">
      <c r="A13" s="971">
        <v>23</v>
      </c>
      <c r="B13" s="746" t="s">
        <v>10</v>
      </c>
      <c r="C13" s="80">
        <f>'rozpis pro rozpocet'!G51</f>
        <v>99117</v>
      </c>
      <c r="D13" s="81"/>
      <c r="E13" s="82">
        <f>'rozpis pro rozpocet'!E51</f>
        <v>27642</v>
      </c>
      <c r="F13" s="83">
        <f t="shared" si="0"/>
        <v>0.05450877618509557</v>
      </c>
      <c r="G13" s="82">
        <f t="shared" si="1"/>
        <v>2675.792215905392</v>
      </c>
      <c r="H13" s="735">
        <f t="shared" si="3"/>
        <v>101792.79221590539</v>
      </c>
      <c r="I13" s="82">
        <f>'rozpis pro rozpocet'!H51</f>
        <v>200</v>
      </c>
      <c r="J13" s="81"/>
      <c r="K13" s="85">
        <f t="shared" si="4"/>
        <v>1130.120645065873</v>
      </c>
      <c r="L13" s="691">
        <f t="shared" si="2"/>
        <v>1330.120645065873</v>
      </c>
      <c r="M13" s="84">
        <f t="shared" si="5"/>
        <v>200</v>
      </c>
      <c r="N13" s="84">
        <f t="shared" si="6"/>
        <v>1130.120645065873</v>
      </c>
      <c r="O13" s="82">
        <f t="shared" si="7"/>
        <v>-3805.912860971265</v>
      </c>
      <c r="P13" s="714">
        <f t="shared" si="8"/>
        <v>23836.087139028736</v>
      </c>
      <c r="Q13" s="86">
        <f>TRUNC(ROUND(P13,0),0)</f>
        <v>23836</v>
      </c>
      <c r="R13" s="131"/>
    </row>
    <row r="14" spans="1:18" ht="12">
      <c r="A14" s="971">
        <v>31</v>
      </c>
      <c r="B14" s="746" t="s">
        <v>11</v>
      </c>
      <c r="C14" s="80">
        <f>'rozpis pro rozpocet'!G52</f>
        <v>229245</v>
      </c>
      <c r="D14" s="81"/>
      <c r="E14" s="82">
        <f>'rozpis pro rozpocet'!E52</f>
        <v>204138</v>
      </c>
      <c r="F14" s="83">
        <f t="shared" si="0"/>
        <v>0.4025509208043209</v>
      </c>
      <c r="G14" s="82">
        <f t="shared" si="1"/>
        <v>19760.902661547458</v>
      </c>
      <c r="H14" s="735">
        <f t="shared" si="3"/>
        <v>249005.90266154747</v>
      </c>
      <c r="I14" s="82">
        <f>'rozpis pro rozpocet'!H52</f>
        <v>3700</v>
      </c>
      <c r="J14" s="81"/>
      <c r="K14" s="85">
        <f t="shared" si="4"/>
        <v>8346.015781870241</v>
      </c>
      <c r="L14" s="691">
        <f t="shared" si="2"/>
        <v>12046.015781870241</v>
      </c>
      <c r="M14" s="84">
        <f t="shared" si="5"/>
        <v>3700</v>
      </c>
      <c r="N14" s="84">
        <f t="shared" si="6"/>
        <v>8346.015781870241</v>
      </c>
      <c r="O14" s="82">
        <f t="shared" si="7"/>
        <v>-28106.9184434177</v>
      </c>
      <c r="P14" s="714">
        <f t="shared" si="8"/>
        <v>176031.0815565823</v>
      </c>
      <c r="Q14" s="86">
        <f t="shared" si="9"/>
        <v>176031</v>
      </c>
      <c r="R14" s="131"/>
    </row>
    <row r="15" spans="1:18" ht="12">
      <c r="A15" s="971">
        <v>33</v>
      </c>
      <c r="B15" s="746" t="s">
        <v>12</v>
      </c>
      <c r="C15" s="80">
        <f>'rozpis pro rozpocet'!G53</f>
        <v>88596</v>
      </c>
      <c r="D15" s="81"/>
      <c r="E15" s="82">
        <f>'rozpis pro rozpocet'!E53</f>
        <v>32156</v>
      </c>
      <c r="F15" s="83">
        <f t="shared" si="0"/>
        <v>0.06341018041414996</v>
      </c>
      <c r="G15" s="82">
        <f t="shared" si="1"/>
        <v>3112.7550283862884</v>
      </c>
      <c r="H15" s="735">
        <f t="shared" si="3"/>
        <v>91708.7550283863</v>
      </c>
      <c r="I15" s="82">
        <f>'rozpis pro rozpocet'!H53</f>
        <v>36000</v>
      </c>
      <c r="J15" s="81"/>
      <c r="K15" s="85">
        <f t="shared" si="4"/>
        <v>1314.6718566940965</v>
      </c>
      <c r="L15" s="691">
        <f t="shared" si="2"/>
        <v>37314.6718566941</v>
      </c>
      <c r="M15" s="84">
        <f t="shared" si="5"/>
        <v>36000</v>
      </c>
      <c r="N15" s="84">
        <f t="shared" si="6"/>
        <v>1314.671856694098</v>
      </c>
      <c r="O15" s="82">
        <f t="shared" si="7"/>
        <v>-4427.426885080385</v>
      </c>
      <c r="P15" s="714">
        <f t="shared" si="8"/>
        <v>27728.573114919614</v>
      </c>
      <c r="Q15" s="86">
        <f t="shared" si="9"/>
        <v>27729</v>
      </c>
      <c r="R15" s="131"/>
    </row>
    <row r="16" spans="1:18" ht="12">
      <c r="A16" s="971">
        <v>41</v>
      </c>
      <c r="B16" s="746" t="s">
        <v>13</v>
      </c>
      <c r="C16" s="80">
        <f>'rozpis pro rozpocet'!G54</f>
        <v>142060</v>
      </c>
      <c r="D16" s="81"/>
      <c r="E16" s="82">
        <f>'rozpis pro rozpocet'!E54</f>
        <v>30182</v>
      </c>
      <c r="F16" s="83">
        <f t="shared" si="0"/>
        <v>0.05951754152443942</v>
      </c>
      <c r="G16" s="82">
        <f t="shared" si="1"/>
        <v>2921.66849940151</v>
      </c>
      <c r="H16" s="735">
        <f t="shared" si="3"/>
        <v>144981.6684994015</v>
      </c>
      <c r="I16" s="82">
        <f>'rozpis pro rozpocet'!H54</f>
        <v>800</v>
      </c>
      <c r="J16" s="81"/>
      <c r="K16" s="85">
        <f t="shared" si="4"/>
        <v>1233.9664752687281</v>
      </c>
      <c r="L16" s="691">
        <f t="shared" si="2"/>
        <v>2033.9664752687281</v>
      </c>
      <c r="M16" s="84">
        <f t="shared" si="5"/>
        <v>800</v>
      </c>
      <c r="N16" s="84">
        <f t="shared" si="6"/>
        <v>1233.9664752687281</v>
      </c>
      <c r="O16" s="82">
        <f t="shared" si="7"/>
        <v>-4155.634974670238</v>
      </c>
      <c r="P16" s="714">
        <f t="shared" si="8"/>
        <v>26026.36502532976</v>
      </c>
      <c r="Q16" s="86">
        <f t="shared" si="9"/>
        <v>26026</v>
      </c>
      <c r="R16" s="131"/>
    </row>
    <row r="17" spans="1:18" ht="12">
      <c r="A17" s="971">
        <v>51</v>
      </c>
      <c r="B17" s="746" t="s">
        <v>14</v>
      </c>
      <c r="C17" s="80">
        <f>'rozpis pro rozpocet'!G55</f>
        <v>67330</v>
      </c>
      <c r="D17" s="81"/>
      <c r="E17" s="82">
        <f>'rozpis pro rozpocet'!E55</f>
        <v>3358</v>
      </c>
      <c r="F17" s="83">
        <f t="shared" si="0"/>
        <v>0.0066218244131955335</v>
      </c>
      <c r="G17" s="82">
        <f t="shared" si="1"/>
        <v>325.06006298423796</v>
      </c>
      <c r="H17" s="735">
        <f t="shared" si="3"/>
        <v>67655.06006298424</v>
      </c>
      <c r="I17" s="82">
        <f>'rozpis pro rozpocet'!H55</f>
        <v>300</v>
      </c>
      <c r="J17" s="81"/>
      <c r="K17" s="85">
        <f t="shared" si="4"/>
        <v>137.2890936303886</v>
      </c>
      <c r="L17" s="691">
        <f t="shared" si="2"/>
        <v>437.2890936303886</v>
      </c>
      <c r="M17" s="84">
        <f t="shared" si="5"/>
        <v>300</v>
      </c>
      <c r="N17" s="84">
        <f t="shared" si="6"/>
        <v>137.2890936303886</v>
      </c>
      <c r="O17" s="82">
        <f t="shared" si="7"/>
        <v>-462.34915661462657</v>
      </c>
      <c r="P17" s="714">
        <f t="shared" si="8"/>
        <v>2895.6508433853733</v>
      </c>
      <c r="Q17" s="86">
        <f t="shared" si="9"/>
        <v>2896</v>
      </c>
      <c r="R17" s="131"/>
    </row>
    <row r="18" spans="1:18" ht="12.75" thickBot="1">
      <c r="A18" s="972">
        <v>56</v>
      </c>
      <c r="B18" s="747" t="s">
        <v>15</v>
      </c>
      <c r="C18" s="87">
        <f>'rozpis pro rozpocet'!G56</f>
        <v>91405</v>
      </c>
      <c r="D18" s="88"/>
      <c r="E18" s="82">
        <f>'rozpis pro rozpocet'!E56</f>
        <v>11690</v>
      </c>
      <c r="F18" s="90">
        <f t="shared" si="0"/>
        <v>0.023052152290129774</v>
      </c>
      <c r="G18" s="89">
        <f t="shared" si="1"/>
        <v>1131.6117142006378</v>
      </c>
      <c r="H18" s="736">
        <f t="shared" si="3"/>
        <v>92536.61171420064</v>
      </c>
      <c r="I18" s="89">
        <f>'rozpis pro rozpocet'!H56</f>
        <v>0</v>
      </c>
      <c r="J18" s="88"/>
      <c r="K18" s="92">
        <f>-F18*$J$36</f>
        <v>477.9361240438484</v>
      </c>
      <c r="L18" s="692">
        <f t="shared" si="2"/>
        <v>477.9361240438484</v>
      </c>
      <c r="M18" s="84">
        <f t="shared" si="5"/>
        <v>0</v>
      </c>
      <c r="N18" s="91">
        <f t="shared" si="6"/>
        <v>477.9361240438484</v>
      </c>
      <c r="O18" s="89">
        <f t="shared" si="7"/>
        <v>-1609.5478382444862</v>
      </c>
      <c r="P18" s="715">
        <f t="shared" si="8"/>
        <v>10080.452161755515</v>
      </c>
      <c r="Q18" s="86">
        <f t="shared" si="9"/>
        <v>10080</v>
      </c>
      <c r="R18" s="131"/>
    </row>
    <row r="19" spans="1:18" ht="13.5" customHeight="1" thickBot="1">
      <c r="A19" s="1614" t="s">
        <v>397</v>
      </c>
      <c r="B19" s="1615"/>
      <c r="C19" s="94">
        <f>SUM(C10:C18)</f>
        <v>1291449</v>
      </c>
      <c r="D19" s="95">
        <f aca="true" t="shared" si="10" ref="D19:I19">SUM(D10:D18)</f>
        <v>0</v>
      </c>
      <c r="E19" s="95">
        <f t="shared" si="10"/>
        <v>459498</v>
      </c>
      <c r="F19" s="96">
        <f t="shared" si="10"/>
        <v>0.906109313345599</v>
      </c>
      <c r="G19" s="95">
        <f t="shared" si="10"/>
        <v>44480.181304684746</v>
      </c>
      <c r="H19" s="737">
        <f t="shared" si="10"/>
        <v>1335929.1813046846</v>
      </c>
      <c r="I19" s="95">
        <f t="shared" si="10"/>
        <v>41100</v>
      </c>
      <c r="J19" s="95">
        <f aca="true" t="shared" si="11" ref="J19:P19">SUM(J10:J18)</f>
        <v>0</v>
      </c>
      <c r="K19" s="95">
        <f t="shared" si="11"/>
        <v>18786.2012939179</v>
      </c>
      <c r="L19" s="693">
        <f t="shared" si="11"/>
        <v>59886.20129391791</v>
      </c>
      <c r="M19" s="97">
        <f t="shared" si="11"/>
        <v>41100</v>
      </c>
      <c r="N19" s="97">
        <f t="shared" si="11"/>
        <v>18786.2012939179</v>
      </c>
      <c r="O19" s="95">
        <f t="shared" si="11"/>
        <v>-63266.38259860264</v>
      </c>
      <c r="P19" s="716">
        <f t="shared" si="11"/>
        <v>396231.6174013973</v>
      </c>
      <c r="Q19" s="98">
        <f>SUM(Q10:Q18)</f>
        <v>396232</v>
      </c>
      <c r="R19" s="131"/>
    </row>
    <row r="20" spans="1:18" ht="12">
      <c r="A20" s="973">
        <v>71</v>
      </c>
      <c r="B20" s="974" t="s">
        <v>208</v>
      </c>
      <c r="C20" s="100">
        <f>'rozpis pro rozpocet'!G58</f>
        <v>0</v>
      </c>
      <c r="D20" s="101"/>
      <c r="E20" s="82">
        <f>'rozpis pro rozpocet'!E58</f>
        <v>47613</v>
      </c>
      <c r="F20" s="103">
        <f>E20/SUM($E$10:$E$18,$E$20)</f>
        <v>0.0938906866544011</v>
      </c>
      <c r="G20" s="102">
        <f>F20*-$D$32</f>
        <v>4609.018695315223</v>
      </c>
      <c r="H20" s="738">
        <f t="shared" si="3"/>
        <v>4609.018695315223</v>
      </c>
      <c r="I20" s="856">
        <f>'rozpis pro rozpocet'!H58</f>
        <v>2000</v>
      </c>
      <c r="J20" s="101"/>
      <c r="K20" s="105">
        <f>-F20*$J$36</f>
        <v>1946.6187060821003</v>
      </c>
      <c r="L20" s="694">
        <f>I20+K20</f>
        <v>3946.6187060821003</v>
      </c>
      <c r="M20" s="84">
        <f>I20+J20</f>
        <v>2000</v>
      </c>
      <c r="N20" s="104">
        <f aca="true" t="shared" si="12" ref="N20:N35">L20-M20</f>
        <v>1946.6187060821003</v>
      </c>
      <c r="O20" s="102">
        <f aca="true" t="shared" si="13" ref="O20:O31">-D20-G20-J20-K20</f>
        <v>-6555.637401397324</v>
      </c>
      <c r="P20" s="717">
        <f aca="true" t="shared" si="14" ref="P20:P31">O20+E20</f>
        <v>41057.362598602675</v>
      </c>
      <c r="Q20" s="106">
        <f t="shared" si="9"/>
        <v>41057</v>
      </c>
      <c r="R20" s="131"/>
    </row>
    <row r="21" spans="1:18" ht="12">
      <c r="A21" s="973">
        <v>79</v>
      </c>
      <c r="B21" s="974" t="s">
        <v>308</v>
      </c>
      <c r="C21" s="100">
        <f>'rozpis pro rozpocet'!G59</f>
        <v>0</v>
      </c>
      <c r="D21" s="101"/>
      <c r="E21" s="82">
        <f>'rozpis pro rozpocet'!E59</f>
        <v>0</v>
      </c>
      <c r="F21" s="103"/>
      <c r="G21" s="102"/>
      <c r="H21" s="738"/>
      <c r="I21" s="102">
        <f>'rozpis pro rozpocet'!H59</f>
        <v>1800</v>
      </c>
      <c r="J21" s="101"/>
      <c r="K21" s="105"/>
      <c r="L21" s="694">
        <f>I21+K21</f>
        <v>1800</v>
      </c>
      <c r="M21" s="84">
        <f>I21+J21</f>
        <v>1800</v>
      </c>
      <c r="N21" s="104">
        <f t="shared" si="12"/>
        <v>0</v>
      </c>
      <c r="O21" s="102"/>
      <c r="P21" s="717"/>
      <c r="Q21" s="106">
        <f t="shared" si="9"/>
        <v>0</v>
      </c>
      <c r="R21" s="131"/>
    </row>
    <row r="22" spans="1:18" ht="12">
      <c r="A22" s="975">
        <v>81</v>
      </c>
      <c r="B22" s="976" t="s">
        <v>71</v>
      </c>
      <c r="C22" s="100">
        <f>'rozpis pro rozpocet'!G60</f>
        <v>0</v>
      </c>
      <c r="D22" s="81"/>
      <c r="E22" s="82">
        <f>'rozpis pro rozpocet'!E60</f>
        <v>0</v>
      </c>
      <c r="F22" s="83"/>
      <c r="G22" s="82"/>
      <c r="H22" s="735">
        <f t="shared" si="3"/>
        <v>0</v>
      </c>
      <c r="I22" s="102">
        <f>'rozpis pro rozpocet'!H60</f>
        <v>0</v>
      </c>
      <c r="J22" s="81"/>
      <c r="K22" s="81"/>
      <c r="L22" s="691">
        <f aca="true" t="shared" si="15" ref="L22:L31">I22+K22+J22</f>
        <v>0</v>
      </c>
      <c r="M22" s="84">
        <f>I22+J22</f>
        <v>0</v>
      </c>
      <c r="N22" s="84">
        <f t="shared" si="12"/>
        <v>0</v>
      </c>
      <c r="O22" s="82">
        <f t="shared" si="13"/>
        <v>0</v>
      </c>
      <c r="P22" s="714">
        <f t="shared" si="14"/>
        <v>0</v>
      </c>
      <c r="Q22" s="86">
        <f t="shared" si="9"/>
        <v>0</v>
      </c>
      <c r="R22" s="131"/>
    </row>
    <row r="23" spans="1:18" ht="12">
      <c r="A23" s="975">
        <v>82</v>
      </c>
      <c r="B23" s="976" t="s">
        <v>1</v>
      </c>
      <c r="C23" s="100">
        <f>'rozpis pro rozpocet'!G61</f>
        <v>0</v>
      </c>
      <c r="D23" s="81"/>
      <c r="E23" s="82">
        <f>'rozpis pro rozpocet'!E61</f>
        <v>0</v>
      </c>
      <c r="F23" s="83"/>
      <c r="G23" s="82"/>
      <c r="H23" s="735">
        <f t="shared" si="3"/>
        <v>0</v>
      </c>
      <c r="I23" s="102">
        <f>'rozpis pro rozpocet'!H61</f>
        <v>10648</v>
      </c>
      <c r="J23" s="81"/>
      <c r="K23" s="81"/>
      <c r="L23" s="691">
        <f t="shared" si="15"/>
        <v>10648</v>
      </c>
      <c r="M23" s="84">
        <f>I23+J23</f>
        <v>10648</v>
      </c>
      <c r="N23" s="84">
        <f t="shared" si="12"/>
        <v>0</v>
      </c>
      <c r="O23" s="82">
        <f t="shared" si="13"/>
        <v>0</v>
      </c>
      <c r="P23" s="714">
        <f t="shared" si="14"/>
        <v>0</v>
      </c>
      <c r="Q23" s="86">
        <f t="shared" si="9"/>
        <v>0</v>
      </c>
      <c r="R23" s="131"/>
    </row>
    <row r="24" spans="1:18" ht="12">
      <c r="A24" s="975">
        <v>83</v>
      </c>
      <c r="B24" s="976" t="s">
        <v>83</v>
      </c>
      <c r="C24" s="100">
        <f>'rozpis pro rozpocet'!G62</f>
        <v>6700</v>
      </c>
      <c r="D24" s="81"/>
      <c r="E24" s="82">
        <f>'rozpis pro rozpocet'!E62</f>
        <v>0</v>
      </c>
      <c r="F24" s="83"/>
      <c r="G24" s="82"/>
      <c r="H24" s="735">
        <f t="shared" si="3"/>
        <v>6700</v>
      </c>
      <c r="I24" s="102">
        <f>'rozpis pro rozpocet'!H62</f>
        <v>2104</v>
      </c>
      <c r="J24" s="81"/>
      <c r="K24" s="81"/>
      <c r="L24" s="691">
        <f t="shared" si="15"/>
        <v>2104</v>
      </c>
      <c r="M24" s="84">
        <f aca="true" t="shared" si="16" ref="M24:M31">I24+J24</f>
        <v>2104</v>
      </c>
      <c r="N24" s="84">
        <f t="shared" si="12"/>
        <v>0</v>
      </c>
      <c r="O24" s="82">
        <f t="shared" si="13"/>
        <v>0</v>
      </c>
      <c r="P24" s="714">
        <f t="shared" si="14"/>
        <v>0</v>
      </c>
      <c r="Q24" s="86">
        <f t="shared" si="9"/>
        <v>0</v>
      </c>
      <c r="R24" s="131"/>
    </row>
    <row r="25" spans="1:18" ht="12">
      <c r="A25" s="975">
        <v>84</v>
      </c>
      <c r="B25" s="976" t="s">
        <v>82</v>
      </c>
      <c r="C25" s="100">
        <f>'rozpis pro rozpocet'!G63</f>
        <v>3000</v>
      </c>
      <c r="D25" s="81"/>
      <c r="E25" s="82">
        <f>'rozpis pro rozpocet'!E63</f>
        <v>353</v>
      </c>
      <c r="F25" s="83"/>
      <c r="G25" s="81"/>
      <c r="H25" s="735">
        <f t="shared" si="3"/>
        <v>3000</v>
      </c>
      <c r="I25" s="102">
        <f>'rozpis pro rozpocet'!H63</f>
        <v>10</v>
      </c>
      <c r="J25" s="81"/>
      <c r="K25" s="81"/>
      <c r="L25" s="691">
        <f t="shared" si="15"/>
        <v>10</v>
      </c>
      <c r="M25" s="84">
        <f t="shared" si="16"/>
        <v>10</v>
      </c>
      <c r="N25" s="84">
        <f t="shared" si="12"/>
        <v>0</v>
      </c>
      <c r="O25" s="82">
        <f t="shared" si="13"/>
        <v>0</v>
      </c>
      <c r="P25" s="714">
        <f t="shared" si="14"/>
        <v>353</v>
      </c>
      <c r="Q25" s="86">
        <f t="shared" si="9"/>
        <v>353</v>
      </c>
      <c r="R25" s="131"/>
    </row>
    <row r="26" spans="1:18" ht="12">
      <c r="A26" s="975">
        <v>85</v>
      </c>
      <c r="B26" s="976" t="s">
        <v>106</v>
      </c>
      <c r="C26" s="100">
        <f>'rozpis pro rozpocet'!G64</f>
        <v>0</v>
      </c>
      <c r="D26" s="81"/>
      <c r="E26" s="82">
        <f>'rozpis pro rozpocet'!E64</f>
        <v>612</v>
      </c>
      <c r="F26" s="83"/>
      <c r="G26" s="81"/>
      <c r="H26" s="735">
        <f t="shared" si="3"/>
        <v>0</v>
      </c>
      <c r="I26" s="102">
        <f>'rozpis pro rozpocet'!H64</f>
        <v>0</v>
      </c>
      <c r="J26" s="81"/>
      <c r="K26" s="81"/>
      <c r="L26" s="691">
        <f t="shared" si="15"/>
        <v>0</v>
      </c>
      <c r="M26" s="84">
        <f t="shared" si="16"/>
        <v>0</v>
      </c>
      <c r="N26" s="84">
        <f t="shared" si="12"/>
        <v>0</v>
      </c>
      <c r="O26" s="82">
        <f t="shared" si="13"/>
        <v>0</v>
      </c>
      <c r="P26" s="714">
        <f t="shared" si="14"/>
        <v>612</v>
      </c>
      <c r="Q26" s="86">
        <f t="shared" si="9"/>
        <v>612</v>
      </c>
      <c r="R26" s="131"/>
    </row>
    <row r="27" spans="1:18" ht="12">
      <c r="A27" s="975">
        <v>87</v>
      </c>
      <c r="B27" s="976" t="s">
        <v>135</v>
      </c>
      <c r="C27" s="100">
        <f>'rozpis pro rozpocet'!G65</f>
        <v>7724</v>
      </c>
      <c r="D27" s="82">
        <f>-$D$5*C27</f>
        <v>-2626.1600000000003</v>
      </c>
      <c r="E27" s="82">
        <f>'rozpis pro rozpocet'!E65</f>
        <v>0</v>
      </c>
      <c r="F27" s="83"/>
      <c r="G27" s="81"/>
      <c r="H27" s="735">
        <f>C27+G27+D27</f>
        <v>5097.84</v>
      </c>
      <c r="I27" s="102">
        <f>'rozpis pro rozpocet'!H65</f>
        <v>1395</v>
      </c>
      <c r="J27" s="82">
        <f>-'příl.1 - cp 2015'!K21-'příl.1 - cp 2015'!K125</f>
        <v>-1355</v>
      </c>
      <c r="K27" s="82"/>
      <c r="L27" s="691">
        <f t="shared" si="15"/>
        <v>40</v>
      </c>
      <c r="M27" s="84">
        <f t="shared" si="16"/>
        <v>40</v>
      </c>
      <c r="N27" s="84">
        <f t="shared" si="12"/>
        <v>0</v>
      </c>
      <c r="O27" s="82">
        <f>-D27-G27-J27-K27</f>
        <v>3981.1600000000003</v>
      </c>
      <c r="P27" s="714">
        <f t="shared" si="14"/>
        <v>3981.1600000000003</v>
      </c>
      <c r="Q27" s="86">
        <f t="shared" si="9"/>
        <v>3981</v>
      </c>
      <c r="R27" s="131"/>
    </row>
    <row r="28" spans="1:18" ht="12">
      <c r="A28" s="975">
        <v>92</v>
      </c>
      <c r="B28" s="976" t="s">
        <v>17</v>
      </c>
      <c r="C28" s="100">
        <f>'rozpis pro rozpocet'!G66</f>
        <v>96997</v>
      </c>
      <c r="D28" s="82">
        <f>-$D$5*C28</f>
        <v>-32978.98</v>
      </c>
      <c r="E28" s="82">
        <f>'rozpis pro rozpocet'!E66</f>
        <v>1977</v>
      </c>
      <c r="F28" s="83"/>
      <c r="G28" s="81"/>
      <c r="H28" s="735">
        <f t="shared" si="3"/>
        <v>64018.02</v>
      </c>
      <c r="I28" s="102">
        <f>'rozpis pro rozpocet'!H66</f>
        <v>41093</v>
      </c>
      <c r="J28" s="82">
        <f>-'příl.1 - cp 2015'!K22-'příl.1 - cp 2015'!K143</f>
        <v>-10524.02</v>
      </c>
      <c r="K28" s="82"/>
      <c r="L28" s="691">
        <f t="shared" si="15"/>
        <v>30568.98</v>
      </c>
      <c r="M28" s="84">
        <f t="shared" si="16"/>
        <v>30568.98</v>
      </c>
      <c r="N28" s="84">
        <f t="shared" si="12"/>
        <v>0</v>
      </c>
      <c r="O28" s="82">
        <f t="shared" si="13"/>
        <v>43503</v>
      </c>
      <c r="P28" s="714">
        <f>O28+E28</f>
        <v>45480</v>
      </c>
      <c r="Q28" s="86">
        <f t="shared" si="9"/>
        <v>45480</v>
      </c>
      <c r="R28" s="131"/>
    </row>
    <row r="29" spans="1:18" ht="12">
      <c r="A29" s="975">
        <v>96</v>
      </c>
      <c r="B29" s="976" t="s">
        <v>24</v>
      </c>
      <c r="C29" s="100">
        <f>'rozpis pro rozpocet'!G67</f>
        <v>32000</v>
      </c>
      <c r="D29" s="82"/>
      <c r="E29" s="82">
        <f>'rozpis pro rozpocet'!E67</f>
        <v>469</v>
      </c>
      <c r="F29" s="83"/>
      <c r="G29" s="81"/>
      <c r="H29" s="735">
        <f t="shared" si="3"/>
        <v>32000</v>
      </c>
      <c r="I29" s="102">
        <f>'rozpis pro rozpocet'!H67</f>
        <v>26</v>
      </c>
      <c r="J29" s="81"/>
      <c r="K29" s="81"/>
      <c r="L29" s="691">
        <f t="shared" si="15"/>
        <v>26</v>
      </c>
      <c r="M29" s="84">
        <f t="shared" si="16"/>
        <v>26</v>
      </c>
      <c r="N29" s="84">
        <f t="shared" si="12"/>
        <v>0</v>
      </c>
      <c r="O29" s="82">
        <f t="shared" si="13"/>
        <v>0</v>
      </c>
      <c r="P29" s="714">
        <f t="shared" si="14"/>
        <v>469</v>
      </c>
      <c r="Q29" s="86">
        <f t="shared" si="9"/>
        <v>469</v>
      </c>
      <c r="R29" s="131"/>
    </row>
    <row r="30" spans="1:18" ht="12">
      <c r="A30" s="975">
        <v>97</v>
      </c>
      <c r="B30" s="976" t="s">
        <v>25</v>
      </c>
      <c r="C30" s="100">
        <f>'rozpis pro rozpocet'!G68</f>
        <v>9450</v>
      </c>
      <c r="D30" s="82"/>
      <c r="E30" s="82">
        <f>'rozpis pro rozpocet'!E68</f>
        <v>0</v>
      </c>
      <c r="F30" s="83"/>
      <c r="G30" s="81"/>
      <c r="H30" s="735">
        <f>C30+G30+D30</f>
        <v>9450</v>
      </c>
      <c r="I30" s="102">
        <f>'rozpis pro rozpocet'!H68</f>
        <v>200</v>
      </c>
      <c r="J30" s="82"/>
      <c r="K30" s="81"/>
      <c r="L30" s="691">
        <f t="shared" si="15"/>
        <v>200</v>
      </c>
      <c r="M30" s="84">
        <f t="shared" si="16"/>
        <v>200</v>
      </c>
      <c r="N30" s="84">
        <f t="shared" si="12"/>
        <v>0</v>
      </c>
      <c r="O30" s="82">
        <f t="shared" si="13"/>
        <v>0</v>
      </c>
      <c r="P30" s="714">
        <f t="shared" si="14"/>
        <v>0</v>
      </c>
      <c r="Q30" s="86">
        <f t="shared" si="9"/>
        <v>0</v>
      </c>
      <c r="R30" s="131"/>
    </row>
    <row r="31" spans="1:18" ht="12.75" thickBot="1">
      <c r="A31" s="977">
        <v>99</v>
      </c>
      <c r="B31" s="978" t="s">
        <v>85</v>
      </c>
      <c r="C31" s="100">
        <f>'rozpis pro rozpocet'!G69</f>
        <v>39658.99999999988</v>
      </c>
      <c r="D31" s="89">
        <f>-C31*$D$5</f>
        <v>-13484.059999999961</v>
      </c>
      <c r="E31" s="82">
        <f>'rozpis pro rozpocet'!E69</f>
        <v>21215</v>
      </c>
      <c r="F31" s="90"/>
      <c r="G31" s="88"/>
      <c r="H31" s="736">
        <f t="shared" si="3"/>
        <v>26174.939999999922</v>
      </c>
      <c r="I31" s="856">
        <f>'rozpis pro rozpocet'!H69</f>
        <v>80676</v>
      </c>
      <c r="J31" s="89">
        <f>-'příl.1 - cp 2015'!K25-'příl.1 - cp 2015'!K87</f>
        <v>-8853.8</v>
      </c>
      <c r="K31" s="89"/>
      <c r="L31" s="692">
        <f t="shared" si="15"/>
        <v>71822.2</v>
      </c>
      <c r="M31" s="84">
        <f t="shared" si="16"/>
        <v>71822.2</v>
      </c>
      <c r="N31" s="91">
        <f t="shared" si="12"/>
        <v>0</v>
      </c>
      <c r="O31" s="89">
        <f t="shared" si="13"/>
        <v>22337.85999999996</v>
      </c>
      <c r="P31" s="715">
        <f t="shared" si="14"/>
        <v>43552.85999999996</v>
      </c>
      <c r="Q31" s="93">
        <f t="shared" si="9"/>
        <v>43553</v>
      </c>
      <c r="R31" s="131"/>
    </row>
    <row r="32" spans="1:18" ht="13.5" customHeight="1" thickBot="1">
      <c r="A32" s="1606" t="s">
        <v>398</v>
      </c>
      <c r="B32" s="1607"/>
      <c r="C32" s="108">
        <f>SUM(C20:C31)</f>
        <v>195529.99999999988</v>
      </c>
      <c r="D32" s="109">
        <f aca="true" t="shared" si="17" ref="D32:I32">SUM(D20:D31)</f>
        <v>-49089.19999999997</v>
      </c>
      <c r="E32" s="109">
        <f t="shared" si="17"/>
        <v>72239</v>
      </c>
      <c r="F32" s="110">
        <f t="shared" si="17"/>
        <v>0.0938906866544011</v>
      </c>
      <c r="G32" s="109">
        <f t="shared" si="17"/>
        <v>4609.018695315223</v>
      </c>
      <c r="H32" s="739">
        <f t="shared" si="17"/>
        <v>151049.81869531513</v>
      </c>
      <c r="I32" s="109">
        <f t="shared" si="17"/>
        <v>139952</v>
      </c>
      <c r="J32" s="109">
        <f aca="true" t="shared" si="18" ref="J32:P32">SUM(J20:J31)</f>
        <v>-20732.82</v>
      </c>
      <c r="K32" s="109">
        <f t="shared" si="18"/>
        <v>1946.6187060821003</v>
      </c>
      <c r="L32" s="695">
        <f t="shared" si="18"/>
        <v>121165.7987060821</v>
      </c>
      <c r="M32" s="111">
        <f t="shared" si="18"/>
        <v>119219.18</v>
      </c>
      <c r="N32" s="111">
        <f t="shared" si="18"/>
        <v>1946.6187060821003</v>
      </c>
      <c r="O32" s="109">
        <f t="shared" si="18"/>
        <v>63266.382598602635</v>
      </c>
      <c r="P32" s="718">
        <f t="shared" si="18"/>
        <v>135505.38259860262</v>
      </c>
      <c r="Q32" s="112">
        <f>SUM(Q20:Q31)</f>
        <v>135505</v>
      </c>
      <c r="R32" s="131"/>
    </row>
    <row r="33" spans="1:18" ht="12">
      <c r="A33" s="979" t="s">
        <v>351</v>
      </c>
      <c r="B33" s="980"/>
      <c r="C33" s="100">
        <f aca="true" t="shared" si="19" ref="C33:I33">C19+C20</f>
        <v>1291449</v>
      </c>
      <c r="D33" s="102">
        <f t="shared" si="19"/>
        <v>0</v>
      </c>
      <c r="E33" s="102">
        <f t="shared" si="19"/>
        <v>507111</v>
      </c>
      <c r="F33" s="103">
        <f t="shared" si="19"/>
        <v>1</v>
      </c>
      <c r="G33" s="102">
        <f t="shared" si="19"/>
        <v>49089.19999999997</v>
      </c>
      <c r="H33" s="738">
        <f t="shared" si="19"/>
        <v>1340538.1999999997</v>
      </c>
      <c r="I33" s="102">
        <f t="shared" si="19"/>
        <v>43100</v>
      </c>
      <c r="J33" s="102">
        <f aca="true" t="shared" si="20" ref="J33:P33">J19+J20</f>
        <v>0</v>
      </c>
      <c r="K33" s="102">
        <f t="shared" si="20"/>
        <v>20732.82</v>
      </c>
      <c r="L33" s="694">
        <f t="shared" si="20"/>
        <v>63832.820000000014</v>
      </c>
      <c r="M33" s="104">
        <f t="shared" si="20"/>
        <v>43100</v>
      </c>
      <c r="N33" s="84">
        <f t="shared" si="12"/>
        <v>20732.820000000014</v>
      </c>
      <c r="O33" s="102">
        <f t="shared" si="20"/>
        <v>-69822.01999999996</v>
      </c>
      <c r="P33" s="717">
        <f t="shared" si="20"/>
        <v>437288.98</v>
      </c>
      <c r="Q33" s="717">
        <f>Q19+Q20</f>
        <v>437289</v>
      </c>
      <c r="R33" s="131"/>
    </row>
    <row r="34" spans="1:18" ht="12">
      <c r="A34" s="979" t="s">
        <v>349</v>
      </c>
      <c r="B34" s="980"/>
      <c r="C34" s="114"/>
      <c r="D34" s="81"/>
      <c r="E34" s="81"/>
      <c r="F34" s="83"/>
      <c r="G34" s="81"/>
      <c r="H34" s="735"/>
      <c r="I34" s="82">
        <f>'rozpis pro rozpocet'!H71</f>
        <v>147751</v>
      </c>
      <c r="J34" s="81"/>
      <c r="K34" s="81"/>
      <c r="L34" s="691">
        <f>I34+K34</f>
        <v>147751</v>
      </c>
      <c r="M34" s="84">
        <f>L34</f>
        <v>147751</v>
      </c>
      <c r="N34" s="84">
        <f t="shared" si="12"/>
        <v>0</v>
      </c>
      <c r="O34" s="82">
        <f>G34+K34</f>
        <v>0</v>
      </c>
      <c r="P34" s="714">
        <f>O34+E34</f>
        <v>0</v>
      </c>
      <c r="Q34" s="86"/>
      <c r="R34" s="131"/>
    </row>
    <row r="35" spans="1:18" ht="12.75" thickBot="1">
      <c r="A35" s="979" t="s">
        <v>33</v>
      </c>
      <c r="B35" s="980"/>
      <c r="C35" s="115"/>
      <c r="D35" s="88"/>
      <c r="E35" s="88"/>
      <c r="F35" s="90"/>
      <c r="G35" s="88"/>
      <c r="H35" s="736"/>
      <c r="I35" s="89">
        <f>'rozpis pro rozpocet'!I69</f>
        <v>17500</v>
      </c>
      <c r="J35" s="88"/>
      <c r="K35" s="88"/>
      <c r="L35" s="692">
        <f>I35</f>
        <v>17500</v>
      </c>
      <c r="M35" s="91">
        <f>L35</f>
        <v>17500</v>
      </c>
      <c r="N35" s="84">
        <f t="shared" si="12"/>
        <v>0</v>
      </c>
      <c r="O35" s="89"/>
      <c r="P35" s="715"/>
      <c r="Q35" s="93"/>
      <c r="R35" s="131"/>
    </row>
    <row r="36" spans="1:18" ht="12.75" thickBot="1">
      <c r="A36" s="116" t="s">
        <v>341</v>
      </c>
      <c r="B36" s="981"/>
      <c r="C36" s="108">
        <f aca="true" t="shared" si="21" ref="C36:H36">C19+C32+C34</f>
        <v>1486979</v>
      </c>
      <c r="D36" s="109">
        <f t="shared" si="21"/>
        <v>-49089.19999999997</v>
      </c>
      <c r="E36" s="109">
        <f t="shared" si="21"/>
        <v>531737</v>
      </c>
      <c r="F36" s="110">
        <f t="shared" si="21"/>
        <v>1</v>
      </c>
      <c r="G36" s="109">
        <f t="shared" si="21"/>
        <v>49089.19999999997</v>
      </c>
      <c r="H36" s="739">
        <f t="shared" si="21"/>
        <v>1486978.9999999998</v>
      </c>
      <c r="I36" s="109">
        <f>I19+I32+I34+I35</f>
        <v>346303</v>
      </c>
      <c r="J36" s="109">
        <f>J19+J32+J34+J35</f>
        <v>-20732.82</v>
      </c>
      <c r="K36" s="109">
        <f aca="true" t="shared" si="22" ref="K36:P36">K19+K32+K34+K35</f>
        <v>20732.82</v>
      </c>
      <c r="L36" s="695">
        <f>L19+L32+L34+L35</f>
        <v>346303</v>
      </c>
      <c r="M36" s="111">
        <f t="shared" si="22"/>
        <v>325570.18</v>
      </c>
      <c r="N36" s="111">
        <f t="shared" si="22"/>
        <v>20732.82</v>
      </c>
      <c r="O36" s="109">
        <f t="shared" si="22"/>
        <v>-7.275957614183426E-12</v>
      </c>
      <c r="P36" s="718">
        <f t="shared" si="22"/>
        <v>531737</v>
      </c>
      <c r="Q36" s="112">
        <f>Q19+Q32+Q34+Q35</f>
        <v>531737</v>
      </c>
      <c r="R36" s="131"/>
    </row>
    <row r="37" spans="2:18" ht="12.75" thickBot="1">
      <c r="B37" s="117"/>
      <c r="C37" s="1168">
        <f>'rozpis pro rozpocet'!G72</f>
        <v>1486979</v>
      </c>
      <c r="D37" s="118"/>
      <c r="E37" s="1169">
        <f>'rozpis pro rozpocet'!E72</f>
        <v>531737</v>
      </c>
      <c r="F37" s="118"/>
      <c r="G37" s="118"/>
      <c r="H37" s="118"/>
      <c r="I37" s="1169">
        <f>'rozpis pro rozpocet'!H72+I35</f>
        <v>346303</v>
      </c>
      <c r="J37" s="118"/>
      <c r="K37" s="119"/>
      <c r="L37" s="119"/>
      <c r="M37" s="119"/>
      <c r="N37" s="1169">
        <f>'příl.1 - cp 2015'!K160</f>
        <v>20732.82</v>
      </c>
      <c r="O37" s="120">
        <f>G37+K37</f>
        <v>0</v>
      </c>
      <c r="P37" s="121">
        <f>O37+E37</f>
        <v>531737</v>
      </c>
      <c r="Q37" s="121"/>
      <c r="R37" s="131"/>
    </row>
    <row r="38" spans="5:17" ht="12">
      <c r="E38" s="131"/>
      <c r="I38" s="1167">
        <f>C37+I37</f>
        <v>1833282</v>
      </c>
      <c r="Q38" s="131"/>
    </row>
    <row r="39" spans="1:17" ht="12">
      <c r="A39" s="1084" t="s">
        <v>396</v>
      </c>
      <c r="Q39" s="131"/>
    </row>
    <row r="41" ht="12">
      <c r="H41" s="811"/>
    </row>
    <row r="42" ht="12">
      <c r="H42" s="811"/>
    </row>
  </sheetData>
  <sheetProtection/>
  <mergeCells count="7">
    <mergeCell ref="A32:B32"/>
    <mergeCell ref="D6:D7"/>
    <mergeCell ref="G6:G7"/>
    <mergeCell ref="J6:J7"/>
    <mergeCell ref="K6:K7"/>
    <mergeCell ref="M6:N7"/>
    <mergeCell ref="A19:B19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0" r:id="rId1"/>
  <headerFooter differentFirst="1" scaleWithDoc="0" alignWithMargins="0">
    <oddFooter>&amp;C&amp;9 7</oddFooter>
    <firstFooter>&amp;C&amp;N+7</first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L63"/>
  <sheetViews>
    <sheetView showGridLines="0" zoomScalePageLayoutView="0" workbookViewId="0" topLeftCell="A4">
      <selection activeCell="K31" sqref="K31"/>
    </sheetView>
  </sheetViews>
  <sheetFormatPr defaultColWidth="8.75390625" defaultRowHeight="12.75"/>
  <cols>
    <col min="1" max="1" width="8.75390625" style="0" customWidth="1"/>
    <col min="2" max="2" width="9.75390625" style="0" customWidth="1"/>
    <col min="3" max="3" width="10.00390625" style="0" customWidth="1"/>
    <col min="4" max="4" width="9.625" style="0" customWidth="1"/>
    <col min="5" max="5" width="11.25390625" style="0" customWidth="1"/>
    <col min="6" max="6" width="10.00390625" style="0" customWidth="1"/>
    <col min="7" max="7" width="10.125" style="0" customWidth="1"/>
    <col min="8" max="8" width="11.625" style="0" customWidth="1"/>
    <col min="9" max="9" width="12.00390625" style="0" customWidth="1"/>
    <col min="10" max="10" width="11.00390625" style="0" customWidth="1"/>
    <col min="11" max="11" width="10.375" style="0" customWidth="1"/>
  </cols>
  <sheetData>
    <row r="2" spans="1:12" ht="15.75">
      <c r="A2" s="125" t="s">
        <v>366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1" ht="12.7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ht="13.5" thickBo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11" ht="15">
      <c r="A5" s="126"/>
      <c r="B5" s="1616" t="s">
        <v>557</v>
      </c>
      <c r="C5" s="1617"/>
      <c r="D5" s="1617"/>
      <c r="E5" s="1617"/>
      <c r="F5" s="1617"/>
      <c r="G5" s="1617"/>
      <c r="H5" s="1617"/>
      <c r="I5" s="1617"/>
      <c r="J5" s="1617"/>
      <c r="K5" s="1618"/>
    </row>
    <row r="6" spans="1:11" ht="36">
      <c r="A6" s="38"/>
      <c r="B6" s="1045" t="s">
        <v>298</v>
      </c>
      <c r="C6" s="1045" t="s">
        <v>299</v>
      </c>
      <c r="D6" s="1045" t="s">
        <v>300</v>
      </c>
      <c r="E6" s="1045" t="s">
        <v>301</v>
      </c>
      <c r="F6" s="1045" t="s">
        <v>302</v>
      </c>
      <c r="G6" s="1045" t="s">
        <v>303</v>
      </c>
      <c r="H6" s="1045" t="s">
        <v>304</v>
      </c>
      <c r="I6" s="1045" t="s">
        <v>305</v>
      </c>
      <c r="J6" s="1045" t="s">
        <v>306</v>
      </c>
      <c r="K6" s="1046" t="s">
        <v>307</v>
      </c>
    </row>
    <row r="7" spans="1:11" ht="12.75">
      <c r="A7" s="39" t="s">
        <v>7</v>
      </c>
      <c r="B7" s="20">
        <v>757251.1320400005</v>
      </c>
      <c r="C7" s="20">
        <v>42941.84486999999</v>
      </c>
      <c r="D7" s="20">
        <v>27738.42265</v>
      </c>
      <c r="E7" s="20">
        <v>20673.98979</v>
      </c>
      <c r="F7" s="20"/>
      <c r="G7" s="20"/>
      <c r="H7" s="20"/>
      <c r="I7" s="20">
        <v>665896.8747300005</v>
      </c>
      <c r="J7" s="20">
        <v>141515.09813000011</v>
      </c>
      <c r="K7" s="1073">
        <f aca="true" t="shared" si="0" ref="K7:K28">J7/I7</f>
        <v>0.21251803920446372</v>
      </c>
    </row>
    <row r="8" spans="1:11" ht="12.75">
      <c r="A8" s="39" t="s">
        <v>8</v>
      </c>
      <c r="B8" s="20">
        <v>618886.1055399999</v>
      </c>
      <c r="C8" s="20">
        <v>13982.833190000003</v>
      </c>
      <c r="D8" s="20">
        <v>5083.72722</v>
      </c>
      <c r="E8" s="20">
        <v>16699.04043</v>
      </c>
      <c r="F8" s="20"/>
      <c r="G8" s="20"/>
      <c r="H8" s="20"/>
      <c r="I8" s="20">
        <v>583120.5047000003</v>
      </c>
      <c r="J8" s="20">
        <v>126001.03289999999</v>
      </c>
      <c r="K8" s="1073">
        <f t="shared" si="0"/>
        <v>0.21608060749780034</v>
      </c>
    </row>
    <row r="9" spans="1:11" ht="12.75">
      <c r="A9" s="39" t="s">
        <v>9</v>
      </c>
      <c r="B9" s="20">
        <v>211803.33041000014</v>
      </c>
      <c r="C9" s="20">
        <v>7464.7503799999995</v>
      </c>
      <c r="D9" s="20">
        <v>1808.0799999999997</v>
      </c>
      <c r="E9" s="20">
        <v>2188.17695</v>
      </c>
      <c r="F9" s="20"/>
      <c r="G9" s="20"/>
      <c r="H9" s="20"/>
      <c r="I9" s="20">
        <v>200342.3230800001</v>
      </c>
      <c r="J9" s="20">
        <v>38960.397690000005</v>
      </c>
      <c r="K9" s="1073">
        <f t="shared" si="0"/>
        <v>0.1944691320886923</v>
      </c>
    </row>
    <row r="10" spans="1:11" ht="12.75">
      <c r="A10" s="39" t="s">
        <v>10</v>
      </c>
      <c r="B10" s="20">
        <v>291657.40934</v>
      </c>
      <c r="C10" s="20">
        <v>10581.99038</v>
      </c>
      <c r="D10" s="20">
        <v>4321.589180000001</v>
      </c>
      <c r="E10" s="20">
        <v>264</v>
      </c>
      <c r="F10" s="20"/>
      <c r="G10" s="20"/>
      <c r="H10" s="20"/>
      <c r="I10" s="20">
        <v>276489.82978000003</v>
      </c>
      <c r="J10" s="20">
        <v>72056.57469000001</v>
      </c>
      <c r="K10" s="1073">
        <f t="shared" si="0"/>
        <v>0.2606120259372095</v>
      </c>
    </row>
    <row r="11" spans="1:11" ht="12.75">
      <c r="A11" s="39" t="s">
        <v>11</v>
      </c>
      <c r="B11" s="20">
        <v>1138631.7248300002</v>
      </c>
      <c r="C11" s="20">
        <v>61028.20412000001</v>
      </c>
      <c r="D11" s="20">
        <v>114136.05157999998</v>
      </c>
      <c r="E11" s="20">
        <v>58425.45483</v>
      </c>
      <c r="F11" s="20"/>
      <c r="G11" s="20"/>
      <c r="H11" s="20"/>
      <c r="I11" s="20">
        <v>905042.0142999998</v>
      </c>
      <c r="J11" s="20">
        <v>475797.4152500002</v>
      </c>
      <c r="K11" s="1073">
        <f t="shared" si="0"/>
        <v>0.5257185939793119</v>
      </c>
    </row>
    <row r="12" spans="1:11" ht="12.75">
      <c r="A12" s="39" t="s">
        <v>12</v>
      </c>
      <c r="B12" s="20">
        <v>306407.06458999973</v>
      </c>
      <c r="C12" s="20">
        <v>5519.31962</v>
      </c>
      <c r="D12" s="20">
        <v>18040.64028</v>
      </c>
      <c r="E12" s="20">
        <v>11671.820000000002</v>
      </c>
      <c r="F12" s="20"/>
      <c r="G12" s="20"/>
      <c r="H12" s="20"/>
      <c r="I12" s="20">
        <v>271175.28468999994</v>
      </c>
      <c r="J12" s="20">
        <v>90016.5256800001</v>
      </c>
      <c r="K12" s="1073">
        <f t="shared" si="0"/>
        <v>0.33194959408968444</v>
      </c>
    </row>
    <row r="13" spans="1:11" ht="12.75">
      <c r="A13" s="39" t="s">
        <v>13</v>
      </c>
      <c r="B13" s="20">
        <v>309821.4383799998</v>
      </c>
      <c r="C13" s="20">
        <v>12638.626160000002</v>
      </c>
      <c r="D13" s="20">
        <v>7175.501810000001</v>
      </c>
      <c r="E13" s="20">
        <v>1049.092</v>
      </c>
      <c r="F13" s="20"/>
      <c r="G13" s="20"/>
      <c r="H13" s="20"/>
      <c r="I13" s="20">
        <v>288958.21840999974</v>
      </c>
      <c r="J13" s="20">
        <v>60731.53648000001</v>
      </c>
      <c r="K13" s="1073">
        <f t="shared" si="0"/>
        <v>0.21017411034085445</v>
      </c>
    </row>
    <row r="14" spans="1:11" ht="12.75">
      <c r="A14" s="39" t="s">
        <v>14</v>
      </c>
      <c r="B14" s="20">
        <v>138543.55656999987</v>
      </c>
      <c r="C14" s="20">
        <v>7467.034970000001</v>
      </c>
      <c r="D14" s="20">
        <v>3276.017</v>
      </c>
      <c r="E14" s="20">
        <v>-114.10838000000001</v>
      </c>
      <c r="F14" s="20"/>
      <c r="G14" s="20"/>
      <c r="H14" s="20"/>
      <c r="I14" s="20">
        <v>127914.61297999987</v>
      </c>
      <c r="J14" s="20">
        <v>6428.32589</v>
      </c>
      <c r="K14" s="1073">
        <f t="shared" si="0"/>
        <v>0.05025482030739602</v>
      </c>
    </row>
    <row r="15" spans="1:11" ht="12.75">
      <c r="A15" s="39" t="s">
        <v>15</v>
      </c>
      <c r="B15" s="20">
        <v>209961.1492699999</v>
      </c>
      <c r="C15" s="20">
        <v>8764.7062</v>
      </c>
      <c r="D15" s="20">
        <v>6560.03413</v>
      </c>
      <c r="E15" s="20">
        <v>12275.557799999999</v>
      </c>
      <c r="F15" s="20"/>
      <c r="G15" s="20"/>
      <c r="H15" s="20"/>
      <c r="I15" s="20">
        <v>182360.85113999987</v>
      </c>
      <c r="J15" s="20">
        <v>17735.371180000002</v>
      </c>
      <c r="K15" s="1073">
        <f t="shared" si="0"/>
        <v>0.09725426849639135</v>
      </c>
    </row>
    <row r="16" spans="1:11" ht="12.75">
      <c r="A16" s="39" t="s">
        <v>236</v>
      </c>
      <c r="B16" s="20">
        <v>721278.4652099997</v>
      </c>
      <c r="C16" s="20">
        <v>47154.45469</v>
      </c>
      <c r="D16" s="20">
        <v>160439.50894</v>
      </c>
      <c r="E16" s="20">
        <v>13843.52701</v>
      </c>
      <c r="F16" s="20"/>
      <c r="G16" s="20"/>
      <c r="H16" s="20"/>
      <c r="I16" s="20">
        <v>499840.9745699998</v>
      </c>
      <c r="J16" s="20">
        <v>356929.34366999974</v>
      </c>
      <c r="K16" s="1073">
        <f t="shared" si="0"/>
        <v>0.7140858029437398</v>
      </c>
    </row>
    <row r="17" spans="1:11" ht="12.75">
      <c r="A17" s="40" t="s">
        <v>308</v>
      </c>
      <c r="B17" s="22">
        <v>132333.75420999998</v>
      </c>
      <c r="C17" s="22">
        <v>5.09016</v>
      </c>
      <c r="D17" s="22">
        <v>5161.25274</v>
      </c>
      <c r="E17" s="22">
        <v>90521.69286000001</v>
      </c>
      <c r="F17" s="22"/>
      <c r="G17" s="22"/>
      <c r="H17" s="22"/>
      <c r="I17" s="23">
        <v>36645.71844999999</v>
      </c>
      <c r="J17" s="23">
        <v>28592.297110000007</v>
      </c>
      <c r="K17" s="1074">
        <f t="shared" si="0"/>
        <v>0.7802356815302119</v>
      </c>
    </row>
    <row r="18" spans="1:11" ht="12.75">
      <c r="A18" s="40" t="s">
        <v>71</v>
      </c>
      <c r="B18" s="22">
        <v>216378.10815999997</v>
      </c>
      <c r="C18" s="22">
        <v>0</v>
      </c>
      <c r="D18" s="22">
        <v>4141.055</v>
      </c>
      <c r="E18" s="22">
        <v>0</v>
      </c>
      <c r="F18" s="22"/>
      <c r="G18" s="22"/>
      <c r="H18" s="22"/>
      <c r="I18" s="23">
        <v>212237.05315999998</v>
      </c>
      <c r="J18" s="23">
        <v>0</v>
      </c>
      <c r="K18" s="1074">
        <f t="shared" si="0"/>
        <v>0</v>
      </c>
    </row>
    <row r="19" spans="1:11" ht="12.75">
      <c r="A19" s="40" t="s">
        <v>244</v>
      </c>
      <c r="B19" s="22">
        <v>140683.37912000003</v>
      </c>
      <c r="C19" s="22">
        <v>2469.76606</v>
      </c>
      <c r="D19" s="22">
        <v>121540.35204999999</v>
      </c>
      <c r="E19" s="22">
        <v>0</v>
      </c>
      <c r="F19" s="22"/>
      <c r="G19" s="22"/>
      <c r="H19" s="22"/>
      <c r="I19" s="23">
        <v>16673.26101000001</v>
      </c>
      <c r="J19" s="23">
        <v>0</v>
      </c>
      <c r="K19" s="1074">
        <f t="shared" si="0"/>
        <v>0</v>
      </c>
    </row>
    <row r="20" spans="1:11" ht="12.75">
      <c r="A20" s="40" t="s">
        <v>83</v>
      </c>
      <c r="B20" s="22">
        <v>17446.561709999994</v>
      </c>
      <c r="C20" s="22">
        <v>3149.00288</v>
      </c>
      <c r="D20" s="22">
        <v>2537.1731999999997</v>
      </c>
      <c r="E20" s="22">
        <v>1320.3640500000001</v>
      </c>
      <c r="F20" s="22"/>
      <c r="G20" s="22"/>
      <c r="H20" s="22"/>
      <c r="I20" s="23">
        <v>10440.02157999999</v>
      </c>
      <c r="J20" s="23">
        <v>0</v>
      </c>
      <c r="K20" s="1074">
        <f t="shared" si="0"/>
        <v>0</v>
      </c>
    </row>
    <row r="21" spans="1:11" ht="12.75">
      <c r="A21" s="40" t="s">
        <v>82</v>
      </c>
      <c r="B21" s="22">
        <v>51166.381039999986</v>
      </c>
      <c r="C21" s="22">
        <v>2716.54029</v>
      </c>
      <c r="D21" s="22">
        <v>775.6134999999999</v>
      </c>
      <c r="E21" s="22">
        <v>1677.13785</v>
      </c>
      <c r="F21" s="22"/>
      <c r="G21" s="22"/>
      <c r="H21" s="22"/>
      <c r="I21" s="23">
        <v>45997.0894</v>
      </c>
      <c r="J21" s="23">
        <v>97</v>
      </c>
      <c r="K21" s="1074">
        <f t="shared" si="0"/>
        <v>0.002108829086042127</v>
      </c>
    </row>
    <row r="22" spans="1:11" ht="12.75">
      <c r="A22" s="40" t="s">
        <v>106</v>
      </c>
      <c r="B22" s="22">
        <v>114953.90716000005</v>
      </c>
      <c r="C22" s="22">
        <v>26785.57705</v>
      </c>
      <c r="D22" s="22">
        <v>206.73700000000005</v>
      </c>
      <c r="E22" s="22">
        <v>8003.7497</v>
      </c>
      <c r="F22" s="22"/>
      <c r="G22" s="22"/>
      <c r="H22" s="22"/>
      <c r="I22" s="23">
        <v>79957.84341</v>
      </c>
      <c r="J22" s="23">
        <v>3367.74364</v>
      </c>
      <c r="K22" s="1074">
        <f t="shared" si="0"/>
        <v>0.04211899041262549</v>
      </c>
    </row>
    <row r="23" spans="1:11" ht="12.75">
      <c r="A23" s="40" t="s">
        <v>135</v>
      </c>
      <c r="B23" s="22">
        <v>20288.583240000004</v>
      </c>
      <c r="C23" s="22">
        <v>528.88937</v>
      </c>
      <c r="D23" s="22">
        <v>302.495</v>
      </c>
      <c r="E23" s="22">
        <v>0</v>
      </c>
      <c r="F23" s="22"/>
      <c r="G23" s="22"/>
      <c r="H23" s="22"/>
      <c r="I23" s="23">
        <v>19457.198870000004</v>
      </c>
      <c r="J23" s="23">
        <v>16131.12273</v>
      </c>
      <c r="K23" s="1074">
        <f t="shared" si="0"/>
        <v>0.8290567844722859</v>
      </c>
    </row>
    <row r="24" spans="1:11" ht="12.75">
      <c r="A24" s="41" t="s">
        <v>17</v>
      </c>
      <c r="B24" s="21">
        <v>318575.93389999995</v>
      </c>
      <c r="C24" s="21">
        <v>7033.201419999999</v>
      </c>
      <c r="D24" s="21">
        <v>93768.30204</v>
      </c>
      <c r="E24" s="21">
        <v>1516.8045200000001</v>
      </c>
      <c r="F24" s="21"/>
      <c r="G24" s="21"/>
      <c r="H24" s="21"/>
      <c r="I24" s="23">
        <v>216257.62592000014</v>
      </c>
      <c r="J24" s="23">
        <v>74503.74746000001</v>
      </c>
      <c r="K24" s="1075">
        <f t="shared" si="0"/>
        <v>0.34451385075114566</v>
      </c>
    </row>
    <row r="25" spans="1:11" ht="12.75">
      <c r="A25" s="40" t="s">
        <v>24</v>
      </c>
      <c r="B25" s="22">
        <v>61440.29264999996</v>
      </c>
      <c r="C25" s="22">
        <v>0</v>
      </c>
      <c r="D25" s="22">
        <v>97.608</v>
      </c>
      <c r="E25" s="22">
        <v>6527.611129999999</v>
      </c>
      <c r="F25" s="22"/>
      <c r="G25" s="22"/>
      <c r="H25" s="22"/>
      <c r="I25" s="23">
        <v>54815.073519999976</v>
      </c>
      <c r="J25" s="23">
        <v>406</v>
      </c>
      <c r="K25" s="1074">
        <f t="shared" si="0"/>
        <v>0.007406721799832408</v>
      </c>
    </row>
    <row r="26" spans="1:11" ht="12.75">
      <c r="A26" s="40" t="s">
        <v>25</v>
      </c>
      <c r="B26" s="22">
        <v>279883.19853000017</v>
      </c>
      <c r="C26" s="22">
        <v>85153.70311999999</v>
      </c>
      <c r="D26" s="22">
        <v>0</v>
      </c>
      <c r="E26" s="22">
        <v>38118.02745</v>
      </c>
      <c r="F26" s="22"/>
      <c r="G26" s="22"/>
      <c r="H26" s="22"/>
      <c r="I26" s="23">
        <v>156611.46796000027</v>
      </c>
      <c r="J26" s="23">
        <v>0</v>
      </c>
      <c r="K26" s="1074">
        <f t="shared" si="0"/>
        <v>0</v>
      </c>
    </row>
    <row r="27" spans="1:11" ht="12.75">
      <c r="A27" s="41" t="s">
        <v>18</v>
      </c>
      <c r="B27" s="21">
        <v>410013.66603999934</v>
      </c>
      <c r="C27" s="21">
        <v>47196.57089999999</v>
      </c>
      <c r="D27" s="21">
        <v>7063.99002</v>
      </c>
      <c r="E27" s="21">
        <v>0</v>
      </c>
      <c r="F27" s="21"/>
      <c r="G27" s="21"/>
      <c r="H27" s="21"/>
      <c r="I27" s="23">
        <v>355753.1051199994</v>
      </c>
      <c r="J27" s="23">
        <v>24341.894290000007</v>
      </c>
      <c r="K27" s="1075">
        <f t="shared" si="0"/>
        <v>0.06842356100248013</v>
      </c>
    </row>
    <row r="28" spans="1:11" ht="13.5" thickBot="1">
      <c r="A28" s="42" t="s">
        <v>73</v>
      </c>
      <c r="B28" s="43">
        <f aca="true" t="shared" si="1" ref="B28:J28">SUM(B7:B27)</f>
        <v>6467405.14194</v>
      </c>
      <c r="C28" s="43">
        <f t="shared" si="1"/>
        <v>392582.10582999996</v>
      </c>
      <c r="D28" s="43">
        <f t="shared" si="1"/>
        <v>584174.1513400001</v>
      </c>
      <c r="E28" s="43">
        <f t="shared" si="1"/>
        <v>284661.93799000006</v>
      </c>
      <c r="F28" s="43">
        <f t="shared" si="1"/>
        <v>0</v>
      </c>
      <c r="G28" s="43">
        <f t="shared" si="1"/>
        <v>0</v>
      </c>
      <c r="H28" s="43">
        <f t="shared" si="1"/>
        <v>0</v>
      </c>
      <c r="I28" s="43">
        <f t="shared" si="1"/>
        <v>5205986.94678</v>
      </c>
      <c r="J28" s="43">
        <f t="shared" si="1"/>
        <v>1533611.42679</v>
      </c>
      <c r="K28" s="1076">
        <f t="shared" si="0"/>
        <v>0.29458610681660796</v>
      </c>
    </row>
    <row r="29" spans="1:11" ht="12.75">
      <c r="A29" s="24"/>
      <c r="B29" s="49"/>
      <c r="C29" s="49"/>
      <c r="D29" s="49"/>
      <c r="E29" s="49"/>
      <c r="F29" s="49"/>
      <c r="G29" s="49"/>
      <c r="H29" s="49"/>
      <c r="I29" s="49"/>
      <c r="J29" s="49"/>
      <c r="K29" s="49"/>
    </row>
    <row r="30" spans="1:11" ht="15.75">
      <c r="A30" s="44" t="s">
        <v>359</v>
      </c>
      <c r="B30" s="127"/>
      <c r="C30" s="128"/>
      <c r="D30" s="128"/>
      <c r="E30" s="128"/>
      <c r="F30" s="128"/>
      <c r="G30" s="128"/>
      <c r="H30" s="128"/>
      <c r="I30" s="792">
        <f>SUM(I7:I16)</f>
        <v>4001141.4883799995</v>
      </c>
      <c r="J30" s="792">
        <f>SUM(J7:J16)</f>
        <v>1386171.62156</v>
      </c>
      <c r="K30" s="1079">
        <f>J30/I30</f>
        <v>0.3464440399285254</v>
      </c>
    </row>
    <row r="31" spans="1:11" ht="1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1078">
        <f>FLOOR(K30,0.01)</f>
        <v>0.34</v>
      </c>
    </row>
    <row r="34" spans="1:9" ht="15.75">
      <c r="A34" s="125" t="s">
        <v>366</v>
      </c>
      <c r="B34" s="49"/>
      <c r="C34" s="49"/>
      <c r="D34" s="49"/>
      <c r="E34" s="49"/>
      <c r="F34" s="49"/>
      <c r="G34" s="49"/>
      <c r="H34" s="49"/>
      <c r="I34" s="49"/>
    </row>
    <row r="35" spans="1:11" ht="12.7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</row>
    <row r="36" spans="1:11" ht="13.5" thickBot="1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</row>
    <row r="37" spans="1:11" ht="15">
      <c r="A37" s="126"/>
      <c r="B37" s="1616" t="s">
        <v>429</v>
      </c>
      <c r="C37" s="1617"/>
      <c r="D37" s="1617"/>
      <c r="E37" s="1617"/>
      <c r="F37" s="1617"/>
      <c r="G37" s="1617"/>
      <c r="H37" s="1617"/>
      <c r="I37" s="1617"/>
      <c r="J37" s="1617"/>
      <c r="K37" s="1618"/>
    </row>
    <row r="38" spans="1:11" ht="36">
      <c r="A38" s="38"/>
      <c r="B38" s="1045" t="s">
        <v>298</v>
      </c>
      <c r="C38" s="1045" t="s">
        <v>299</v>
      </c>
      <c r="D38" s="1045" t="s">
        <v>300</v>
      </c>
      <c r="E38" s="1045" t="s">
        <v>301</v>
      </c>
      <c r="F38" s="1045" t="s">
        <v>302</v>
      </c>
      <c r="G38" s="1045" t="s">
        <v>303</v>
      </c>
      <c r="H38" s="1045" t="s">
        <v>304</v>
      </c>
      <c r="I38" s="1045" t="s">
        <v>305</v>
      </c>
      <c r="J38" s="1045" t="s">
        <v>306</v>
      </c>
      <c r="K38" s="1046" t="s">
        <v>307</v>
      </c>
    </row>
    <row r="39" spans="1:11" ht="12.75">
      <c r="A39" s="39" t="s">
        <v>7</v>
      </c>
      <c r="B39" s="20">
        <v>726858.2680299996</v>
      </c>
      <c r="C39" s="20">
        <v>27231.35166</v>
      </c>
      <c r="D39" s="20">
        <v>33154.9704</v>
      </c>
      <c r="E39" s="20">
        <v>23914.08582</v>
      </c>
      <c r="F39" s="20">
        <v>155460.70650999993</v>
      </c>
      <c r="G39" s="20">
        <v>1897.1523399999999</v>
      </c>
      <c r="H39" s="20">
        <v>7458.79031</v>
      </c>
      <c r="I39" s="20">
        <f aca="true" t="shared" si="2" ref="I39:I59">B39-C39-D39-E39</f>
        <v>642557.8601499995</v>
      </c>
      <c r="J39" s="20">
        <f aca="true" t="shared" si="3" ref="J39:J59">F39-G39-H39</f>
        <v>146104.76385999992</v>
      </c>
      <c r="K39" s="788">
        <f>J39/I39</f>
        <v>0.2273799340434386</v>
      </c>
    </row>
    <row r="40" spans="1:11" ht="12.75">
      <c r="A40" s="39" t="s">
        <v>8</v>
      </c>
      <c r="B40" s="20">
        <v>586039.8627700002</v>
      </c>
      <c r="C40" s="20">
        <v>10277.045740000001</v>
      </c>
      <c r="D40" s="20">
        <v>5120.0345</v>
      </c>
      <c r="E40" s="20">
        <v>6799.31897</v>
      </c>
      <c r="F40" s="20">
        <v>123126.02377000003</v>
      </c>
      <c r="G40" s="20">
        <v>626.62959</v>
      </c>
      <c r="H40" s="20">
        <v>127.8</v>
      </c>
      <c r="I40" s="20">
        <f t="shared" si="2"/>
        <v>563843.4635600003</v>
      </c>
      <c r="J40" s="20">
        <f t="shared" si="3"/>
        <v>122371.59418000003</v>
      </c>
      <c r="K40" s="788">
        <f aca="true" t="shared" si="4" ref="K40:K60">J40/I40</f>
        <v>0.21703114798452938</v>
      </c>
    </row>
    <row r="41" spans="1:11" ht="12.75">
      <c r="A41" s="39" t="s">
        <v>9</v>
      </c>
      <c r="B41" s="20">
        <v>219964.67446999994</v>
      </c>
      <c r="C41" s="20">
        <v>12671.095459999999</v>
      </c>
      <c r="D41" s="20">
        <v>1807.3274500000002</v>
      </c>
      <c r="E41" s="20">
        <v>2927.0260400000006</v>
      </c>
      <c r="F41" s="20">
        <v>43363.05044</v>
      </c>
      <c r="G41" s="20">
        <v>1044.94791</v>
      </c>
      <c r="H41" s="20">
        <v>0</v>
      </c>
      <c r="I41" s="20">
        <f t="shared" si="2"/>
        <v>202559.22551999992</v>
      </c>
      <c r="J41" s="20">
        <f t="shared" si="3"/>
        <v>42318.10253</v>
      </c>
      <c r="K41" s="788">
        <f t="shared" si="4"/>
        <v>0.20891718173469057</v>
      </c>
    </row>
    <row r="42" spans="1:11" ht="12.75">
      <c r="A42" s="39" t="s">
        <v>10</v>
      </c>
      <c r="B42" s="20">
        <v>300177.23599999974</v>
      </c>
      <c r="C42" s="20">
        <v>5422.46881</v>
      </c>
      <c r="D42" s="20">
        <v>4765.3521</v>
      </c>
      <c r="E42" s="20">
        <v>51.28485</v>
      </c>
      <c r="F42" s="20">
        <v>77386.20959999997</v>
      </c>
      <c r="G42" s="20">
        <v>3946.5440700000004</v>
      </c>
      <c r="H42" s="20">
        <v>29.6</v>
      </c>
      <c r="I42" s="20">
        <f t="shared" si="2"/>
        <v>289938.13023999974</v>
      </c>
      <c r="J42" s="20">
        <f t="shared" si="3"/>
        <v>73410.06552999996</v>
      </c>
      <c r="K42" s="788">
        <f t="shared" si="4"/>
        <v>0.2531921740311766</v>
      </c>
    </row>
    <row r="43" spans="1:11" ht="12.75">
      <c r="A43" s="39" t="s">
        <v>11</v>
      </c>
      <c r="B43" s="20">
        <v>1160445.9376200025</v>
      </c>
      <c r="C43" s="20">
        <v>75157.66363</v>
      </c>
      <c r="D43" s="20">
        <v>89999.53929999999</v>
      </c>
      <c r="E43" s="20">
        <v>54306.19085</v>
      </c>
      <c r="F43" s="20">
        <v>549401.2072299996</v>
      </c>
      <c r="G43" s="20">
        <v>16646.38172</v>
      </c>
      <c r="H43" s="20">
        <v>36416.07109</v>
      </c>
      <c r="I43" s="20">
        <f t="shared" si="2"/>
        <v>940982.5438400025</v>
      </c>
      <c r="J43" s="20">
        <f t="shared" si="3"/>
        <v>496338.75441999966</v>
      </c>
      <c r="K43" s="788">
        <f t="shared" si="4"/>
        <v>0.5274686099855996</v>
      </c>
    </row>
    <row r="44" spans="1:11" ht="12.75">
      <c r="A44" s="39" t="s">
        <v>12</v>
      </c>
      <c r="B44" s="20">
        <v>306080.14407000004</v>
      </c>
      <c r="C44" s="20">
        <v>12001.08124</v>
      </c>
      <c r="D44" s="20">
        <v>9243.648840000002</v>
      </c>
      <c r="E44" s="20">
        <v>29862.40821</v>
      </c>
      <c r="F44" s="20">
        <v>111347.39724000002</v>
      </c>
      <c r="G44" s="20">
        <v>8481.941120000001</v>
      </c>
      <c r="H44" s="20">
        <v>28876.10571</v>
      </c>
      <c r="I44" s="20">
        <f t="shared" si="2"/>
        <v>254973.0057800001</v>
      </c>
      <c r="J44" s="20">
        <f t="shared" si="3"/>
        <v>73989.35041000001</v>
      </c>
      <c r="K44" s="788">
        <f t="shared" si="4"/>
        <v>0.2901850342300184</v>
      </c>
    </row>
    <row r="45" spans="1:11" ht="12.75">
      <c r="A45" s="39" t="s">
        <v>13</v>
      </c>
      <c r="B45" s="20">
        <v>303011.5965400002</v>
      </c>
      <c r="C45" s="20">
        <v>8872.70925</v>
      </c>
      <c r="D45" s="20">
        <v>4406.1148299999995</v>
      </c>
      <c r="E45" s="20">
        <v>0</v>
      </c>
      <c r="F45" s="20">
        <v>53910.57911</v>
      </c>
      <c r="G45" s="20">
        <v>308.96509000000003</v>
      </c>
      <c r="H45" s="20">
        <v>0</v>
      </c>
      <c r="I45" s="20">
        <f t="shared" si="2"/>
        <v>289732.7724600002</v>
      </c>
      <c r="J45" s="20">
        <f t="shared" si="3"/>
        <v>53601.61402</v>
      </c>
      <c r="K45" s="788">
        <f t="shared" si="4"/>
        <v>0.18500362787713326</v>
      </c>
    </row>
    <row r="46" spans="1:11" ht="12.75">
      <c r="A46" s="39" t="s">
        <v>14</v>
      </c>
      <c r="B46" s="20">
        <v>141643.76905000006</v>
      </c>
      <c r="C46" s="20">
        <v>4443.408</v>
      </c>
      <c r="D46" s="20">
        <v>3293.7450700000004</v>
      </c>
      <c r="E46" s="20">
        <v>1989.66205</v>
      </c>
      <c r="F46" s="20">
        <v>7702.15067</v>
      </c>
      <c r="G46" s="20">
        <v>80.175</v>
      </c>
      <c r="H46" s="20">
        <v>0</v>
      </c>
      <c r="I46" s="20">
        <f t="shared" si="2"/>
        <v>131916.95393000005</v>
      </c>
      <c r="J46" s="20">
        <f t="shared" si="3"/>
        <v>7621.97567</v>
      </c>
      <c r="K46" s="788">
        <f t="shared" si="4"/>
        <v>0.05777859056724808</v>
      </c>
    </row>
    <row r="47" spans="1:11" ht="12.75">
      <c r="A47" s="39" t="s">
        <v>15</v>
      </c>
      <c r="B47" s="20">
        <v>224901.04673000003</v>
      </c>
      <c r="C47" s="20">
        <v>9291.279660000002</v>
      </c>
      <c r="D47" s="20">
        <v>6511.6455</v>
      </c>
      <c r="E47" s="20">
        <v>11223.07693</v>
      </c>
      <c r="F47" s="20">
        <v>17386.85525</v>
      </c>
      <c r="G47" s="20">
        <v>727.1042600000001</v>
      </c>
      <c r="H47" s="20">
        <v>273</v>
      </c>
      <c r="I47" s="20">
        <f t="shared" si="2"/>
        <v>197875.04464</v>
      </c>
      <c r="J47" s="20">
        <f t="shared" si="3"/>
        <v>16386.75099</v>
      </c>
      <c r="K47" s="788">
        <f t="shared" si="4"/>
        <v>0.08281363129854453</v>
      </c>
    </row>
    <row r="48" spans="1:11" ht="12.75">
      <c r="A48" s="39" t="s">
        <v>236</v>
      </c>
      <c r="B48" s="20">
        <v>502182.97512000013</v>
      </c>
      <c r="C48" s="20">
        <v>17874.8358</v>
      </c>
      <c r="D48" s="20">
        <v>114154.81837999998</v>
      </c>
      <c r="E48" s="20">
        <v>16178.853180000002</v>
      </c>
      <c r="F48" s="20">
        <v>265204.84292000014</v>
      </c>
      <c r="G48" s="20">
        <v>15845.294640000004</v>
      </c>
      <c r="H48" s="20">
        <v>11502.93892</v>
      </c>
      <c r="I48" s="20">
        <f t="shared" si="2"/>
        <v>353974.46776000015</v>
      </c>
      <c r="J48" s="20">
        <f t="shared" si="3"/>
        <v>237856.60936000012</v>
      </c>
      <c r="K48" s="788">
        <f t="shared" si="4"/>
        <v>0.6719597909566472</v>
      </c>
    </row>
    <row r="49" spans="1:11" ht="12.75">
      <c r="A49" s="40" t="s">
        <v>308</v>
      </c>
      <c r="B49" s="22">
        <v>84371.81508000003</v>
      </c>
      <c r="C49" s="22">
        <v>0.31588</v>
      </c>
      <c r="D49" s="22">
        <v>3933.1039999999994</v>
      </c>
      <c r="E49" s="22">
        <v>53408.44313</v>
      </c>
      <c r="F49" s="22">
        <v>72226.82531</v>
      </c>
      <c r="G49" s="22">
        <v>0.31588</v>
      </c>
      <c r="H49" s="22">
        <v>53313.46821000001</v>
      </c>
      <c r="I49" s="23">
        <f t="shared" si="2"/>
        <v>27029.95207000003</v>
      </c>
      <c r="J49" s="23">
        <f t="shared" si="3"/>
        <v>18913.04122</v>
      </c>
      <c r="K49" s="789">
        <f t="shared" si="4"/>
        <v>0.6997067982592238</v>
      </c>
    </row>
    <row r="50" spans="1:11" ht="12.75">
      <c r="A50" s="40" t="s">
        <v>71</v>
      </c>
      <c r="B50" s="22">
        <v>219754.84020999982</v>
      </c>
      <c r="C50" s="22">
        <v>0</v>
      </c>
      <c r="D50" s="22">
        <v>4159.72</v>
      </c>
      <c r="E50" s="22">
        <v>0</v>
      </c>
      <c r="F50" s="22">
        <v>0</v>
      </c>
      <c r="G50" s="22">
        <v>0</v>
      </c>
      <c r="H50" s="22"/>
      <c r="I50" s="23">
        <f t="shared" si="2"/>
        <v>215595.12020999982</v>
      </c>
      <c r="J50" s="23">
        <f t="shared" si="3"/>
        <v>0</v>
      </c>
      <c r="K50" s="789">
        <f t="shared" si="4"/>
        <v>0</v>
      </c>
    </row>
    <row r="51" spans="1:11" ht="12.75">
      <c r="A51" s="40" t="s">
        <v>244</v>
      </c>
      <c r="B51" s="22">
        <v>127442.08016</v>
      </c>
      <c r="C51" s="22">
        <v>1260.42254</v>
      </c>
      <c r="D51" s="22">
        <v>113035.95405999999</v>
      </c>
      <c r="E51" s="22">
        <v>0</v>
      </c>
      <c r="F51" s="22">
        <v>0</v>
      </c>
      <c r="G51" s="22">
        <v>0</v>
      </c>
      <c r="H51" s="22"/>
      <c r="I51" s="23">
        <f t="shared" si="2"/>
        <v>13145.703560000009</v>
      </c>
      <c r="J51" s="23">
        <f t="shared" si="3"/>
        <v>0</v>
      </c>
      <c r="K51" s="789">
        <f t="shared" si="4"/>
        <v>0</v>
      </c>
    </row>
    <row r="52" spans="1:11" ht="12.75">
      <c r="A52" s="40" t="s">
        <v>83</v>
      </c>
      <c r="B52" s="22">
        <v>25894.453189999997</v>
      </c>
      <c r="C52" s="22">
        <v>4693.08324</v>
      </c>
      <c r="D52" s="22">
        <v>2643.565</v>
      </c>
      <c r="E52" s="22">
        <v>7892.52121</v>
      </c>
      <c r="F52" s="22">
        <v>0</v>
      </c>
      <c r="G52" s="22">
        <v>0</v>
      </c>
      <c r="H52" s="22"/>
      <c r="I52" s="23">
        <f t="shared" si="2"/>
        <v>10665.283739999999</v>
      </c>
      <c r="J52" s="23">
        <f t="shared" si="3"/>
        <v>0</v>
      </c>
      <c r="K52" s="789">
        <f t="shared" si="4"/>
        <v>0</v>
      </c>
    </row>
    <row r="53" spans="1:11" ht="12.75">
      <c r="A53" s="40" t="s">
        <v>82</v>
      </c>
      <c r="B53" s="22">
        <v>50533.250580000014</v>
      </c>
      <c r="C53" s="22">
        <v>706.06405</v>
      </c>
      <c r="D53" s="22">
        <v>605.76711</v>
      </c>
      <c r="E53" s="22">
        <v>4896.94202</v>
      </c>
      <c r="F53" s="22">
        <v>158</v>
      </c>
      <c r="G53" s="22">
        <v>0</v>
      </c>
      <c r="H53" s="22"/>
      <c r="I53" s="23">
        <f t="shared" si="2"/>
        <v>44324.47740000001</v>
      </c>
      <c r="J53" s="23">
        <f t="shared" si="3"/>
        <v>158</v>
      </c>
      <c r="K53" s="789">
        <f t="shared" si="4"/>
        <v>0.0035646218357895396</v>
      </c>
    </row>
    <row r="54" spans="1:11" ht="12.75">
      <c r="A54" s="40" t="s">
        <v>106</v>
      </c>
      <c r="B54" s="22">
        <v>116974.2306699999</v>
      </c>
      <c r="C54" s="22">
        <v>23184.532280000003</v>
      </c>
      <c r="D54" s="22">
        <v>159.86200000000002</v>
      </c>
      <c r="E54" s="22">
        <v>10554.15643</v>
      </c>
      <c r="F54" s="22">
        <v>3369.9068499999994</v>
      </c>
      <c r="G54" s="22">
        <v>1100.46696</v>
      </c>
      <c r="H54" s="22"/>
      <c r="I54" s="23">
        <f t="shared" si="2"/>
        <v>83075.6799599999</v>
      </c>
      <c r="J54" s="23">
        <f t="shared" si="3"/>
        <v>2269.4398899999997</v>
      </c>
      <c r="K54" s="789">
        <f t="shared" si="4"/>
        <v>0.027317740776755747</v>
      </c>
    </row>
    <row r="55" spans="1:11" ht="12.75">
      <c r="A55" s="40" t="s">
        <v>135</v>
      </c>
      <c r="B55" s="22">
        <v>13503.973100000001</v>
      </c>
      <c r="C55" s="22">
        <v>50.05457</v>
      </c>
      <c r="D55" s="22">
        <v>192.599</v>
      </c>
      <c r="E55" s="22">
        <v>0</v>
      </c>
      <c r="F55" s="22">
        <v>10933.588660000001</v>
      </c>
      <c r="G55" s="22">
        <v>0</v>
      </c>
      <c r="H55" s="22"/>
      <c r="I55" s="23">
        <f t="shared" si="2"/>
        <v>13261.31953</v>
      </c>
      <c r="J55" s="23">
        <f t="shared" si="3"/>
        <v>10933.588660000001</v>
      </c>
      <c r="K55" s="789">
        <f t="shared" si="4"/>
        <v>0.8244721526591555</v>
      </c>
    </row>
    <row r="56" spans="1:11" ht="12.75">
      <c r="A56" s="41" t="s">
        <v>17</v>
      </c>
      <c r="B56" s="21">
        <v>278814.7936699999</v>
      </c>
      <c r="C56" s="21">
        <v>2104.7011300000004</v>
      </c>
      <c r="D56" s="21">
        <v>72662.44758</v>
      </c>
      <c r="E56" s="21">
        <v>4721.85977</v>
      </c>
      <c r="F56" s="21">
        <v>71512.50314</v>
      </c>
      <c r="G56" s="21">
        <v>805.2522</v>
      </c>
      <c r="H56" s="21">
        <v>1012</v>
      </c>
      <c r="I56" s="23">
        <f t="shared" si="2"/>
        <v>199325.78518999994</v>
      </c>
      <c r="J56" s="23">
        <f t="shared" si="3"/>
        <v>69695.25094</v>
      </c>
      <c r="K56" s="790">
        <f t="shared" si="4"/>
        <v>0.3496549674873503</v>
      </c>
    </row>
    <row r="57" spans="1:11" ht="12.75">
      <c r="A57" s="40" t="s">
        <v>24</v>
      </c>
      <c r="B57" s="22">
        <v>59815.05832999997</v>
      </c>
      <c r="C57" s="22">
        <v>2550.3894699999996</v>
      </c>
      <c r="D57" s="22">
        <v>96.8685</v>
      </c>
      <c r="E57" s="22">
        <v>4144.33595</v>
      </c>
      <c r="F57" s="22">
        <v>158</v>
      </c>
      <c r="G57" s="22">
        <v>0</v>
      </c>
      <c r="H57" s="22"/>
      <c r="I57" s="23">
        <f t="shared" si="2"/>
        <v>53023.46440999997</v>
      </c>
      <c r="J57" s="23">
        <f t="shared" si="3"/>
        <v>158</v>
      </c>
      <c r="K57" s="789">
        <f t="shared" si="4"/>
        <v>0.00297981283867604</v>
      </c>
    </row>
    <row r="58" spans="1:11" ht="12.75">
      <c r="A58" s="40" t="s">
        <v>25</v>
      </c>
      <c r="B58" s="22">
        <v>275449.37864000007</v>
      </c>
      <c r="C58" s="22">
        <v>123854.96066</v>
      </c>
      <c r="D58" s="22">
        <v>0</v>
      </c>
      <c r="E58" s="22">
        <v>11811.546219999998</v>
      </c>
      <c r="F58" s="22">
        <v>0</v>
      </c>
      <c r="G58" s="22">
        <v>0</v>
      </c>
      <c r="H58" s="22"/>
      <c r="I58" s="23">
        <f t="shared" si="2"/>
        <v>139782.8717600001</v>
      </c>
      <c r="J58" s="23">
        <f t="shared" si="3"/>
        <v>0</v>
      </c>
      <c r="K58" s="789">
        <f t="shared" si="4"/>
        <v>0</v>
      </c>
    </row>
    <row r="59" spans="1:11" ht="12.75">
      <c r="A59" s="41" t="s">
        <v>18</v>
      </c>
      <c r="B59" s="21">
        <v>427713.53822999983</v>
      </c>
      <c r="C59" s="21">
        <v>85038.03877</v>
      </c>
      <c r="D59" s="21">
        <v>6708.7489000000005</v>
      </c>
      <c r="E59" s="21">
        <v>0</v>
      </c>
      <c r="F59" s="21">
        <v>19345.718950000002</v>
      </c>
      <c r="G59" s="21">
        <v>686.14169</v>
      </c>
      <c r="H59" s="21"/>
      <c r="I59" s="23">
        <f t="shared" si="2"/>
        <v>335966.75055999984</v>
      </c>
      <c r="J59" s="23">
        <f t="shared" si="3"/>
        <v>18659.577260000002</v>
      </c>
      <c r="K59" s="790">
        <f t="shared" si="4"/>
        <v>0.05553995217948692</v>
      </c>
    </row>
    <row r="60" spans="1:11" ht="13.5" thickBot="1">
      <c r="A60" s="42" t="s">
        <v>73</v>
      </c>
      <c r="B60" s="43">
        <f aca="true" t="shared" si="5" ref="B60:J60">SUM(B39:B59)</f>
        <v>6151572.922260002</v>
      </c>
      <c r="C60" s="43">
        <f t="shared" si="5"/>
        <v>426685.50184</v>
      </c>
      <c r="D60" s="43">
        <f t="shared" si="5"/>
        <v>476655.83251999994</v>
      </c>
      <c r="E60" s="43">
        <f t="shared" si="5"/>
        <v>244681.71163</v>
      </c>
      <c r="F60" s="43">
        <f t="shared" si="5"/>
        <v>1581993.5656499993</v>
      </c>
      <c r="G60" s="43">
        <f t="shared" si="5"/>
        <v>52197.31247000001</v>
      </c>
      <c r="H60" s="43">
        <f t="shared" si="5"/>
        <v>139009.77424</v>
      </c>
      <c r="I60" s="43">
        <f t="shared" si="5"/>
        <v>5003549.876270002</v>
      </c>
      <c r="J60" s="43">
        <f t="shared" si="5"/>
        <v>1390786.4789399994</v>
      </c>
      <c r="K60" s="791">
        <f t="shared" si="4"/>
        <v>0.27795995110111493</v>
      </c>
    </row>
    <row r="61" spans="1:11" ht="12.75">
      <c r="A61" s="24"/>
      <c r="B61" s="49"/>
      <c r="C61" s="49"/>
      <c r="D61" s="49"/>
      <c r="E61" s="49"/>
      <c r="F61" s="49"/>
      <c r="G61" s="49"/>
      <c r="H61" s="49"/>
      <c r="I61" s="49"/>
      <c r="J61" s="49"/>
      <c r="K61" s="49"/>
    </row>
    <row r="62" spans="1:11" ht="15.75">
      <c r="A62" s="44" t="s">
        <v>359</v>
      </c>
      <c r="B62" s="127"/>
      <c r="C62" s="128"/>
      <c r="D62" s="128"/>
      <c r="E62" s="128"/>
      <c r="F62" s="128"/>
      <c r="G62" s="128"/>
      <c r="H62" s="128"/>
      <c r="I62" s="792">
        <f>SUM(I39:I48)</f>
        <v>3868353.467880002</v>
      </c>
      <c r="J62" s="792">
        <f>SUM(J39:J48)</f>
        <v>1269999.5809699995</v>
      </c>
      <c r="K62" s="1072">
        <f>J62/I62</f>
        <v>0.3283049471862263</v>
      </c>
    </row>
    <row r="63" spans="1:11" ht="1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1077">
        <f>K62-0.01</f>
        <v>0.3183049471862263</v>
      </c>
    </row>
  </sheetData>
  <sheetProtection/>
  <mergeCells count="2">
    <mergeCell ref="B37:K37"/>
    <mergeCell ref="B5:K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K44"/>
  <sheetViews>
    <sheetView showGridLines="0" zoomScalePageLayoutView="0" workbookViewId="0" topLeftCell="T1">
      <selection activeCell="AC7" sqref="AC7"/>
    </sheetView>
  </sheetViews>
  <sheetFormatPr defaultColWidth="8.75390625" defaultRowHeight="12.75"/>
  <cols>
    <col min="1" max="1" width="4.125" style="49" customWidth="1"/>
    <col min="2" max="2" width="6.375" style="49" customWidth="1"/>
    <col min="3" max="3" width="8.375" style="49" customWidth="1"/>
    <col min="4" max="4" width="6.25390625" style="49" customWidth="1"/>
    <col min="5" max="5" width="8.75390625" style="49" customWidth="1"/>
    <col min="6" max="6" width="9.375" style="49" customWidth="1"/>
    <col min="7" max="7" width="6.25390625" style="49" customWidth="1"/>
    <col min="8" max="8" width="8.125" style="49" customWidth="1"/>
    <col min="9" max="9" width="9.125" style="49" customWidth="1"/>
    <col min="10" max="10" width="6.25390625" style="49" customWidth="1"/>
    <col min="11" max="11" width="8.125" style="49" customWidth="1"/>
    <col min="12" max="12" width="7.875" style="49" customWidth="1"/>
    <col min="13" max="13" width="6.25390625" style="49" customWidth="1"/>
    <col min="14" max="14" width="8.125" style="49" customWidth="1"/>
    <col min="15" max="15" width="6.25390625" style="49" customWidth="1"/>
    <col min="16" max="16" width="7.125" style="49" customWidth="1"/>
    <col min="17" max="17" width="5.375" style="49" customWidth="1"/>
    <col min="18" max="18" width="6.875" style="49" customWidth="1"/>
    <col min="19" max="19" width="7.875" style="49" customWidth="1"/>
    <col min="20" max="20" width="7.25390625" style="49" customWidth="1"/>
    <col min="21" max="21" width="8.75390625" style="49" customWidth="1"/>
    <col min="22" max="22" width="7.875" style="49" customWidth="1"/>
    <col min="23" max="23" width="6.25390625" style="49" customWidth="1"/>
    <col min="24" max="24" width="6.625" style="49" customWidth="1"/>
    <col min="25" max="25" width="9.625" style="49" customWidth="1"/>
    <col min="26" max="26" width="5.75390625" style="49" customWidth="1"/>
    <col min="27" max="27" width="8.75390625" style="49" customWidth="1"/>
    <col min="28" max="28" width="9.875" style="49" customWidth="1"/>
    <col min="29" max="29" width="5.75390625" style="49" customWidth="1"/>
    <col min="30" max="30" width="8.75390625" style="49" customWidth="1"/>
    <col min="31" max="31" width="8.875" style="49" customWidth="1"/>
    <col min="32" max="32" width="5.75390625" style="49" customWidth="1"/>
    <col min="33" max="33" width="8.75390625" style="49" customWidth="1"/>
    <col min="34" max="34" width="9.375" style="49" bestFit="1" customWidth="1"/>
    <col min="35" max="16384" width="8.75390625" style="49" customWidth="1"/>
  </cols>
  <sheetData>
    <row r="1" spans="1:33" s="202" customFormat="1" ht="15.75">
      <c r="A1" s="785" t="s">
        <v>597</v>
      </c>
      <c r="H1" s="202" t="s">
        <v>427</v>
      </c>
      <c r="K1" s="786">
        <f>str1!H7</f>
        <v>439987.68</v>
      </c>
      <c r="AF1" s="1051" t="s">
        <v>401</v>
      </c>
      <c r="AG1" s="769">
        <f>D3+G3+J3+M3+R3+T3+W3+Z3+AC3+AF3</f>
        <v>1</v>
      </c>
    </row>
    <row r="2" ht="13.5" thickBot="1">
      <c r="A2" s="123"/>
    </row>
    <row r="3" spans="1:36" ht="12.75" customHeight="1">
      <c r="A3" s="1533"/>
      <c r="B3" s="1534"/>
      <c r="C3" s="229"/>
      <c r="D3" s="1050">
        <f>34.3%+3.5%</f>
        <v>0.378</v>
      </c>
      <c r="E3" s="231"/>
      <c r="F3" s="229"/>
      <c r="G3" s="230">
        <v>0.04</v>
      </c>
      <c r="H3" s="231"/>
      <c r="I3" s="229"/>
      <c r="J3" s="230">
        <v>0.04</v>
      </c>
      <c r="K3" s="231"/>
      <c r="L3" s="229"/>
      <c r="M3" s="230">
        <v>0</v>
      </c>
      <c r="N3" s="231"/>
      <c r="O3" s="233">
        <v>2.5</v>
      </c>
      <c r="P3" s="234">
        <v>1.5</v>
      </c>
      <c r="Q3" s="235" t="s">
        <v>204</v>
      </c>
      <c r="R3" s="1049">
        <v>0.026</v>
      </c>
      <c r="S3" s="232"/>
      <c r="T3" s="230">
        <v>0.16</v>
      </c>
      <c r="U3" s="231"/>
      <c r="V3" s="232"/>
      <c r="W3" s="1049">
        <v>0.026</v>
      </c>
      <c r="X3" s="231"/>
      <c r="Y3" s="232"/>
      <c r="Z3" s="230">
        <v>0.04</v>
      </c>
      <c r="AA3" s="231"/>
      <c r="AB3" s="232"/>
      <c r="AC3" s="1050">
        <v>0.145</v>
      </c>
      <c r="AD3" s="231"/>
      <c r="AE3" s="232"/>
      <c r="AF3" s="1050">
        <v>0.145</v>
      </c>
      <c r="AG3" s="231"/>
      <c r="AH3" s="1541" t="s">
        <v>404</v>
      </c>
      <c r="AI3" s="61"/>
      <c r="AJ3" s="61"/>
    </row>
    <row r="4" spans="1:36" s="239" customFormat="1" ht="69.75" customHeight="1">
      <c r="A4" s="1539" t="s">
        <v>251</v>
      </c>
      <c r="B4" s="1540"/>
      <c r="C4" s="236" t="s">
        <v>546</v>
      </c>
      <c r="D4" s="237" t="s">
        <v>21</v>
      </c>
      <c r="E4" s="238" t="s">
        <v>252</v>
      </c>
      <c r="F4" s="236" t="s">
        <v>380</v>
      </c>
      <c r="G4" s="237" t="s">
        <v>21</v>
      </c>
      <c r="H4" s="238" t="s">
        <v>253</v>
      </c>
      <c r="I4" s="236" t="s">
        <v>381</v>
      </c>
      <c r="J4" s="237" t="s">
        <v>21</v>
      </c>
      <c r="K4" s="238" t="s">
        <v>254</v>
      </c>
      <c r="L4" s="236" t="s">
        <v>402</v>
      </c>
      <c r="M4" s="237" t="s">
        <v>21</v>
      </c>
      <c r="N4" s="238" t="s">
        <v>403</v>
      </c>
      <c r="O4" s="236" t="s">
        <v>247</v>
      </c>
      <c r="P4" s="237" t="s">
        <v>248</v>
      </c>
      <c r="Q4" s="237" t="s">
        <v>204</v>
      </c>
      <c r="R4" s="238" t="s">
        <v>382</v>
      </c>
      <c r="S4" s="236" t="s">
        <v>439</v>
      </c>
      <c r="T4" s="237" t="s">
        <v>21</v>
      </c>
      <c r="U4" s="238" t="s">
        <v>383</v>
      </c>
      <c r="V4" s="236" t="s">
        <v>205</v>
      </c>
      <c r="W4" s="237" t="s">
        <v>21</v>
      </c>
      <c r="X4" s="238" t="s">
        <v>384</v>
      </c>
      <c r="Y4" s="236" t="s">
        <v>385</v>
      </c>
      <c r="Z4" s="237" t="s">
        <v>21</v>
      </c>
      <c r="AA4" s="238" t="s">
        <v>386</v>
      </c>
      <c r="AB4" s="236" t="s">
        <v>387</v>
      </c>
      <c r="AC4" s="237" t="s">
        <v>21</v>
      </c>
      <c r="AD4" s="238" t="s">
        <v>388</v>
      </c>
      <c r="AE4" s="236" t="s">
        <v>391</v>
      </c>
      <c r="AF4" s="237" t="s">
        <v>21</v>
      </c>
      <c r="AG4" s="238" t="s">
        <v>389</v>
      </c>
      <c r="AH4" s="1542"/>
      <c r="AI4" s="61"/>
      <c r="AJ4" s="61"/>
    </row>
    <row r="5" spans="1:36" s="239" customFormat="1" ht="11.25">
      <c r="A5" s="240"/>
      <c r="B5" s="241"/>
      <c r="C5" s="236"/>
      <c r="D5" s="237"/>
      <c r="E5" s="238" t="s">
        <v>255</v>
      </c>
      <c r="F5" s="236"/>
      <c r="G5" s="237"/>
      <c r="H5" s="238" t="s">
        <v>256</v>
      </c>
      <c r="I5" s="236"/>
      <c r="J5" s="237"/>
      <c r="K5" s="238" t="s">
        <v>257</v>
      </c>
      <c r="L5" s="236"/>
      <c r="M5" s="237"/>
      <c r="N5" s="238" t="s">
        <v>258</v>
      </c>
      <c r="O5" s="236"/>
      <c r="P5" s="237"/>
      <c r="Q5" s="237"/>
      <c r="R5" s="238" t="s">
        <v>259</v>
      </c>
      <c r="S5" s="236"/>
      <c r="T5" s="237"/>
      <c r="U5" s="238" t="s">
        <v>260</v>
      </c>
      <c r="V5" s="236"/>
      <c r="W5" s="237"/>
      <c r="X5" s="238" t="s">
        <v>261</v>
      </c>
      <c r="Y5" s="236"/>
      <c r="Z5" s="237"/>
      <c r="AA5" s="238" t="s">
        <v>262</v>
      </c>
      <c r="AB5" s="236"/>
      <c r="AC5" s="237"/>
      <c r="AD5" s="238" t="s">
        <v>263</v>
      </c>
      <c r="AE5" s="236"/>
      <c r="AF5" s="237"/>
      <c r="AG5" s="238" t="s">
        <v>390</v>
      </c>
      <c r="AH5" s="242"/>
      <c r="AI5" s="61"/>
      <c r="AJ5" s="61"/>
    </row>
    <row r="6" spans="1:37" ht="12.75">
      <c r="A6" s="243">
        <v>11</v>
      </c>
      <c r="B6" s="244" t="s">
        <v>7</v>
      </c>
      <c r="C6" s="245">
        <v>31175.64907803118</v>
      </c>
      <c r="D6" s="260">
        <f>C6/$C$18</f>
        <v>0.12977403910071864</v>
      </c>
      <c r="E6" s="246">
        <f aca="true" t="shared" si="0" ref="E6:E17">D6*$K$1*$D$3</f>
        <v>21583.413830722395</v>
      </c>
      <c r="F6" s="245">
        <v>68901</v>
      </c>
      <c r="G6" s="247">
        <f>F6/$F$18</f>
        <v>0.10351028477684768</v>
      </c>
      <c r="H6" s="246">
        <f aca="true" t="shared" si="1" ref="H6:H17">G6*$K$1*$G$3</f>
        <v>1821.730002204181</v>
      </c>
      <c r="I6" s="245">
        <v>147796.42208999998</v>
      </c>
      <c r="J6" s="247">
        <f>I6/$I$18</f>
        <v>0.43056818703970884</v>
      </c>
      <c r="K6" s="246">
        <f aca="true" t="shared" si="2" ref="K6:K17">J6*$J$3*$K$1</f>
        <v>7577.7879078963015</v>
      </c>
      <c r="L6" s="245"/>
      <c r="M6" s="247">
        <f>IF($L$18=0,0,L6/$L$18)</f>
        <v>0</v>
      </c>
      <c r="N6" s="246">
        <f aca="true" t="shared" si="3" ref="N6:N17">M6*$M$3*$K$1</f>
        <v>0</v>
      </c>
      <c r="O6" s="245">
        <v>59.1033653846153</v>
      </c>
      <c r="P6" s="247">
        <v>47.3346153846153</v>
      </c>
      <c r="Q6" s="194">
        <f>O6*$O$3+P6*$P$3</f>
        <v>218.76033653846122</v>
      </c>
      <c r="R6" s="246">
        <f aca="true" t="shared" si="4" ref="R6:R17">Q6/$Q$18*$K$1*$R$3</f>
        <v>2640.901582502928</v>
      </c>
      <c r="S6" s="245">
        <v>1794.146625697102</v>
      </c>
      <c r="T6" s="247">
        <f>S6/$S$18</f>
        <v>0.19173665971329484</v>
      </c>
      <c r="U6" s="246">
        <f aca="true" t="shared" si="5" ref="U6:U17">T6*$K$1*$T$3</f>
        <v>13497.88289251233</v>
      </c>
      <c r="V6" s="245">
        <v>1130</v>
      </c>
      <c r="W6" s="247">
        <f>V6/$V$18</f>
        <v>0.18822353627050886</v>
      </c>
      <c r="X6" s="246">
        <f aca="true" t="shared" si="6" ref="X6:X17">W6*$W$3*$K$1</f>
        <v>2153.2169631714833</v>
      </c>
      <c r="Y6" s="245">
        <v>593</v>
      </c>
      <c r="Z6" s="247">
        <f>Y6/$Y$18</f>
        <v>0.8002699055330634</v>
      </c>
      <c r="AA6" s="246">
        <f aca="true" t="shared" si="7" ref="AA6:AA17">Z6*$K$1*$Z$3</f>
        <v>14084.355964372471</v>
      </c>
      <c r="AB6" s="193">
        <v>11407</v>
      </c>
      <c r="AC6" s="247">
        <f>AB6/$AB$18</f>
        <v>0.04622204573174438</v>
      </c>
      <c r="AD6" s="246">
        <f aca="true" t="shared" si="8" ref="AD6:AD17">AC6*$K$1*$AC$3</f>
        <v>2948.883946622796</v>
      </c>
      <c r="AE6" s="193">
        <v>1622</v>
      </c>
      <c r="AF6" s="247">
        <f>AE6/$AE$18</f>
        <v>0.0466266133900595</v>
      </c>
      <c r="AG6" s="246">
        <f aca="true" t="shared" si="9" ref="AG6:AG17">AF6*$AF$3*$K$1</f>
        <v>2974.694640503636</v>
      </c>
      <c r="AH6" s="1500">
        <f>E6+H6+K6+R6+U6+X6+AA6+AD6+AG6+N6</f>
        <v>69282.86773050853</v>
      </c>
      <c r="AI6" s="61"/>
      <c r="AJ6" s="61"/>
      <c r="AK6" s="124"/>
    </row>
    <row r="7" spans="1:37" ht="12.75">
      <c r="A7" s="192">
        <v>21</v>
      </c>
      <c r="B7" s="248" t="s">
        <v>8</v>
      </c>
      <c r="C7" s="245">
        <v>28645.387</v>
      </c>
      <c r="D7" s="260">
        <f aca="true" t="shared" si="10" ref="D7:D17">C7/$C$18</f>
        <v>0.11924138494402062</v>
      </c>
      <c r="E7" s="246">
        <f t="shared" si="0"/>
        <v>19831.671841529478</v>
      </c>
      <c r="F7" s="245">
        <v>60541</v>
      </c>
      <c r="G7" s="247">
        <f aca="true" t="shared" si="11" ref="G7:G17">F7/$F$18</f>
        <v>0.09095101886293575</v>
      </c>
      <c r="H7" s="246">
        <f t="shared" si="1"/>
        <v>1600.6931113255735</v>
      </c>
      <c r="I7" s="245">
        <v>13616.713840000008</v>
      </c>
      <c r="J7" s="247">
        <f aca="true" t="shared" si="12" ref="J7:J17">I7/$I$18</f>
        <v>0.039668915584148</v>
      </c>
      <c r="K7" s="246">
        <f t="shared" si="2"/>
        <v>698.153365439405</v>
      </c>
      <c r="L7" s="245"/>
      <c r="M7" s="247">
        <f aca="true" t="shared" si="13" ref="M7:M17">IF($L$18=0,0,L7/$L$18)</f>
        <v>0</v>
      </c>
      <c r="N7" s="246">
        <f t="shared" si="3"/>
        <v>0</v>
      </c>
      <c r="O7" s="245">
        <v>25.9407692307692</v>
      </c>
      <c r="P7" s="247">
        <v>48.8230769230769</v>
      </c>
      <c r="Q7" s="194">
        <f aca="true" t="shared" si="14" ref="Q7:Q17">O7*$O$3+P7*$P$3</f>
        <v>138.08653846153834</v>
      </c>
      <c r="R7" s="246">
        <f t="shared" si="4"/>
        <v>1666.9976089624145</v>
      </c>
      <c r="S7" s="245">
        <v>1380.3802544538235</v>
      </c>
      <c r="T7" s="247">
        <f aca="true" t="shared" si="15" ref="T7:T17">S7/$S$18</f>
        <v>0.1475183217092576</v>
      </c>
      <c r="U7" s="246">
        <f t="shared" si="5"/>
        <v>10384.999060215981</v>
      </c>
      <c r="V7" s="245">
        <v>1372.5</v>
      </c>
      <c r="W7" s="247">
        <f aca="true" t="shared" si="16" ref="W7:W17">V7/$V$18</f>
        <v>0.2286166402931623</v>
      </c>
      <c r="X7" s="246">
        <f t="shared" si="6"/>
        <v>2615.301134471558</v>
      </c>
      <c r="Y7" s="245">
        <v>11</v>
      </c>
      <c r="Z7" s="247">
        <f aca="true" t="shared" si="17" ref="Z7:Z17">Y7/$Y$18</f>
        <v>0.014844804318488529</v>
      </c>
      <c r="AA7" s="246">
        <f t="shared" si="7"/>
        <v>261.26124048582994</v>
      </c>
      <c r="AB7" s="193">
        <v>73235</v>
      </c>
      <c r="AC7" s="247">
        <f aca="true" t="shared" si="18" ref="AC7:AC17">AB7/$AB$18</f>
        <v>0.2967538808770316</v>
      </c>
      <c r="AD7" s="246">
        <f t="shared" si="8"/>
        <v>18932.367478821816</v>
      </c>
      <c r="AE7" s="193">
        <v>17286</v>
      </c>
      <c r="AF7" s="247">
        <f aca="true" t="shared" si="19" ref="AF7:AF17">AE7/$AE$18</f>
        <v>0.4969097651421508</v>
      </c>
      <c r="AG7" s="246">
        <f t="shared" si="9"/>
        <v>31701.95533646477</v>
      </c>
      <c r="AH7" s="1500">
        <f aca="true" t="shared" si="20" ref="AH7:AH17">E7+H7+K7+R7+U7+X7+AA7+AD7+AG7+N7</f>
        <v>87693.40017771683</v>
      </c>
      <c r="AI7" s="61"/>
      <c r="AJ7" s="61"/>
      <c r="AK7" s="124"/>
    </row>
    <row r="8" spans="1:37" ht="12.75">
      <c r="A8" s="192">
        <v>22</v>
      </c>
      <c r="B8" s="248" t="s">
        <v>9</v>
      </c>
      <c r="C8" s="245">
        <v>11033.141</v>
      </c>
      <c r="D8" s="260">
        <f t="shared" si="10"/>
        <v>0.04592736042011429</v>
      </c>
      <c r="E8" s="246">
        <f t="shared" si="0"/>
        <v>7638.424703193027</v>
      </c>
      <c r="F8" s="245">
        <v>13388</v>
      </c>
      <c r="G8" s="247">
        <f t="shared" si="11"/>
        <v>0.020112853116680988</v>
      </c>
      <c r="H8" s="246">
        <f t="shared" si="1"/>
        <v>353.97630323956946</v>
      </c>
      <c r="I8" s="245">
        <v>24646.975079999993</v>
      </c>
      <c r="J8" s="247">
        <f t="shared" si="12"/>
        <v>0.07180284357456385</v>
      </c>
      <c r="K8" s="246">
        <f t="shared" si="2"/>
        <v>1263.6946624710101</v>
      </c>
      <c r="L8" s="245"/>
      <c r="M8" s="247">
        <f t="shared" si="13"/>
        <v>0</v>
      </c>
      <c r="N8" s="246">
        <f t="shared" si="3"/>
        <v>0</v>
      </c>
      <c r="O8" s="245">
        <v>11.85</v>
      </c>
      <c r="P8" s="247">
        <v>21.7461538461538</v>
      </c>
      <c r="Q8" s="194">
        <f t="shared" si="14"/>
        <v>62.2442307692307</v>
      </c>
      <c r="R8" s="246">
        <f t="shared" si="4"/>
        <v>751.4199792394188</v>
      </c>
      <c r="S8" s="245">
        <v>976.4005889938157</v>
      </c>
      <c r="T8" s="247">
        <f t="shared" si="15"/>
        <v>0.10434586827764325</v>
      </c>
      <c r="U8" s="246">
        <f t="shared" si="5"/>
        <v>7345.743440170536</v>
      </c>
      <c r="V8" s="245">
        <v>223</v>
      </c>
      <c r="W8" s="247">
        <f t="shared" si="16"/>
        <v>0.03714499875072874</v>
      </c>
      <c r="X8" s="246">
        <f t="shared" si="6"/>
        <v>424.92688742233696</v>
      </c>
      <c r="Y8" s="245">
        <v>0</v>
      </c>
      <c r="Z8" s="247">
        <f t="shared" si="17"/>
        <v>0</v>
      </c>
      <c r="AA8" s="246">
        <f t="shared" si="7"/>
        <v>0</v>
      </c>
      <c r="AB8" s="193">
        <v>23911</v>
      </c>
      <c r="AC8" s="247">
        <f t="shared" si="18"/>
        <v>0.09688922025876566</v>
      </c>
      <c r="AD8" s="246">
        <f t="shared" si="8"/>
        <v>6181.3591696061785</v>
      </c>
      <c r="AE8" s="193">
        <v>1239</v>
      </c>
      <c r="AF8" s="247">
        <f t="shared" si="19"/>
        <v>0.03561675338488516</v>
      </c>
      <c r="AG8" s="246">
        <f t="shared" si="9"/>
        <v>2272.285240187426</v>
      </c>
      <c r="AH8" s="1500">
        <f t="shared" si="20"/>
        <v>26231.830385529505</v>
      </c>
      <c r="AI8" s="61"/>
      <c r="AJ8" s="61"/>
      <c r="AK8" s="124"/>
    </row>
    <row r="9" spans="1:37" ht="12.75">
      <c r="A9" s="192">
        <v>23</v>
      </c>
      <c r="B9" s="248" t="s">
        <v>10</v>
      </c>
      <c r="C9" s="245">
        <v>13028.041000000001</v>
      </c>
      <c r="D9" s="260">
        <f t="shared" si="10"/>
        <v>0.0542314771990158</v>
      </c>
      <c r="E9" s="246">
        <f t="shared" si="0"/>
        <v>9019.52673392025</v>
      </c>
      <c r="F9" s="245">
        <v>39866</v>
      </c>
      <c r="G9" s="247">
        <f t="shared" si="11"/>
        <v>0.0598908725985662</v>
      </c>
      <c r="H9" s="246">
        <f t="shared" si="1"/>
        <v>1054.0498435127486</v>
      </c>
      <c r="I9" s="245">
        <v>8877.940839999997</v>
      </c>
      <c r="J9" s="247">
        <f t="shared" si="12"/>
        <v>0.025863676793182844</v>
      </c>
      <c r="K9" s="246">
        <f t="shared" si="2"/>
        <v>455.1879659400944</v>
      </c>
      <c r="L9" s="245"/>
      <c r="M9" s="247">
        <f t="shared" si="13"/>
        <v>0</v>
      </c>
      <c r="N9" s="246">
        <f t="shared" si="3"/>
        <v>0</v>
      </c>
      <c r="O9" s="245">
        <v>7.09038461538461</v>
      </c>
      <c r="P9" s="247">
        <v>17.2665384615384</v>
      </c>
      <c r="Q9" s="194">
        <f t="shared" si="14"/>
        <v>43.62576923076912</v>
      </c>
      <c r="R9" s="246">
        <f t="shared" si="4"/>
        <v>526.6556306434913</v>
      </c>
      <c r="S9" s="245">
        <v>660.7047175465101</v>
      </c>
      <c r="T9" s="247">
        <f t="shared" si="15"/>
        <v>0.07060811741067302</v>
      </c>
      <c r="U9" s="246">
        <f t="shared" si="5"/>
        <v>4970.672282990341</v>
      </c>
      <c r="V9" s="245">
        <v>508.5</v>
      </c>
      <c r="W9" s="247">
        <f t="shared" si="16"/>
        <v>0.084700591321729</v>
      </c>
      <c r="X9" s="246">
        <f t="shared" si="6"/>
        <v>968.9476334271676</v>
      </c>
      <c r="Y9" s="245">
        <v>89</v>
      </c>
      <c r="Z9" s="247">
        <f t="shared" si="17"/>
        <v>0.12010796221322537</v>
      </c>
      <c r="AA9" s="246">
        <f t="shared" si="7"/>
        <v>2113.840945748988</v>
      </c>
      <c r="AB9" s="193">
        <v>42133</v>
      </c>
      <c r="AC9" s="247">
        <f t="shared" si="18"/>
        <v>0.17072617277247182</v>
      </c>
      <c r="AD9" s="246">
        <f t="shared" si="8"/>
        <v>10892.024837648662</v>
      </c>
      <c r="AE9" s="193">
        <v>4435</v>
      </c>
      <c r="AF9" s="247">
        <f t="shared" si="19"/>
        <v>0.12749015436801103</v>
      </c>
      <c r="AG9" s="246">
        <f t="shared" si="9"/>
        <v>8133.64410026734</v>
      </c>
      <c r="AH9" s="1500">
        <f t="shared" si="20"/>
        <v>38134.54997409908</v>
      </c>
      <c r="AI9" s="61"/>
      <c r="AJ9" s="61"/>
      <c r="AK9" s="124"/>
    </row>
    <row r="10" spans="1:37" ht="12.75">
      <c r="A10" s="192">
        <v>31</v>
      </c>
      <c r="B10" s="248" t="s">
        <v>11</v>
      </c>
      <c r="C10" s="245">
        <v>96214.03183863526</v>
      </c>
      <c r="D10" s="260">
        <f t="shared" si="10"/>
        <v>0.4005075723880764</v>
      </c>
      <c r="E10" s="246">
        <f t="shared" si="0"/>
        <v>66610.55429184056</v>
      </c>
      <c r="F10" s="245">
        <v>275602</v>
      </c>
      <c r="G10" s="247">
        <f t="shared" si="11"/>
        <v>0.41403813449832044</v>
      </c>
      <c r="H10" s="246">
        <f t="shared" si="1"/>
        <v>7286.867129177758</v>
      </c>
      <c r="I10" s="245">
        <v>25105.209160000002</v>
      </c>
      <c r="J10" s="247">
        <f t="shared" si="12"/>
        <v>0.07313779481543534</v>
      </c>
      <c r="K10" s="246">
        <f t="shared" si="2"/>
        <v>1287.189146446377</v>
      </c>
      <c r="L10" s="245"/>
      <c r="M10" s="247">
        <f t="shared" si="13"/>
        <v>0</v>
      </c>
      <c r="N10" s="246">
        <f t="shared" si="3"/>
        <v>0</v>
      </c>
      <c r="O10" s="245">
        <v>53.7799999999999</v>
      </c>
      <c r="P10" s="247">
        <v>79.0873076923076</v>
      </c>
      <c r="Q10" s="194">
        <f t="shared" si="14"/>
        <v>253.08096153846117</v>
      </c>
      <c r="R10" s="246">
        <f t="shared" si="4"/>
        <v>3055.2243720413967</v>
      </c>
      <c r="S10" s="245">
        <v>1559.7335803371657</v>
      </c>
      <c r="T10" s="247">
        <f t="shared" si="15"/>
        <v>0.16668543275849007</v>
      </c>
      <c r="U10" s="246">
        <f t="shared" si="5"/>
        <v>11734.325895872647</v>
      </c>
      <c r="V10" s="245">
        <v>831.5</v>
      </c>
      <c r="W10" s="247">
        <f t="shared" si="16"/>
        <v>0.13850254018489214</v>
      </c>
      <c r="X10" s="246">
        <f t="shared" si="6"/>
        <v>1584.424694581494</v>
      </c>
      <c r="Y10" s="245">
        <v>4</v>
      </c>
      <c r="Z10" s="247">
        <f t="shared" si="17"/>
        <v>0.005398110661268556</v>
      </c>
      <c r="AA10" s="246">
        <f t="shared" si="7"/>
        <v>95.0040874493927</v>
      </c>
      <c r="AB10" s="193">
        <v>24874</v>
      </c>
      <c r="AC10" s="247">
        <f t="shared" si="18"/>
        <v>0.1007913706961874</v>
      </c>
      <c r="AD10" s="246">
        <f t="shared" si="8"/>
        <v>6430.309396712144</v>
      </c>
      <c r="AE10" s="193">
        <v>4736</v>
      </c>
      <c r="AF10" s="247">
        <f t="shared" si="19"/>
        <v>0.1361428119699888</v>
      </c>
      <c r="AG10" s="246">
        <f t="shared" si="9"/>
        <v>8685.66819816598</v>
      </c>
      <c r="AH10" s="1500">
        <f t="shared" si="20"/>
        <v>106769.56721228774</v>
      </c>
      <c r="AI10" s="61"/>
      <c r="AJ10" s="61"/>
      <c r="AK10" s="124"/>
    </row>
    <row r="11" spans="1:37" ht="12.75">
      <c r="A11" s="192">
        <v>33</v>
      </c>
      <c r="B11" s="248" t="s">
        <v>12</v>
      </c>
      <c r="C11" s="245">
        <v>15155.772</v>
      </c>
      <c r="D11" s="260">
        <f t="shared" si="10"/>
        <v>0.06308852602256027</v>
      </c>
      <c r="E11" s="246">
        <f t="shared" si="0"/>
        <v>10492.589847330077</v>
      </c>
      <c r="F11" s="245">
        <v>35969</v>
      </c>
      <c r="G11" s="247">
        <f t="shared" si="11"/>
        <v>0.05403639182505964</v>
      </c>
      <c r="H11" s="246">
        <f t="shared" si="1"/>
        <v>951.0138669871583</v>
      </c>
      <c r="I11" s="245">
        <v>13076.493260000001</v>
      </c>
      <c r="J11" s="247">
        <f t="shared" si="12"/>
        <v>0.038095117027708646</v>
      </c>
      <c r="K11" s="246">
        <f t="shared" si="2"/>
        <v>670.455286414001</v>
      </c>
      <c r="L11" s="245"/>
      <c r="M11" s="247">
        <f t="shared" si="13"/>
        <v>0</v>
      </c>
      <c r="N11" s="246">
        <f t="shared" si="3"/>
        <v>0</v>
      </c>
      <c r="O11" s="245">
        <v>11.226923076923</v>
      </c>
      <c r="P11" s="247">
        <v>17.7246153846153</v>
      </c>
      <c r="Q11" s="194">
        <f t="shared" si="14"/>
        <v>54.65423076923045</v>
      </c>
      <c r="R11" s="246">
        <f t="shared" si="4"/>
        <v>659.7925694064951</v>
      </c>
      <c r="S11" s="245">
        <v>362.1052685391653</v>
      </c>
      <c r="T11" s="247">
        <f t="shared" si="15"/>
        <v>0.03869742509328586</v>
      </c>
      <c r="U11" s="246">
        <f t="shared" si="5"/>
        <v>2724.2224462029803</v>
      </c>
      <c r="V11" s="245">
        <v>1021</v>
      </c>
      <c r="W11" s="247">
        <f t="shared" si="16"/>
        <v>0.17006746064795536</v>
      </c>
      <c r="X11" s="246">
        <f t="shared" si="6"/>
        <v>1945.5172738036144</v>
      </c>
      <c r="Y11" s="245">
        <v>10</v>
      </c>
      <c r="Z11" s="247">
        <f t="shared" si="17"/>
        <v>0.01349527665317139</v>
      </c>
      <c r="AA11" s="246">
        <f t="shared" si="7"/>
        <v>237.5102186234818</v>
      </c>
      <c r="AB11" s="193">
        <v>11985</v>
      </c>
      <c r="AC11" s="247">
        <f t="shared" si="18"/>
        <v>0.04856414640965691</v>
      </c>
      <c r="AD11" s="246">
        <f t="shared" si="8"/>
        <v>3098.3057859449646</v>
      </c>
      <c r="AE11" s="193">
        <v>1904</v>
      </c>
      <c r="AF11" s="247">
        <f t="shared" si="19"/>
        <v>0.05473308994739414</v>
      </c>
      <c r="AG11" s="246">
        <f t="shared" si="9"/>
        <v>3491.873363451864</v>
      </c>
      <c r="AH11" s="1500">
        <f t="shared" si="20"/>
        <v>24271.280658164636</v>
      </c>
      <c r="AI11" s="61"/>
      <c r="AJ11" s="61"/>
      <c r="AK11" s="124"/>
    </row>
    <row r="12" spans="1:37" ht="12.75">
      <c r="A12" s="192">
        <v>41</v>
      </c>
      <c r="B12" s="248" t="s">
        <v>13</v>
      </c>
      <c r="C12" s="245">
        <v>14225.152</v>
      </c>
      <c r="D12" s="260">
        <f t="shared" si="10"/>
        <v>0.05921465908347493</v>
      </c>
      <c r="E12" s="246">
        <f t="shared" si="0"/>
        <v>9848.306338464785</v>
      </c>
      <c r="F12" s="245">
        <v>16501</v>
      </c>
      <c r="G12" s="247">
        <f t="shared" si="11"/>
        <v>0.024789527134624515</v>
      </c>
      <c r="H12" s="246">
        <f t="shared" si="1"/>
        <v>436.2834612904195</v>
      </c>
      <c r="I12" s="245">
        <v>12576.507239999999</v>
      </c>
      <c r="J12" s="247">
        <f t="shared" si="12"/>
        <v>0.03663853187407409</v>
      </c>
      <c r="K12" s="246">
        <f t="shared" si="2"/>
        <v>644.8201055151965</v>
      </c>
      <c r="L12" s="245"/>
      <c r="M12" s="247">
        <f t="shared" si="13"/>
        <v>0</v>
      </c>
      <c r="N12" s="246">
        <f t="shared" si="3"/>
        <v>0</v>
      </c>
      <c r="O12" s="245">
        <v>8.63461538461538</v>
      </c>
      <c r="P12" s="247">
        <v>47.8584615384615</v>
      </c>
      <c r="Q12" s="194">
        <f t="shared" si="14"/>
        <v>93.3742307692307</v>
      </c>
      <c r="R12" s="246">
        <f t="shared" si="4"/>
        <v>1127.2251529019773</v>
      </c>
      <c r="S12" s="245">
        <v>1458.6271451328503</v>
      </c>
      <c r="T12" s="247">
        <f t="shared" si="15"/>
        <v>0.1558804016178151</v>
      </c>
      <c r="U12" s="246">
        <f t="shared" si="5"/>
        <v>10973.673002446516</v>
      </c>
      <c r="V12" s="245">
        <v>151</v>
      </c>
      <c r="W12" s="247">
        <f t="shared" si="16"/>
        <v>0.025151994669775964</v>
      </c>
      <c r="X12" s="246">
        <f t="shared" si="6"/>
        <v>287.7307623353044</v>
      </c>
      <c r="Y12" s="245">
        <v>9</v>
      </c>
      <c r="Z12" s="247">
        <f t="shared" si="17"/>
        <v>0.012145748987854251</v>
      </c>
      <c r="AA12" s="246">
        <f t="shared" si="7"/>
        <v>213.7591967611336</v>
      </c>
      <c r="AB12" s="193">
        <v>15071</v>
      </c>
      <c r="AC12" s="247">
        <f t="shared" si="18"/>
        <v>0.061068856949515166</v>
      </c>
      <c r="AD12" s="246">
        <f t="shared" si="8"/>
        <v>3896.0839799730124</v>
      </c>
      <c r="AE12" s="193">
        <v>372</v>
      </c>
      <c r="AF12" s="247">
        <f t="shared" si="19"/>
        <v>0.010693649926696755</v>
      </c>
      <c r="AG12" s="246">
        <f t="shared" si="9"/>
        <v>682.2357621870239</v>
      </c>
      <c r="AH12" s="1500">
        <f t="shared" si="20"/>
        <v>28110.11776187537</v>
      </c>
      <c r="AI12" s="61"/>
      <c r="AJ12" s="61"/>
      <c r="AK12" s="124"/>
    </row>
    <row r="13" spans="1:37" ht="12.75">
      <c r="A13" s="192">
        <v>51</v>
      </c>
      <c r="B13" s="248" t="s">
        <v>14</v>
      </c>
      <c r="C13" s="245">
        <v>1582.579</v>
      </c>
      <c r="D13" s="260">
        <f t="shared" si="10"/>
        <v>0.006587759199878263</v>
      </c>
      <c r="E13" s="246">
        <f t="shared" si="0"/>
        <v>1095.645431192669</v>
      </c>
      <c r="F13" s="245">
        <v>2238</v>
      </c>
      <c r="G13" s="247">
        <f t="shared" si="11"/>
        <v>0.003362157549681211</v>
      </c>
      <c r="H13" s="246">
        <f t="shared" si="1"/>
        <v>59.17231600314883</v>
      </c>
      <c r="I13" s="245">
        <v>16331.159980000006</v>
      </c>
      <c r="J13" s="247">
        <f t="shared" si="12"/>
        <v>0.04757678058378261</v>
      </c>
      <c r="K13" s="246">
        <f t="shared" si="2"/>
        <v>837.3278924371023</v>
      </c>
      <c r="L13" s="245"/>
      <c r="M13" s="247">
        <f t="shared" si="13"/>
        <v>0</v>
      </c>
      <c r="N13" s="246">
        <f t="shared" si="3"/>
        <v>0</v>
      </c>
      <c r="O13" s="245">
        <v>3.16153846153846</v>
      </c>
      <c r="P13" s="247">
        <v>9.10538461538461</v>
      </c>
      <c r="Q13" s="194">
        <f t="shared" si="14"/>
        <v>21.561923076923065</v>
      </c>
      <c r="R13" s="246">
        <f t="shared" si="4"/>
        <v>260.29817688473497</v>
      </c>
      <c r="S13" s="245">
        <v>519.9714673915852</v>
      </c>
      <c r="T13" s="247">
        <f t="shared" si="15"/>
        <v>0.05556825226876104</v>
      </c>
      <c r="U13" s="246">
        <f t="shared" si="5"/>
        <v>3911.895423581905</v>
      </c>
      <c r="V13" s="245">
        <v>90.5</v>
      </c>
      <c r="W13" s="247">
        <f t="shared" si="16"/>
        <v>0.015074539851753143</v>
      </c>
      <c r="X13" s="246">
        <f t="shared" si="6"/>
        <v>172.44790722745063</v>
      </c>
      <c r="Y13" s="245">
        <v>0</v>
      </c>
      <c r="Z13" s="247">
        <f t="shared" si="17"/>
        <v>0</v>
      </c>
      <c r="AA13" s="246">
        <f t="shared" si="7"/>
        <v>0</v>
      </c>
      <c r="AB13" s="193">
        <v>6552</v>
      </c>
      <c r="AC13" s="247">
        <f t="shared" si="18"/>
        <v>0.026549210452738597</v>
      </c>
      <c r="AD13" s="246">
        <f t="shared" si="8"/>
        <v>1693.7921993751695</v>
      </c>
      <c r="AE13" s="193">
        <v>563</v>
      </c>
      <c r="AF13" s="247">
        <f t="shared" si="19"/>
        <v>0.01618420674389858</v>
      </c>
      <c r="AG13" s="246">
        <f t="shared" si="9"/>
        <v>1032.523478793802</v>
      </c>
      <c r="AH13" s="1500">
        <f t="shared" si="20"/>
        <v>9063.102825495982</v>
      </c>
      <c r="AI13" s="61"/>
      <c r="AJ13" s="61"/>
      <c r="AK13" s="124"/>
    </row>
    <row r="14" spans="1:37" ht="12.75">
      <c r="A14" s="192">
        <v>56</v>
      </c>
      <c r="B14" s="248" t="s">
        <v>15</v>
      </c>
      <c r="C14" s="245">
        <v>5509.616</v>
      </c>
      <c r="D14" s="260">
        <f t="shared" si="10"/>
        <v>0.02293473089924514</v>
      </c>
      <c r="E14" s="246">
        <f t="shared" si="0"/>
        <v>3814.397637038043</v>
      </c>
      <c r="F14" s="245">
        <v>10948</v>
      </c>
      <c r="G14" s="247">
        <f t="shared" si="11"/>
        <v>0.016447230050898078</v>
      </c>
      <c r="H14" s="246">
        <f t="shared" si="1"/>
        <v>289.46314370083707</v>
      </c>
      <c r="I14" s="245">
        <v>11718.639449999997</v>
      </c>
      <c r="J14" s="247">
        <f t="shared" si="12"/>
        <v>0.0341393470234751</v>
      </c>
      <c r="K14" s="246">
        <f t="shared" si="2"/>
        <v>600.8356837429486</v>
      </c>
      <c r="L14" s="245"/>
      <c r="M14" s="247">
        <f t="shared" si="13"/>
        <v>0</v>
      </c>
      <c r="N14" s="246">
        <f t="shared" si="3"/>
        <v>0</v>
      </c>
      <c r="O14" s="245">
        <v>5.6926923076923</v>
      </c>
      <c r="P14" s="247">
        <v>14.7423076923076</v>
      </c>
      <c r="Q14" s="194">
        <f t="shared" si="14"/>
        <v>36.34519230769215</v>
      </c>
      <c r="R14" s="246">
        <f t="shared" si="4"/>
        <v>438.7636141018738</v>
      </c>
      <c r="S14" s="245">
        <v>645.2782288340841</v>
      </c>
      <c r="T14" s="247">
        <f t="shared" si="15"/>
        <v>0.06895952115077916</v>
      </c>
      <c r="U14" s="246">
        <f t="shared" si="5"/>
        <v>4854.61435600676</v>
      </c>
      <c r="V14" s="245">
        <v>675.5</v>
      </c>
      <c r="W14" s="247">
        <f t="shared" si="16"/>
        <v>0.11251769800949446</v>
      </c>
      <c r="X14" s="246">
        <f t="shared" si="6"/>
        <v>1287.1664235595902</v>
      </c>
      <c r="Y14" s="245">
        <v>25</v>
      </c>
      <c r="Z14" s="247">
        <f t="shared" si="17"/>
        <v>0.033738191632928474</v>
      </c>
      <c r="AA14" s="246">
        <f t="shared" si="7"/>
        <v>593.7755465587045</v>
      </c>
      <c r="AB14" s="193">
        <v>37619</v>
      </c>
      <c r="AC14" s="247">
        <f t="shared" si="18"/>
        <v>0.15243509585188847</v>
      </c>
      <c r="AD14" s="246">
        <f t="shared" si="8"/>
        <v>9725.086805295254</v>
      </c>
      <c r="AE14" s="193">
        <v>2630</v>
      </c>
      <c r="AF14" s="247">
        <f t="shared" si="19"/>
        <v>0.07560295512691523</v>
      </c>
      <c r="AG14" s="246">
        <f t="shared" si="9"/>
        <v>4823.333479978152</v>
      </c>
      <c r="AH14" s="1500">
        <f t="shared" si="20"/>
        <v>26427.43668998216</v>
      </c>
      <c r="AI14" s="61"/>
      <c r="AJ14" s="61"/>
      <c r="AK14" s="124"/>
    </row>
    <row r="15" spans="1:37" ht="12.75">
      <c r="A15" s="192">
        <v>71</v>
      </c>
      <c r="B15" s="248" t="s">
        <v>208</v>
      </c>
      <c r="C15" s="245">
        <v>22440.740083333556</v>
      </c>
      <c r="D15" s="260">
        <f t="shared" si="10"/>
        <v>0.09341346747053862</v>
      </c>
      <c r="E15" s="246">
        <f t="shared" si="0"/>
        <v>15536.092886918512</v>
      </c>
      <c r="F15" s="245">
        <v>124925</v>
      </c>
      <c r="G15" s="247">
        <f t="shared" si="11"/>
        <v>0.18767539405447958</v>
      </c>
      <c r="H15" s="246">
        <f t="shared" si="1"/>
        <v>3302.994448924651</v>
      </c>
      <c r="I15" s="245">
        <v>4320.02275</v>
      </c>
      <c r="J15" s="247">
        <f t="shared" si="12"/>
        <v>0.012585313887403306</v>
      </c>
      <c r="K15" s="246">
        <f t="shared" si="2"/>
        <v>221.49532237561448</v>
      </c>
      <c r="L15" s="245"/>
      <c r="M15" s="247">
        <f t="shared" si="13"/>
        <v>0</v>
      </c>
      <c r="N15" s="246">
        <f t="shared" si="3"/>
        <v>0</v>
      </c>
      <c r="O15" s="245">
        <v>5.0276923076923</v>
      </c>
      <c r="P15" s="247">
        <v>6.40961538461538</v>
      </c>
      <c r="Q15" s="194">
        <f t="shared" si="14"/>
        <v>22.18365384615382</v>
      </c>
      <c r="R15" s="246">
        <f t="shared" si="4"/>
        <v>267.8037868976524</v>
      </c>
      <c r="S15" s="245"/>
      <c r="T15" s="247">
        <f t="shared" si="15"/>
        <v>0</v>
      </c>
      <c r="U15" s="246">
        <f t="shared" si="5"/>
        <v>0</v>
      </c>
      <c r="V15" s="245"/>
      <c r="W15" s="247">
        <f t="shared" si="16"/>
        <v>0</v>
      </c>
      <c r="X15" s="246">
        <f t="shared" si="6"/>
        <v>0</v>
      </c>
      <c r="Y15" s="245"/>
      <c r="Z15" s="247">
        <f t="shared" si="17"/>
        <v>0</v>
      </c>
      <c r="AA15" s="246">
        <f t="shared" si="7"/>
        <v>0</v>
      </c>
      <c r="AB15" s="245"/>
      <c r="AC15" s="247">
        <f t="shared" si="18"/>
        <v>0</v>
      </c>
      <c r="AD15" s="246">
        <f t="shared" si="8"/>
        <v>0</v>
      </c>
      <c r="AE15" s="245"/>
      <c r="AF15" s="247">
        <f t="shared" si="19"/>
        <v>0</v>
      </c>
      <c r="AG15" s="246">
        <f t="shared" si="9"/>
        <v>0</v>
      </c>
      <c r="AH15" s="1500">
        <f t="shared" si="20"/>
        <v>19328.38644511643</v>
      </c>
      <c r="AI15" s="61"/>
      <c r="AJ15" s="61"/>
      <c r="AK15" s="124"/>
    </row>
    <row r="16" spans="1:37" ht="12.75">
      <c r="A16" s="192">
        <v>85</v>
      </c>
      <c r="B16" s="248" t="s">
        <v>106</v>
      </c>
      <c r="C16" s="245">
        <v>288.517</v>
      </c>
      <c r="D16" s="260">
        <f t="shared" si="10"/>
        <v>0.0012010019854119616</v>
      </c>
      <c r="E16" s="246">
        <f t="shared" si="0"/>
        <v>199.74505719551146</v>
      </c>
      <c r="F16" s="245">
        <v>1128</v>
      </c>
      <c r="G16" s="247">
        <f t="shared" si="11"/>
        <v>0.001694599515657018</v>
      </c>
      <c r="H16" s="246">
        <f t="shared" si="1"/>
        <v>29.8241163769222</v>
      </c>
      <c r="I16" s="245">
        <v>38883.065910000005</v>
      </c>
      <c r="J16" s="247">
        <f t="shared" si="12"/>
        <v>0.11327616026604052</v>
      </c>
      <c r="K16" s="246">
        <f t="shared" si="2"/>
        <v>1993.604598190534</v>
      </c>
      <c r="L16" s="245"/>
      <c r="M16" s="247">
        <f t="shared" si="13"/>
        <v>0</v>
      </c>
      <c r="N16" s="246">
        <f t="shared" si="3"/>
        <v>0</v>
      </c>
      <c r="O16" s="245">
        <v>0</v>
      </c>
      <c r="P16" s="247">
        <v>0.05</v>
      </c>
      <c r="Q16" s="194">
        <f t="shared" si="14"/>
        <v>0.07500000000000001</v>
      </c>
      <c r="R16" s="246">
        <f t="shared" si="4"/>
        <v>0.9054091880723383</v>
      </c>
      <c r="S16" s="245"/>
      <c r="T16" s="247">
        <f t="shared" si="15"/>
        <v>0</v>
      </c>
      <c r="U16" s="246">
        <f t="shared" si="5"/>
        <v>0</v>
      </c>
      <c r="V16" s="245"/>
      <c r="W16" s="247">
        <f t="shared" si="16"/>
        <v>0</v>
      </c>
      <c r="X16" s="246">
        <f t="shared" si="6"/>
        <v>0</v>
      </c>
      <c r="Y16" s="245"/>
      <c r="Z16" s="247">
        <f t="shared" si="17"/>
        <v>0</v>
      </c>
      <c r="AA16" s="246">
        <f t="shared" si="7"/>
        <v>0</v>
      </c>
      <c r="AB16" s="245"/>
      <c r="AC16" s="247">
        <f t="shared" si="18"/>
        <v>0</v>
      </c>
      <c r="AD16" s="246">
        <f t="shared" si="8"/>
        <v>0</v>
      </c>
      <c r="AE16" s="245"/>
      <c r="AF16" s="247">
        <f t="shared" si="19"/>
        <v>0</v>
      </c>
      <c r="AG16" s="246">
        <f t="shared" si="9"/>
        <v>0</v>
      </c>
      <c r="AH16" s="1500">
        <f t="shared" si="20"/>
        <v>2224.07918095104</v>
      </c>
      <c r="AI16" s="61"/>
      <c r="AJ16" s="61"/>
      <c r="AK16" s="124"/>
    </row>
    <row r="17" spans="1:37" ht="13.5" thickBot="1">
      <c r="A17" s="197">
        <v>92</v>
      </c>
      <c r="B17" s="249" t="s">
        <v>17</v>
      </c>
      <c r="C17" s="250">
        <v>931.618</v>
      </c>
      <c r="D17" s="260">
        <f t="shared" si="10"/>
        <v>0.003878021286945036</v>
      </c>
      <c r="E17" s="246">
        <f t="shared" si="0"/>
        <v>644.974440654686</v>
      </c>
      <c r="F17" s="250">
        <v>15637</v>
      </c>
      <c r="G17" s="247">
        <f t="shared" si="11"/>
        <v>0.023491536016248926</v>
      </c>
      <c r="H17" s="246">
        <f t="shared" si="1"/>
        <v>413.43945725703225</v>
      </c>
      <c r="I17" s="250">
        <v>26309.889359999997</v>
      </c>
      <c r="J17" s="247">
        <f t="shared" si="12"/>
        <v>0.07664733153047688</v>
      </c>
      <c r="K17" s="246">
        <f t="shared" si="2"/>
        <v>1348.955263131415</v>
      </c>
      <c r="L17" s="250"/>
      <c r="M17" s="247">
        <f t="shared" si="13"/>
        <v>0</v>
      </c>
      <c r="N17" s="246">
        <f t="shared" si="3"/>
        <v>0</v>
      </c>
      <c r="O17" s="250">
        <v>1</v>
      </c>
      <c r="P17" s="251">
        <v>0.746153846153846</v>
      </c>
      <c r="Q17" s="194">
        <f t="shared" si="14"/>
        <v>3.619230769230769</v>
      </c>
      <c r="R17" s="246">
        <f t="shared" si="4"/>
        <v>43.69179722954205</v>
      </c>
      <c r="S17" s="250"/>
      <c r="T17" s="247">
        <f t="shared" si="15"/>
        <v>0</v>
      </c>
      <c r="U17" s="246">
        <f t="shared" si="5"/>
        <v>0</v>
      </c>
      <c r="V17" s="250"/>
      <c r="W17" s="247">
        <f t="shared" si="16"/>
        <v>0</v>
      </c>
      <c r="X17" s="246">
        <f t="shared" si="6"/>
        <v>0</v>
      </c>
      <c r="Y17" s="250"/>
      <c r="Z17" s="247">
        <f t="shared" si="17"/>
        <v>0</v>
      </c>
      <c r="AA17" s="246">
        <f t="shared" si="7"/>
        <v>0</v>
      </c>
      <c r="AB17" s="250"/>
      <c r="AC17" s="247">
        <f t="shared" si="18"/>
        <v>0</v>
      </c>
      <c r="AD17" s="246">
        <f t="shared" si="8"/>
        <v>0</v>
      </c>
      <c r="AE17" s="250"/>
      <c r="AF17" s="247">
        <f t="shared" si="19"/>
        <v>0</v>
      </c>
      <c r="AG17" s="246">
        <f t="shared" si="9"/>
        <v>0</v>
      </c>
      <c r="AH17" s="1501">
        <f t="shared" si="20"/>
        <v>2451.060958272675</v>
      </c>
      <c r="AI17" s="61"/>
      <c r="AJ17" s="61"/>
      <c r="AK17" s="124"/>
    </row>
    <row r="18" spans="1:37" ht="13.5" thickBot="1">
      <c r="A18" s="252" t="s">
        <v>245</v>
      </c>
      <c r="B18" s="253"/>
      <c r="C18" s="254">
        <v>240230.244</v>
      </c>
      <c r="D18" s="257">
        <v>0.9999999999999999</v>
      </c>
      <c r="E18" s="255">
        <f aca="true" t="shared" si="21" ref="E18:AH18">SUM(E6:E17)</f>
        <v>166315.34304</v>
      </c>
      <c r="F18" s="254">
        <f t="shared" si="21"/>
        <v>665644</v>
      </c>
      <c r="G18" s="257">
        <f t="shared" si="21"/>
        <v>0.9999999999999998</v>
      </c>
      <c r="H18" s="255">
        <f t="shared" si="21"/>
        <v>17599.507199999996</v>
      </c>
      <c r="I18" s="254">
        <f t="shared" si="21"/>
        <v>343259.03896</v>
      </c>
      <c r="J18" s="257">
        <f t="shared" si="21"/>
        <v>0.9999999999999999</v>
      </c>
      <c r="K18" s="255">
        <f t="shared" si="21"/>
        <v>17599.5072</v>
      </c>
      <c r="L18" s="254">
        <f t="shared" si="21"/>
        <v>0</v>
      </c>
      <c r="M18" s="257">
        <f t="shared" si="21"/>
        <v>0</v>
      </c>
      <c r="N18" s="255">
        <f t="shared" si="21"/>
        <v>0</v>
      </c>
      <c r="O18" s="254">
        <f t="shared" si="21"/>
        <v>192.50798076923047</v>
      </c>
      <c r="P18" s="257">
        <f>SUM(P6:P17)</f>
        <v>310.8942307692302</v>
      </c>
      <c r="Q18" s="258">
        <f t="shared" si="21"/>
        <v>947.6112980769217</v>
      </c>
      <c r="R18" s="255">
        <f t="shared" si="21"/>
        <v>11439.679679999994</v>
      </c>
      <c r="S18" s="254">
        <f t="shared" si="21"/>
        <v>9357.347876926102</v>
      </c>
      <c r="T18" s="257">
        <f t="shared" si="21"/>
        <v>1</v>
      </c>
      <c r="U18" s="255">
        <f t="shared" si="21"/>
        <v>70398.0288</v>
      </c>
      <c r="V18" s="254">
        <f t="shared" si="21"/>
        <v>6003.5</v>
      </c>
      <c r="W18" s="257">
        <f t="shared" si="21"/>
        <v>1</v>
      </c>
      <c r="X18" s="255">
        <f t="shared" si="21"/>
        <v>11439.67968</v>
      </c>
      <c r="Y18" s="254">
        <f t="shared" si="21"/>
        <v>741</v>
      </c>
      <c r="Z18" s="257">
        <f t="shared" si="21"/>
        <v>1.0000000000000002</v>
      </c>
      <c r="AA18" s="255">
        <f t="shared" si="21"/>
        <v>17599.507200000004</v>
      </c>
      <c r="AB18" s="256">
        <f t="shared" si="21"/>
        <v>246787</v>
      </c>
      <c r="AC18" s="257">
        <f t="shared" si="21"/>
        <v>1</v>
      </c>
      <c r="AD18" s="255">
        <f t="shared" si="21"/>
        <v>63798.21359999999</v>
      </c>
      <c r="AE18" s="256">
        <f t="shared" si="21"/>
        <v>34787</v>
      </c>
      <c r="AF18" s="257">
        <f t="shared" si="21"/>
        <v>0.9999999999999998</v>
      </c>
      <c r="AG18" s="255">
        <f t="shared" si="21"/>
        <v>63798.21359999999</v>
      </c>
      <c r="AH18" s="815">
        <f t="shared" si="21"/>
        <v>439987.68000000005</v>
      </c>
      <c r="AI18" s="61"/>
      <c r="AJ18" s="61"/>
      <c r="AK18" s="124"/>
    </row>
    <row r="19" spans="1:37" ht="12.75">
      <c r="A19" s="192"/>
      <c r="B19" s="259" t="s">
        <v>82</v>
      </c>
      <c r="C19" s="260">
        <v>166.378</v>
      </c>
      <c r="D19" s="61"/>
      <c r="J19" s="61"/>
      <c r="M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K19" s="124"/>
    </row>
    <row r="20" spans="1:37" ht="12.75">
      <c r="A20" s="192"/>
      <c r="B20" s="259" t="s">
        <v>24</v>
      </c>
      <c r="C20" s="260">
        <v>221.097</v>
      </c>
      <c r="D20" s="61"/>
      <c r="J20" s="61"/>
      <c r="M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K20" s="124"/>
    </row>
    <row r="21" spans="1:37" ht="12.75">
      <c r="A21" s="261" t="s">
        <v>70</v>
      </c>
      <c r="B21" s="262"/>
      <c r="C21" s="263">
        <f>C18+SUM(C19:C20)</f>
        <v>240617.719</v>
      </c>
      <c r="D21" s="61"/>
      <c r="J21" s="61"/>
      <c r="M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K21" s="124"/>
    </row>
    <row r="22" spans="1:37" ht="12.75">
      <c r="A22" s="61"/>
      <c r="B22" s="61"/>
      <c r="C22" s="61"/>
      <c r="D22" s="61"/>
      <c r="G22" s="61"/>
      <c r="J22" s="61"/>
      <c r="M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K22" s="124"/>
    </row>
    <row r="23" spans="1:33" ht="13.5" customHeight="1" hidden="1" thickBot="1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</row>
    <row r="24" spans="1:33" ht="12.75" customHeight="1" hidden="1">
      <c r="A24" s="1535"/>
      <c r="B24" s="1536"/>
      <c r="C24" s="264" t="s">
        <v>203</v>
      </c>
      <c r="D24" s="264" t="s">
        <v>203</v>
      </c>
      <c r="E24" s="265" t="s">
        <v>206</v>
      </c>
      <c r="F24" s="264" t="s">
        <v>216</v>
      </c>
      <c r="G24" s="264"/>
      <c r="H24" s="265"/>
      <c r="I24" s="264"/>
      <c r="J24" s="264"/>
      <c r="K24" s="265"/>
      <c r="L24" s="264"/>
      <c r="M24" s="264"/>
      <c r="N24" s="265"/>
      <c r="O24" s="61"/>
      <c r="P24" s="61"/>
      <c r="Q24" s="61"/>
      <c r="R24" s="61"/>
      <c r="S24" s="61"/>
      <c r="T24" s="61"/>
      <c r="U24" s="61"/>
      <c r="V24" s="61"/>
      <c r="W24" s="264"/>
      <c r="X24" s="61"/>
      <c r="Y24" s="61"/>
      <c r="Z24" s="61"/>
      <c r="AA24" s="61"/>
      <c r="AB24" s="61"/>
      <c r="AC24" s="61"/>
      <c r="AD24" s="61"/>
      <c r="AE24" s="61"/>
      <c r="AF24" s="61"/>
      <c r="AG24" s="61"/>
    </row>
    <row r="25" spans="1:33" ht="13.5" customHeight="1" hidden="1" thickBot="1">
      <c r="A25" s="1537"/>
      <c r="B25" s="1538"/>
      <c r="C25" s="190" t="s">
        <v>278</v>
      </c>
      <c r="D25" s="190" t="s">
        <v>264</v>
      </c>
      <c r="E25" s="266" t="s">
        <v>207</v>
      </c>
      <c r="F25" s="190" t="s">
        <v>246</v>
      </c>
      <c r="G25" s="190"/>
      <c r="H25" s="266"/>
      <c r="I25" s="190"/>
      <c r="J25" s="190"/>
      <c r="K25" s="266"/>
      <c r="L25" s="190"/>
      <c r="M25" s="190"/>
      <c r="N25" s="266"/>
      <c r="O25" s="61"/>
      <c r="P25" s="61"/>
      <c r="Q25" s="61"/>
      <c r="R25" s="61"/>
      <c r="S25" s="61"/>
      <c r="T25" s="61"/>
      <c r="U25" s="61"/>
      <c r="V25" s="61"/>
      <c r="W25" s="190"/>
      <c r="X25" s="61"/>
      <c r="Y25" s="61"/>
      <c r="Z25" s="61"/>
      <c r="AA25" s="61"/>
      <c r="AB25" s="61"/>
      <c r="AC25" s="61"/>
      <c r="AD25" s="61"/>
      <c r="AE25" s="61"/>
      <c r="AF25" s="61"/>
      <c r="AG25" s="61"/>
    </row>
    <row r="26" spans="1:33" ht="12.75" customHeight="1" hidden="1">
      <c r="A26" s="267">
        <v>11</v>
      </c>
      <c r="B26" s="268" t="s">
        <v>7</v>
      </c>
      <c r="C26" s="191">
        <f>str1!H16</f>
        <v>260176.38361151307</v>
      </c>
      <c r="D26" s="191">
        <f aca="true" t="shared" si="22" ref="D26:D37">AH6</f>
        <v>69282.86773050853</v>
      </c>
      <c r="E26" s="269">
        <f>SUM(C26:D26)</f>
        <v>329459.2513420216</v>
      </c>
      <c r="F26" s="191">
        <v>328299</v>
      </c>
      <c r="G26" s="191"/>
      <c r="H26" s="269"/>
      <c r="I26" s="191"/>
      <c r="J26" s="191"/>
      <c r="K26" s="269"/>
      <c r="L26" s="191"/>
      <c r="M26" s="191"/>
      <c r="N26" s="269"/>
      <c r="O26" s="61"/>
      <c r="P26" s="61"/>
      <c r="Q26" s="61"/>
      <c r="R26" s="61"/>
      <c r="S26" s="61"/>
      <c r="T26" s="61"/>
      <c r="U26" s="61"/>
      <c r="V26" s="61"/>
      <c r="W26" s="191"/>
      <c r="X26" s="61"/>
      <c r="Y26" s="61"/>
      <c r="Z26" s="61"/>
      <c r="AA26" s="61"/>
      <c r="AB26" s="61"/>
      <c r="AC26" s="61"/>
      <c r="AD26" s="61"/>
      <c r="AE26" s="61"/>
      <c r="AF26" s="61"/>
      <c r="AG26" s="61"/>
    </row>
    <row r="27" spans="1:33" ht="12.75" customHeight="1" hidden="1">
      <c r="A27" s="270">
        <v>21</v>
      </c>
      <c r="B27" s="271" t="s">
        <v>8</v>
      </c>
      <c r="C27" s="196">
        <f>str1!H17</f>
        <v>249571.84200796435</v>
      </c>
      <c r="D27" s="196">
        <f t="shared" si="22"/>
        <v>87693.40017771683</v>
      </c>
      <c r="E27" s="272">
        <f aca="true" t="shared" si="23" ref="E27:E37">SUM(C27:D27)</f>
        <v>337265.2421856812</v>
      </c>
      <c r="F27" s="196">
        <v>333427</v>
      </c>
      <c r="G27" s="196"/>
      <c r="H27" s="272"/>
      <c r="I27" s="196"/>
      <c r="J27" s="196"/>
      <c r="K27" s="272"/>
      <c r="L27" s="196"/>
      <c r="M27" s="196"/>
      <c r="N27" s="272"/>
      <c r="O27" s="61"/>
      <c r="P27" s="61"/>
      <c r="Q27" s="61"/>
      <c r="R27" s="61"/>
      <c r="S27" s="61"/>
      <c r="T27" s="61"/>
      <c r="U27" s="61"/>
      <c r="V27" s="61"/>
      <c r="W27" s="196"/>
      <c r="X27" s="61"/>
      <c r="Y27" s="61"/>
      <c r="Z27" s="61"/>
      <c r="AA27" s="61"/>
      <c r="AB27" s="61"/>
      <c r="AC27" s="61"/>
      <c r="AD27" s="61"/>
      <c r="AE27" s="61"/>
      <c r="AF27" s="61"/>
      <c r="AG27" s="61"/>
    </row>
    <row r="28" spans="1:33" ht="12.75" customHeight="1" hidden="1">
      <c r="A28" s="270">
        <v>22</v>
      </c>
      <c r="B28" s="271" t="s">
        <v>9</v>
      </c>
      <c r="C28" s="196">
        <f>str1!H18</f>
        <v>95104.32739320373</v>
      </c>
      <c r="D28" s="196">
        <f t="shared" si="22"/>
        <v>26231.830385529505</v>
      </c>
      <c r="E28" s="272">
        <f t="shared" si="23"/>
        <v>121336.15777873324</v>
      </c>
      <c r="F28" s="196">
        <v>126011</v>
      </c>
      <c r="G28" s="196"/>
      <c r="H28" s="272"/>
      <c r="I28" s="196"/>
      <c r="J28" s="196"/>
      <c r="K28" s="272"/>
      <c r="L28" s="196"/>
      <c r="M28" s="196"/>
      <c r="N28" s="272"/>
      <c r="O28" s="61"/>
      <c r="P28" s="61"/>
      <c r="Q28" s="61"/>
      <c r="R28" s="61"/>
      <c r="S28" s="61"/>
      <c r="T28" s="61"/>
      <c r="U28" s="61"/>
      <c r="V28" s="61"/>
      <c r="W28" s="196"/>
      <c r="X28" s="61"/>
      <c r="Y28" s="61"/>
      <c r="Z28" s="61"/>
      <c r="AA28" s="61"/>
      <c r="AB28" s="61"/>
      <c r="AC28" s="61"/>
      <c r="AD28" s="61"/>
      <c r="AE28" s="61"/>
      <c r="AF28" s="61"/>
      <c r="AG28" s="61"/>
    </row>
    <row r="29" spans="1:33" ht="12.75" customHeight="1" hidden="1">
      <c r="A29" s="270">
        <v>23</v>
      </c>
      <c r="B29" s="271" t="s">
        <v>10</v>
      </c>
      <c r="C29" s="196">
        <f>str1!H19</f>
        <v>106111.17795185147</v>
      </c>
      <c r="D29" s="196">
        <f t="shared" si="22"/>
        <v>38134.54997409908</v>
      </c>
      <c r="E29" s="272">
        <f t="shared" si="23"/>
        <v>144245.72792595054</v>
      </c>
      <c r="F29" s="196">
        <v>139398</v>
      </c>
      <c r="G29" s="196"/>
      <c r="H29" s="272"/>
      <c r="I29" s="196"/>
      <c r="J29" s="196"/>
      <c r="K29" s="272"/>
      <c r="L29" s="196"/>
      <c r="M29" s="196"/>
      <c r="N29" s="272"/>
      <c r="O29" s="61"/>
      <c r="P29" s="61"/>
      <c r="Q29" s="61"/>
      <c r="R29" s="61"/>
      <c r="S29" s="61"/>
      <c r="T29" s="61"/>
      <c r="U29" s="61"/>
      <c r="V29" s="61"/>
      <c r="W29" s="196"/>
      <c r="X29" s="61"/>
      <c r="Y29" s="61"/>
      <c r="Z29" s="61"/>
      <c r="AA29" s="61"/>
      <c r="AB29" s="61"/>
      <c r="AC29" s="61"/>
      <c r="AD29" s="61"/>
      <c r="AE29" s="61"/>
      <c r="AF29" s="61"/>
      <c r="AG29" s="61"/>
    </row>
    <row r="30" spans="1:33" ht="12.75" customHeight="1" hidden="1">
      <c r="A30" s="270">
        <v>31</v>
      </c>
      <c r="B30" s="271" t="s">
        <v>11</v>
      </c>
      <c r="C30" s="196">
        <f>str1!H20</f>
        <v>258715.13422056322</v>
      </c>
      <c r="D30" s="196">
        <f t="shared" si="22"/>
        <v>106769.56721228774</v>
      </c>
      <c r="E30" s="272">
        <f t="shared" si="23"/>
        <v>365484.70143285097</v>
      </c>
      <c r="F30" s="196">
        <v>345106</v>
      </c>
      <c r="G30" s="196"/>
      <c r="H30" s="272"/>
      <c r="I30" s="196"/>
      <c r="J30" s="196"/>
      <c r="K30" s="272"/>
      <c r="L30" s="196"/>
      <c r="M30" s="196"/>
      <c r="N30" s="272"/>
      <c r="O30" s="61"/>
      <c r="P30" s="61"/>
      <c r="Q30" s="61"/>
      <c r="R30" s="61"/>
      <c r="S30" s="61"/>
      <c r="T30" s="61"/>
      <c r="U30" s="61"/>
      <c r="V30" s="61"/>
      <c r="W30" s="196"/>
      <c r="X30" s="61"/>
      <c r="Y30" s="61"/>
      <c r="Z30" s="61"/>
      <c r="AA30" s="61"/>
      <c r="AB30" s="61"/>
      <c r="AC30" s="61"/>
      <c r="AD30" s="61"/>
      <c r="AE30" s="61"/>
      <c r="AF30" s="61"/>
      <c r="AG30" s="61"/>
    </row>
    <row r="31" spans="1:23" ht="12.75" customHeight="1" hidden="1">
      <c r="A31" s="270">
        <v>33</v>
      </c>
      <c r="B31" s="271" t="s">
        <v>12</v>
      </c>
      <c r="C31" s="196">
        <f>str1!H21</f>
        <v>108140.85745378761</v>
      </c>
      <c r="D31" s="196">
        <f t="shared" si="22"/>
        <v>24271.280658164636</v>
      </c>
      <c r="E31" s="272">
        <f t="shared" si="23"/>
        <v>132412.13811195226</v>
      </c>
      <c r="F31" s="196">
        <v>126549</v>
      </c>
      <c r="G31" s="196"/>
      <c r="H31" s="272"/>
      <c r="I31" s="196"/>
      <c r="J31" s="196"/>
      <c r="K31" s="272"/>
      <c r="L31" s="196"/>
      <c r="M31" s="196"/>
      <c r="N31" s="272"/>
      <c r="W31" s="196"/>
    </row>
    <row r="32" spans="1:23" ht="12.75" customHeight="1" hidden="1">
      <c r="A32" s="270">
        <v>41</v>
      </c>
      <c r="B32" s="271" t="s">
        <v>13</v>
      </c>
      <c r="C32" s="196">
        <f>str1!H22</f>
        <v>155839.22625570087</v>
      </c>
      <c r="D32" s="196">
        <f t="shared" si="22"/>
        <v>28110.11776187537</v>
      </c>
      <c r="E32" s="272">
        <f t="shared" si="23"/>
        <v>183949.34401757625</v>
      </c>
      <c r="F32" s="196">
        <v>202164</v>
      </c>
      <c r="G32" s="196"/>
      <c r="H32" s="272"/>
      <c r="I32" s="196"/>
      <c r="J32" s="196"/>
      <c r="K32" s="272"/>
      <c r="L32" s="196"/>
      <c r="M32" s="196"/>
      <c r="N32" s="272"/>
      <c r="W32" s="196"/>
    </row>
    <row r="33" spans="1:23" ht="12.75" customHeight="1" hidden="1">
      <c r="A33" s="270">
        <v>51</v>
      </c>
      <c r="B33" s="271" t="s">
        <v>14</v>
      </c>
      <c r="C33" s="196">
        <f>str1!H23</f>
        <v>61678.30005172702</v>
      </c>
      <c r="D33" s="196">
        <f t="shared" si="22"/>
        <v>9063.102825495982</v>
      </c>
      <c r="E33" s="272">
        <f t="shared" si="23"/>
        <v>70741.40287722301</v>
      </c>
      <c r="F33" s="196">
        <v>71266</v>
      </c>
      <c r="G33" s="196"/>
      <c r="H33" s="272"/>
      <c r="I33" s="196"/>
      <c r="J33" s="196"/>
      <c r="K33" s="272"/>
      <c r="L33" s="196"/>
      <c r="M33" s="196"/>
      <c r="N33" s="272"/>
      <c r="W33" s="196"/>
    </row>
    <row r="34" spans="1:23" ht="12.75" customHeight="1" hidden="1">
      <c r="A34" s="270">
        <v>56</v>
      </c>
      <c r="B34" s="271" t="s">
        <v>15</v>
      </c>
      <c r="C34" s="196">
        <f>str1!H24</f>
        <v>97957.07105368843</v>
      </c>
      <c r="D34" s="196">
        <f t="shared" si="22"/>
        <v>26427.43668998216</v>
      </c>
      <c r="E34" s="272">
        <f t="shared" si="23"/>
        <v>124384.50774367059</v>
      </c>
      <c r="F34" s="196">
        <v>122590</v>
      </c>
      <c r="G34" s="196"/>
      <c r="H34" s="272"/>
      <c r="I34" s="196"/>
      <c r="J34" s="196"/>
      <c r="K34" s="272"/>
      <c r="L34" s="196"/>
      <c r="M34" s="196"/>
      <c r="N34" s="272"/>
      <c r="W34" s="196"/>
    </row>
    <row r="35" spans="1:23" ht="12.75" customHeight="1" hidden="1">
      <c r="A35" s="270">
        <v>71</v>
      </c>
      <c r="B35" s="271" t="s">
        <v>208</v>
      </c>
      <c r="C35" s="196">
        <f>str1!H25</f>
        <v>0</v>
      </c>
      <c r="D35" s="196">
        <f t="shared" si="22"/>
        <v>19328.38644511643</v>
      </c>
      <c r="E35" s="272">
        <f t="shared" si="23"/>
        <v>19328.38644511643</v>
      </c>
      <c r="F35" s="196">
        <v>21395</v>
      </c>
      <c r="G35" s="196"/>
      <c r="H35" s="272"/>
      <c r="I35" s="196"/>
      <c r="J35" s="196"/>
      <c r="K35" s="272"/>
      <c r="L35" s="196"/>
      <c r="M35" s="196"/>
      <c r="N35" s="272"/>
      <c r="W35" s="196"/>
    </row>
    <row r="36" spans="1:23" ht="12.75" customHeight="1" hidden="1">
      <c r="A36" s="270">
        <v>85</v>
      </c>
      <c r="B36" s="271" t="s">
        <v>106</v>
      </c>
      <c r="C36" s="196">
        <f>str1!H26</f>
        <v>0</v>
      </c>
      <c r="D36" s="196">
        <f t="shared" si="22"/>
        <v>2224.07918095104</v>
      </c>
      <c r="E36" s="273">
        <f t="shared" si="23"/>
        <v>2224.07918095104</v>
      </c>
      <c r="F36" s="196">
        <v>1648</v>
      </c>
      <c r="G36" s="196"/>
      <c r="H36" s="273"/>
      <c r="I36" s="196"/>
      <c r="J36" s="196"/>
      <c r="K36" s="273"/>
      <c r="L36" s="196"/>
      <c r="M36" s="196"/>
      <c r="N36" s="273"/>
      <c r="W36" s="196"/>
    </row>
    <row r="37" spans="1:23" ht="13.5" customHeight="1" hidden="1" thickBot="1">
      <c r="A37" s="274">
        <v>92</v>
      </c>
      <c r="B37" s="275" t="s">
        <v>17</v>
      </c>
      <c r="C37" s="276">
        <f>str1!H27</f>
        <v>0</v>
      </c>
      <c r="D37" s="276">
        <f t="shared" si="22"/>
        <v>2451.060958272675</v>
      </c>
      <c r="E37" s="277">
        <f t="shared" si="23"/>
        <v>2451.060958272675</v>
      </c>
      <c r="F37" s="276">
        <v>2251</v>
      </c>
      <c r="G37" s="276"/>
      <c r="H37" s="277"/>
      <c r="I37" s="276"/>
      <c r="J37" s="276"/>
      <c r="K37" s="277"/>
      <c r="L37" s="276"/>
      <c r="M37" s="276"/>
      <c r="N37" s="277"/>
      <c r="W37" s="276"/>
    </row>
    <row r="38" spans="1:23" ht="13.5" customHeight="1" hidden="1" thickBot="1">
      <c r="A38" s="278" t="s">
        <v>70</v>
      </c>
      <c r="B38" s="204"/>
      <c r="C38" s="198">
        <f>SUM(C26:C36)</f>
        <v>1393294.32</v>
      </c>
      <c r="D38" s="198">
        <f>SUM(D26:D37)</f>
        <v>439987.68000000005</v>
      </c>
      <c r="E38" s="279">
        <f>SUM(E26:E37)</f>
        <v>1833281.9999999998</v>
      </c>
      <c r="F38" s="198">
        <f>SUM(F26:F37)</f>
        <v>1820104</v>
      </c>
      <c r="G38" s="198"/>
      <c r="H38" s="279"/>
      <c r="I38" s="198"/>
      <c r="J38" s="198"/>
      <c r="K38" s="279"/>
      <c r="L38" s="198"/>
      <c r="M38" s="198"/>
      <c r="N38" s="279"/>
      <c r="W38" s="198"/>
    </row>
    <row r="39" spans="1:23" ht="12.75" hidden="1">
      <c r="A39" s="280"/>
      <c r="B39" s="281"/>
      <c r="C39" s="281"/>
      <c r="D39" s="281"/>
      <c r="E39" s="281"/>
      <c r="F39" s="281"/>
      <c r="G39" s="281"/>
      <c r="H39" s="281"/>
      <c r="I39" s="281"/>
      <c r="J39" s="281"/>
      <c r="K39" s="281"/>
      <c r="L39" s="281"/>
      <c r="M39" s="281"/>
      <c r="N39" s="281"/>
      <c r="W39" s="281"/>
    </row>
    <row r="44" spans="3:23" ht="12.75"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W44" s="124"/>
    </row>
  </sheetData>
  <sheetProtection/>
  <mergeCells count="4">
    <mergeCell ref="A3:B3"/>
    <mergeCell ref="A24:B25"/>
    <mergeCell ref="A4:B4"/>
    <mergeCell ref="AH3:AH4"/>
  </mergeCells>
  <printOptions/>
  <pageMargins left="0.2755905511811024" right="0.1968503937007874" top="0.984251968503937" bottom="0.984251968503937" header="0.5118110236220472" footer="0.5118110236220472"/>
  <pageSetup horizontalDpi="600" verticalDpi="600" orientation="landscape" paperSize="9" scale="55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60"/>
  <sheetViews>
    <sheetView showGridLines="0" zoomScalePageLayoutView="0" workbookViewId="0" topLeftCell="A1">
      <selection activeCell="F10" sqref="F10:F23"/>
    </sheetView>
  </sheetViews>
  <sheetFormatPr defaultColWidth="11.375" defaultRowHeight="12.75"/>
  <cols>
    <col min="1" max="1" width="11.375" style="49" customWidth="1"/>
    <col min="2" max="2" width="11.125" style="49" customWidth="1"/>
    <col min="3" max="3" width="10.375" style="49" customWidth="1"/>
    <col min="4" max="5" width="10.25390625" style="49" customWidth="1"/>
    <col min="6" max="6" width="11.25390625" style="49" customWidth="1"/>
    <col min="7" max="7" width="11.125" style="49" customWidth="1"/>
    <col min="8" max="8" width="10.375" style="49" customWidth="1"/>
    <col min="9" max="9" width="10.25390625" style="49" customWidth="1"/>
    <col min="10" max="10" width="11.00390625" style="49" bestFit="1" customWidth="1"/>
    <col min="11" max="11" width="9.875" style="49" customWidth="1"/>
    <col min="12" max="12" width="9.125" style="49" customWidth="1"/>
    <col min="13" max="13" width="9.625" style="49" customWidth="1"/>
    <col min="14" max="14" width="4.00390625" style="49" customWidth="1"/>
    <col min="15" max="15" width="10.25390625" style="49" customWidth="1"/>
    <col min="16" max="16" width="2.75390625" style="49" customWidth="1"/>
    <col min="17" max="17" width="8.75390625" style="49" customWidth="1"/>
    <col min="18" max="18" width="11.375" style="49" customWidth="1"/>
    <col min="19" max="19" width="10.75390625" style="49" customWidth="1"/>
    <col min="20" max="16384" width="11.375" style="49" customWidth="1"/>
  </cols>
  <sheetData>
    <row r="1" ht="15.75">
      <c r="A1" s="125" t="s">
        <v>598</v>
      </c>
    </row>
    <row r="2" ht="12.75">
      <c r="A2" s="286" t="s">
        <v>599</v>
      </c>
    </row>
    <row r="3" ht="13.5" thickBot="1">
      <c r="A3" s="282"/>
    </row>
    <row r="4" spans="1:3" ht="15.75" customHeight="1">
      <c r="A4" s="12" t="s">
        <v>290</v>
      </c>
      <c r="C4" s="283">
        <f>str1!F8</f>
        <v>531737</v>
      </c>
    </row>
    <row r="5" spans="1:3" ht="15.75" customHeight="1">
      <c r="A5" s="13" t="s">
        <v>358</v>
      </c>
      <c r="B5" s="13"/>
      <c r="C5" s="1037">
        <v>21215.271</v>
      </c>
    </row>
    <row r="6" spans="1:3" ht="19.5" thickBot="1">
      <c r="A6" s="14" t="s">
        <v>291</v>
      </c>
      <c r="B6" s="13"/>
      <c r="C6" s="33">
        <f>C4-C5</f>
        <v>510521.729</v>
      </c>
    </row>
    <row r="7" ht="13.5" thickBot="1"/>
    <row r="8" spans="1:9" ht="44.25" customHeight="1">
      <c r="A8" s="29"/>
      <c r="B8" s="30" t="s">
        <v>368</v>
      </c>
      <c r="C8" s="30" t="s">
        <v>369</v>
      </c>
      <c r="D8" s="681" t="s">
        <v>292</v>
      </c>
      <c r="E8" s="30" t="s">
        <v>293</v>
      </c>
      <c r="F8" s="30" t="s">
        <v>547</v>
      </c>
      <c r="G8" s="31" t="s">
        <v>294</v>
      </c>
      <c r="H8" s="679" t="s">
        <v>600</v>
      </c>
      <c r="I8" s="45" t="s">
        <v>392</v>
      </c>
    </row>
    <row r="9" spans="1:9" s="13" customFormat="1" ht="12.75" customHeight="1">
      <c r="A9" s="32"/>
      <c r="B9" s="15">
        <v>1</v>
      </c>
      <c r="C9" s="15">
        <v>2</v>
      </c>
      <c r="D9" s="682" t="s">
        <v>334</v>
      </c>
      <c r="E9" s="15">
        <v>4</v>
      </c>
      <c r="F9" s="15">
        <v>5</v>
      </c>
      <c r="G9" s="16">
        <v>6</v>
      </c>
      <c r="H9" s="680">
        <v>7</v>
      </c>
      <c r="I9" s="46">
        <v>8</v>
      </c>
    </row>
    <row r="10" spans="1:9" ht="12.75">
      <c r="A10" s="32" t="s">
        <v>7</v>
      </c>
      <c r="B10" s="1036">
        <v>32420.281</v>
      </c>
      <c r="C10" s="1036">
        <v>-1244.63192196882</v>
      </c>
      <c r="D10" s="683">
        <f>SUM(B10:C10)</f>
        <v>31175.64907803118</v>
      </c>
      <c r="E10" s="1489">
        <f>D10/$D$25</f>
        <v>0.12956505949601818</v>
      </c>
      <c r="F10" s="17">
        <f>E10*$C$6</f>
        <v>66145.77819189506</v>
      </c>
      <c r="G10" s="18"/>
      <c r="H10" s="685">
        <f aca="true" t="shared" si="0" ref="H10:H24">F10+G10</f>
        <v>66145.77819189506</v>
      </c>
      <c r="I10" s="47">
        <v>66146</v>
      </c>
    </row>
    <row r="11" spans="1:9" ht="12.75">
      <c r="A11" s="32" t="s">
        <v>8</v>
      </c>
      <c r="B11" s="1036">
        <v>28645.387</v>
      </c>
      <c r="C11" s="1036"/>
      <c r="D11" s="683">
        <f aca="true" t="shared" si="1" ref="D11:D24">SUM(B11:C11)</f>
        <v>28645.387</v>
      </c>
      <c r="E11" s="1489">
        <f aca="true" t="shared" si="2" ref="E11:E24">D11/$D$25</f>
        <v>0.11904936643506292</v>
      </c>
      <c r="F11" s="17">
        <f>E11*$C$6</f>
        <v>60777.28838878289</v>
      </c>
      <c r="G11" s="18"/>
      <c r="H11" s="685">
        <f t="shared" si="0"/>
        <v>60777.28838878289</v>
      </c>
      <c r="I11" s="47">
        <v>60777</v>
      </c>
    </row>
    <row r="12" spans="1:9" ht="12.75">
      <c r="A12" s="32" t="s">
        <v>9</v>
      </c>
      <c r="B12" s="1036">
        <v>11033.141</v>
      </c>
      <c r="C12" s="1036"/>
      <c r="D12" s="683">
        <f t="shared" si="1"/>
        <v>11033.141</v>
      </c>
      <c r="E12" s="1489">
        <f t="shared" si="2"/>
        <v>0.04585340200984949</v>
      </c>
      <c r="F12" s="17">
        <f aca="true" t="shared" si="3" ref="F12:F23">E12*$C$6</f>
        <v>23409.158074600437</v>
      </c>
      <c r="G12" s="18"/>
      <c r="H12" s="685">
        <f t="shared" si="0"/>
        <v>23409.158074600437</v>
      </c>
      <c r="I12" s="47">
        <v>23409</v>
      </c>
    </row>
    <row r="13" spans="1:11" ht="12.75">
      <c r="A13" s="32" t="s">
        <v>295</v>
      </c>
      <c r="B13" s="1052">
        <v>12996.51</v>
      </c>
      <c r="C13" s="1052">
        <v>31.531</v>
      </c>
      <c r="D13" s="683">
        <f t="shared" si="1"/>
        <v>13028.041000000001</v>
      </c>
      <c r="E13" s="1489">
        <f t="shared" si="2"/>
        <v>0.054144146383500555</v>
      </c>
      <c r="F13" s="17">
        <f t="shared" si="3"/>
        <v>27641.7632269338</v>
      </c>
      <c r="G13" s="18"/>
      <c r="H13" s="685">
        <f t="shared" si="0"/>
        <v>27641.7632269338</v>
      </c>
      <c r="I13" s="47">
        <v>27642</v>
      </c>
      <c r="K13" s="284"/>
    </row>
    <row r="14" spans="1:9" ht="12.75">
      <c r="A14" s="32" t="s">
        <v>11</v>
      </c>
      <c r="B14" s="1036">
        <v>104983.52</v>
      </c>
      <c r="C14" s="1036">
        <v>-8769.48816136474</v>
      </c>
      <c r="D14" s="683">
        <f t="shared" si="1"/>
        <v>96214.03183863526</v>
      </c>
      <c r="E14" s="1489">
        <f t="shared" si="2"/>
        <v>0.39986262125041283</v>
      </c>
      <c r="F14" s="17">
        <f t="shared" si="3"/>
        <v>204138.5567632329</v>
      </c>
      <c r="G14" s="18"/>
      <c r="H14" s="685">
        <f t="shared" si="0"/>
        <v>204138.5567632329</v>
      </c>
      <c r="I14" s="1152">
        <v>204138</v>
      </c>
    </row>
    <row r="15" spans="1:9" ht="12.75">
      <c r="A15" s="32" t="s">
        <v>12</v>
      </c>
      <c r="B15" s="1036">
        <v>15155.772</v>
      </c>
      <c r="C15" s="1036"/>
      <c r="D15" s="683">
        <f t="shared" si="1"/>
        <v>15155.772</v>
      </c>
      <c r="E15" s="1489">
        <f t="shared" si="2"/>
        <v>0.0629869323962796</v>
      </c>
      <c r="F15" s="17">
        <f t="shared" si="3"/>
        <v>32156.197631354775</v>
      </c>
      <c r="G15" s="18"/>
      <c r="H15" s="685">
        <f t="shared" si="0"/>
        <v>32156.197631354775</v>
      </c>
      <c r="I15" s="47">
        <v>32156</v>
      </c>
    </row>
    <row r="16" spans="1:9" ht="12.75">
      <c r="A16" s="32" t="s">
        <v>13</v>
      </c>
      <c r="B16" s="1036">
        <v>14225.152</v>
      </c>
      <c r="C16" s="1036"/>
      <c r="D16" s="683">
        <f t="shared" si="1"/>
        <v>14225.152</v>
      </c>
      <c r="E16" s="1489">
        <f t="shared" si="2"/>
        <v>0.05911930367854581</v>
      </c>
      <c r="F16" s="17">
        <f t="shared" si="3"/>
        <v>30181.689131247265</v>
      </c>
      <c r="G16" s="18"/>
      <c r="H16" s="685">
        <f t="shared" si="0"/>
        <v>30181.689131247265</v>
      </c>
      <c r="I16" s="47">
        <v>30182</v>
      </c>
    </row>
    <row r="17" spans="1:9" ht="12.75">
      <c r="A17" s="32" t="s">
        <v>14</v>
      </c>
      <c r="B17" s="1036">
        <v>1582.579</v>
      </c>
      <c r="C17" s="1036"/>
      <c r="D17" s="683">
        <f t="shared" si="1"/>
        <v>1582.579</v>
      </c>
      <c r="E17" s="1489">
        <f t="shared" si="2"/>
        <v>0.006577150704350248</v>
      </c>
      <c r="F17" s="17">
        <f t="shared" si="3"/>
        <v>3357.778349478456</v>
      </c>
      <c r="G17" s="18"/>
      <c r="H17" s="685">
        <f t="shared" si="0"/>
        <v>3357.778349478456</v>
      </c>
      <c r="I17" s="47">
        <v>3358</v>
      </c>
    </row>
    <row r="18" spans="1:9" ht="12.75">
      <c r="A18" s="32" t="s">
        <v>15</v>
      </c>
      <c r="B18" s="1036">
        <v>5509.616</v>
      </c>
      <c r="C18" s="1036"/>
      <c r="D18" s="683">
        <f t="shared" si="1"/>
        <v>5509.616</v>
      </c>
      <c r="E18" s="1489">
        <f t="shared" si="2"/>
        <v>0.022897798312184983</v>
      </c>
      <c r="F18" s="17">
        <f t="shared" si="3"/>
        <v>11689.82358462996</v>
      </c>
      <c r="G18" s="18"/>
      <c r="H18" s="685">
        <f t="shared" si="0"/>
        <v>11689.82358462996</v>
      </c>
      <c r="I18" s="47">
        <v>11690</v>
      </c>
    </row>
    <row r="19" spans="1:9" ht="12.75">
      <c r="A19" s="32" t="s">
        <v>296</v>
      </c>
      <c r="B19" s="1036">
        <v>12426.62</v>
      </c>
      <c r="C19" s="1036">
        <v>10014.120083333553</v>
      </c>
      <c r="D19" s="683">
        <f t="shared" si="1"/>
        <v>22440.740083333556</v>
      </c>
      <c r="E19" s="1489">
        <f t="shared" si="2"/>
        <v>0.09326304054662557</v>
      </c>
      <c r="F19" s="17">
        <f t="shared" si="3"/>
        <v>47612.80871166039</v>
      </c>
      <c r="G19" s="18"/>
      <c r="H19" s="685">
        <f t="shared" si="0"/>
        <v>47612.80871166039</v>
      </c>
      <c r="I19" s="47">
        <v>47613</v>
      </c>
    </row>
    <row r="20" spans="1:9" ht="12.75">
      <c r="A20" s="32" t="s">
        <v>106</v>
      </c>
      <c r="B20" s="1036">
        <v>288.517</v>
      </c>
      <c r="C20" s="1036"/>
      <c r="D20" s="683">
        <f t="shared" si="1"/>
        <v>288.517</v>
      </c>
      <c r="E20" s="1489">
        <f t="shared" si="2"/>
        <v>0.0011990679705512462</v>
      </c>
      <c r="F20" s="17">
        <f t="shared" si="3"/>
        <v>612.1502535143433</v>
      </c>
      <c r="G20" s="18"/>
      <c r="H20" s="685">
        <f t="shared" si="0"/>
        <v>612.1502535143433</v>
      </c>
      <c r="I20" s="47">
        <v>612</v>
      </c>
    </row>
    <row r="21" spans="1:9" ht="12.75">
      <c r="A21" s="32" t="s">
        <v>82</v>
      </c>
      <c r="B21" s="1036">
        <v>166.378</v>
      </c>
      <c r="C21" s="1036"/>
      <c r="D21" s="683">
        <f t="shared" si="1"/>
        <v>166.378</v>
      </c>
      <c r="E21" s="1489">
        <f t="shared" si="2"/>
        <v>0.0006914619617019975</v>
      </c>
      <c r="F21" s="17">
        <f t="shared" si="3"/>
        <v>353.00635622583553</v>
      </c>
      <c r="G21" s="18"/>
      <c r="H21" s="685">
        <f t="shared" si="0"/>
        <v>353.00635622583553</v>
      </c>
      <c r="I21" s="47">
        <v>353</v>
      </c>
    </row>
    <row r="22" spans="1:9" ht="12.75">
      <c r="A22" s="32" t="s">
        <v>17</v>
      </c>
      <c r="B22" s="1036">
        <v>931.618</v>
      </c>
      <c r="C22" s="17"/>
      <c r="D22" s="683">
        <f t="shared" si="1"/>
        <v>931.618</v>
      </c>
      <c r="E22" s="1489">
        <f t="shared" si="2"/>
        <v>0.003871776375704069</v>
      </c>
      <c r="F22" s="17">
        <f t="shared" si="3"/>
        <v>1976.6259696257948</v>
      </c>
      <c r="G22" s="18"/>
      <c r="H22" s="685">
        <f t="shared" si="0"/>
        <v>1976.6259696257948</v>
      </c>
      <c r="I22" s="47">
        <v>1977</v>
      </c>
    </row>
    <row r="23" spans="1:9" ht="12.75">
      <c r="A23" s="32" t="s">
        <v>24</v>
      </c>
      <c r="B23" s="1036">
        <v>221.097</v>
      </c>
      <c r="C23" s="17"/>
      <c r="D23" s="683">
        <f t="shared" si="1"/>
        <v>221.097</v>
      </c>
      <c r="E23" s="1489">
        <f t="shared" si="2"/>
        <v>0.0009188724792125555</v>
      </c>
      <c r="F23" s="17">
        <f t="shared" si="3"/>
        <v>469.1043668181104</v>
      </c>
      <c r="G23" s="18"/>
      <c r="H23" s="685">
        <f t="shared" si="0"/>
        <v>469.1043668181104</v>
      </c>
      <c r="I23" s="47">
        <v>469</v>
      </c>
    </row>
    <row r="24" spans="1:9" ht="13.5" thickBot="1">
      <c r="A24" s="777" t="s">
        <v>297</v>
      </c>
      <c r="B24" s="1036">
        <v>31.531</v>
      </c>
      <c r="C24" s="17">
        <v>-31.531</v>
      </c>
      <c r="D24" s="683">
        <f t="shared" si="1"/>
        <v>0</v>
      </c>
      <c r="E24" s="1489">
        <f t="shared" si="2"/>
        <v>0</v>
      </c>
      <c r="F24" s="1036">
        <f>C5</f>
        <v>21215.271</v>
      </c>
      <c r="G24" s="18"/>
      <c r="H24" s="685">
        <f t="shared" si="0"/>
        <v>21215.271</v>
      </c>
      <c r="I24" s="47">
        <v>21215</v>
      </c>
    </row>
    <row r="25" spans="1:12" ht="17.25" customHeight="1" thickBot="1">
      <c r="A25" s="34" t="s">
        <v>35</v>
      </c>
      <c r="B25" s="35">
        <f>SUM(B10:B24)</f>
        <v>240617.71899999995</v>
      </c>
      <c r="C25" s="35">
        <f>SUM(C10:C24)</f>
        <v>-6.416200903913705E-12</v>
      </c>
      <c r="D25" s="684">
        <f>SUM(D10:D24)</f>
        <v>240617.71899999998</v>
      </c>
      <c r="E25" s="36">
        <f>SUM(E10:E24)</f>
        <v>1</v>
      </c>
      <c r="F25" s="678">
        <f>C4</f>
        <v>531737</v>
      </c>
      <c r="G25" s="37">
        <f>SUM(G10:G24)</f>
        <v>0</v>
      </c>
      <c r="H25" s="686">
        <f>SUM(H10:H24)</f>
        <v>531737</v>
      </c>
      <c r="I25" s="48">
        <f>SUM(I10:I24)</f>
        <v>531737</v>
      </c>
      <c r="L25" s="285"/>
    </row>
    <row r="26" spans="1:13" ht="12" customHeight="1">
      <c r="A26" s="19"/>
      <c r="B26" s="27"/>
      <c r="F26" s="728" t="s">
        <v>357</v>
      </c>
      <c r="G26" s="28">
        <f>F25-F24</f>
        <v>510521.729</v>
      </c>
      <c r="M26" s="285"/>
    </row>
    <row r="27" spans="6:7" ht="12" customHeight="1">
      <c r="F27" s="729" t="s">
        <v>73</v>
      </c>
      <c r="G27" s="25">
        <f>SUM(F10:F24)</f>
        <v>531737</v>
      </c>
    </row>
    <row r="28" ht="6" customHeight="1"/>
    <row r="31" ht="12.75">
      <c r="E31" s="285"/>
    </row>
    <row r="37" ht="12.75">
      <c r="T37" s="124"/>
    </row>
    <row r="38" ht="12.75">
      <c r="T38" s="124"/>
    </row>
    <row r="39" ht="12.75">
      <c r="T39" s="124"/>
    </row>
    <row r="40" ht="12.75">
      <c r="T40" s="124"/>
    </row>
    <row r="41" ht="12.75">
      <c r="T41" s="124"/>
    </row>
    <row r="42" ht="12.75">
      <c r="T42" s="124"/>
    </row>
    <row r="43" ht="12.75">
      <c r="T43" s="124"/>
    </row>
    <row r="44" ht="12.75">
      <c r="T44" s="124"/>
    </row>
    <row r="45" ht="12.75">
      <c r="T45" s="124"/>
    </row>
    <row r="46" ht="12.75">
      <c r="T46" s="124"/>
    </row>
    <row r="47" ht="12.75">
      <c r="T47" s="124"/>
    </row>
    <row r="48" ht="12.75">
      <c r="T48" s="124"/>
    </row>
    <row r="49" ht="12.75">
      <c r="T49" s="124"/>
    </row>
    <row r="50" ht="12.75">
      <c r="T50" s="124"/>
    </row>
    <row r="51" ht="12.75">
      <c r="T51" s="124"/>
    </row>
    <row r="52" ht="12.75">
      <c r="T52" s="124"/>
    </row>
    <row r="53" ht="12.75">
      <c r="T53" s="124"/>
    </row>
    <row r="54" ht="12.75">
      <c r="T54" s="124"/>
    </row>
    <row r="55" ht="12.75">
      <c r="T55" s="124"/>
    </row>
    <row r="56" ht="12.75">
      <c r="T56" s="124"/>
    </row>
    <row r="57" ht="12.75">
      <c r="T57" s="124"/>
    </row>
    <row r="58" ht="12.75">
      <c r="T58" s="124"/>
    </row>
    <row r="60" ht="12.75">
      <c r="L60" s="124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 alignWithMargins="0">
    <oddFooter>&amp;C&amp;9 3  
&amp;10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O50"/>
  <sheetViews>
    <sheetView showGridLines="0" zoomScalePageLayoutView="0" workbookViewId="0" topLeftCell="A1">
      <selection activeCell="K42" sqref="K42"/>
    </sheetView>
  </sheetViews>
  <sheetFormatPr defaultColWidth="8.75390625" defaultRowHeight="12.75"/>
  <cols>
    <col min="1" max="1" width="3.75390625" style="49" customWidth="1"/>
    <col min="2" max="2" width="8.75390625" style="49" customWidth="1"/>
    <col min="3" max="3" width="9.75390625" style="49" customWidth="1"/>
    <col min="4" max="5" width="10.75390625" style="49" customWidth="1"/>
    <col min="6" max="6" width="10.00390625" style="49" customWidth="1"/>
    <col min="7" max="7" width="11.00390625" style="49" customWidth="1"/>
    <col min="8" max="8" width="9.625" style="49" customWidth="1"/>
    <col min="9" max="9" width="9.125" style="49" bestFit="1" customWidth="1"/>
    <col min="10" max="16384" width="8.75390625" style="49" customWidth="1"/>
  </cols>
  <sheetData>
    <row r="3" spans="1:12" ht="16.5" thickBot="1">
      <c r="A3" s="122" t="s">
        <v>370</v>
      </c>
      <c r="B3" s="60"/>
      <c r="C3" s="60"/>
      <c r="D3" s="60"/>
      <c r="E3" s="60"/>
      <c r="F3" s="60"/>
      <c r="G3" s="60"/>
      <c r="H3" s="60"/>
      <c r="I3" s="60"/>
      <c r="J3" s="61"/>
      <c r="K3" s="61"/>
      <c r="L3" s="61"/>
    </row>
    <row r="4" spans="1:12" ht="12.75">
      <c r="A4" s="139"/>
      <c r="B4" s="142"/>
      <c r="C4" s="1546" t="s">
        <v>548</v>
      </c>
      <c r="D4" s="1547"/>
      <c r="E4" s="1548"/>
      <c r="F4" s="1549" t="s">
        <v>406</v>
      </c>
      <c r="G4" s="1549"/>
      <c r="H4" s="1550"/>
      <c r="I4" s="60"/>
      <c r="J4" s="60"/>
      <c r="K4" s="60"/>
      <c r="L4" s="61"/>
    </row>
    <row r="5" spans="1:12" ht="33.75" customHeight="1" thickBot="1">
      <c r="A5" s="1554" t="s">
        <v>6</v>
      </c>
      <c r="B5" s="1555"/>
      <c r="C5" s="287" t="s">
        <v>19</v>
      </c>
      <c r="D5" s="288" t="s">
        <v>155</v>
      </c>
      <c r="E5" s="289" t="s">
        <v>16</v>
      </c>
      <c r="F5" s="290" t="s">
        <v>19</v>
      </c>
      <c r="G5" s="288" t="s">
        <v>155</v>
      </c>
      <c r="H5" s="289" t="s">
        <v>16</v>
      </c>
      <c r="I5" s="60"/>
      <c r="J5" s="60"/>
      <c r="K5" s="60"/>
      <c r="L5" s="61"/>
    </row>
    <row r="6" spans="1:12" ht="12.75">
      <c r="A6" s="748">
        <v>11</v>
      </c>
      <c r="B6" s="210" t="s">
        <v>7</v>
      </c>
      <c r="C6" s="784">
        <f>str1!K16</f>
        <v>329459</v>
      </c>
      <c r="D6" s="293">
        <f>str3!I10</f>
        <v>66146</v>
      </c>
      <c r="E6" s="291">
        <f>SUM(C6:D6)</f>
        <v>395605</v>
      </c>
      <c r="F6" s="292">
        <v>328299</v>
      </c>
      <c r="G6" s="293">
        <v>71640</v>
      </c>
      <c r="H6" s="778">
        <f>SUM(F6:G6)</f>
        <v>399939</v>
      </c>
      <c r="I6" s="60"/>
      <c r="J6" s="60"/>
      <c r="K6" s="60"/>
      <c r="L6" s="61"/>
    </row>
    <row r="7" spans="1:12" ht="12.75">
      <c r="A7" s="749">
        <v>21</v>
      </c>
      <c r="B7" s="215" t="s">
        <v>8</v>
      </c>
      <c r="C7" s="687">
        <f>str1!K17</f>
        <v>337265</v>
      </c>
      <c r="D7" s="297">
        <f>str3!I11</f>
        <v>60777</v>
      </c>
      <c r="E7" s="295">
        <f aca="true" t="shared" si="0" ref="E7:E21">SUM(C7:D7)</f>
        <v>398042</v>
      </c>
      <c r="F7" s="296">
        <v>333427</v>
      </c>
      <c r="G7" s="297">
        <v>65616</v>
      </c>
      <c r="H7" s="779">
        <f aca="true" t="shared" si="1" ref="H7:H21">SUM(F7:G7)</f>
        <v>399043</v>
      </c>
      <c r="I7" s="60"/>
      <c r="J7" s="60"/>
      <c r="K7" s="60"/>
      <c r="L7" s="61"/>
    </row>
    <row r="8" spans="1:12" ht="12.75">
      <c r="A8" s="749">
        <v>22</v>
      </c>
      <c r="B8" s="215" t="s">
        <v>9</v>
      </c>
      <c r="C8" s="687">
        <f>str1!K18</f>
        <v>121336</v>
      </c>
      <c r="D8" s="297">
        <f>str3!I12</f>
        <v>23409</v>
      </c>
      <c r="E8" s="295">
        <f t="shared" si="0"/>
        <v>144745</v>
      </c>
      <c r="F8" s="296">
        <v>126011</v>
      </c>
      <c r="G8" s="297">
        <v>25960</v>
      </c>
      <c r="H8" s="779">
        <f t="shared" si="1"/>
        <v>151971</v>
      </c>
      <c r="I8" s="60"/>
      <c r="J8" s="60"/>
      <c r="K8" s="60"/>
      <c r="L8" s="61"/>
    </row>
    <row r="9" spans="1:12" ht="12.75">
      <c r="A9" s="749">
        <v>23</v>
      </c>
      <c r="B9" s="215" t="s">
        <v>10</v>
      </c>
      <c r="C9" s="687">
        <f>str1!K19</f>
        <v>144246</v>
      </c>
      <c r="D9" s="297">
        <f>str3!I13</f>
        <v>27642</v>
      </c>
      <c r="E9" s="295">
        <f t="shared" si="0"/>
        <v>171888</v>
      </c>
      <c r="F9" s="296">
        <v>139398</v>
      </c>
      <c r="G9" s="297">
        <v>28603</v>
      </c>
      <c r="H9" s="779">
        <f t="shared" si="1"/>
        <v>168001</v>
      </c>
      <c r="I9" s="60"/>
      <c r="J9" s="60"/>
      <c r="K9" s="60"/>
      <c r="L9" s="61"/>
    </row>
    <row r="10" spans="1:12" ht="12.75">
      <c r="A10" s="749">
        <v>31</v>
      </c>
      <c r="B10" s="215" t="s">
        <v>11</v>
      </c>
      <c r="C10" s="687">
        <f>str1!K20</f>
        <v>365485</v>
      </c>
      <c r="D10" s="297">
        <f>str3!I14</f>
        <v>204138</v>
      </c>
      <c r="E10" s="295">
        <f t="shared" si="0"/>
        <v>569623</v>
      </c>
      <c r="F10" s="296">
        <v>345106</v>
      </c>
      <c r="G10" s="297">
        <v>207986</v>
      </c>
      <c r="H10" s="779">
        <f t="shared" si="1"/>
        <v>553092</v>
      </c>
      <c r="I10" s="60"/>
      <c r="J10" s="60"/>
      <c r="K10" s="60"/>
      <c r="L10" s="61"/>
    </row>
    <row r="11" spans="1:12" ht="12.75">
      <c r="A11" s="749">
        <v>33</v>
      </c>
      <c r="B11" s="215" t="s">
        <v>12</v>
      </c>
      <c r="C11" s="687">
        <f>str1!K21</f>
        <v>132412</v>
      </c>
      <c r="D11" s="297">
        <f>str3!I15</f>
        <v>32156</v>
      </c>
      <c r="E11" s="295">
        <f t="shared" si="0"/>
        <v>164568</v>
      </c>
      <c r="F11" s="296">
        <v>126549</v>
      </c>
      <c r="G11" s="297">
        <v>27681</v>
      </c>
      <c r="H11" s="779">
        <f t="shared" si="1"/>
        <v>154230</v>
      </c>
      <c r="I11" s="60"/>
      <c r="J11" s="60"/>
      <c r="K11" s="60"/>
      <c r="L11" s="61"/>
    </row>
    <row r="12" spans="1:12" ht="12.75">
      <c r="A12" s="749">
        <v>41</v>
      </c>
      <c r="B12" s="215" t="s">
        <v>13</v>
      </c>
      <c r="C12" s="782">
        <f>str1!K22</f>
        <v>183950</v>
      </c>
      <c r="D12" s="297">
        <f>str3!I16</f>
        <v>30182</v>
      </c>
      <c r="E12" s="295">
        <f t="shared" si="0"/>
        <v>214132</v>
      </c>
      <c r="F12" s="296">
        <v>202164</v>
      </c>
      <c r="G12" s="297">
        <v>32520</v>
      </c>
      <c r="H12" s="779">
        <f t="shared" si="1"/>
        <v>234684</v>
      </c>
      <c r="I12" s="60"/>
      <c r="J12" s="60"/>
      <c r="K12" s="60"/>
      <c r="L12" s="61"/>
    </row>
    <row r="13" spans="1:12" ht="12.75">
      <c r="A13" s="749">
        <v>51</v>
      </c>
      <c r="B13" s="215" t="s">
        <v>14</v>
      </c>
      <c r="C13" s="687">
        <f>str1!K23</f>
        <v>70741</v>
      </c>
      <c r="D13" s="297">
        <f>str3!I17</f>
        <v>3358</v>
      </c>
      <c r="E13" s="295">
        <f t="shared" si="0"/>
        <v>74099</v>
      </c>
      <c r="F13" s="296">
        <v>71266</v>
      </c>
      <c r="G13" s="297">
        <v>3798</v>
      </c>
      <c r="H13" s="779">
        <f t="shared" si="1"/>
        <v>75064</v>
      </c>
      <c r="I13" s="60"/>
      <c r="J13" s="60"/>
      <c r="K13" s="60"/>
      <c r="L13" s="61"/>
    </row>
    <row r="14" spans="1:12" ht="12.75">
      <c r="A14" s="749">
        <v>56</v>
      </c>
      <c r="B14" s="215" t="s">
        <v>15</v>
      </c>
      <c r="C14" s="783">
        <f>str1!K24</f>
        <v>124385</v>
      </c>
      <c r="D14" s="297">
        <f>str3!I18</f>
        <v>11690</v>
      </c>
      <c r="E14" s="295">
        <f t="shared" si="0"/>
        <v>136075</v>
      </c>
      <c r="F14" s="296">
        <v>122590</v>
      </c>
      <c r="G14" s="297">
        <v>9632</v>
      </c>
      <c r="H14" s="779">
        <f t="shared" si="1"/>
        <v>132222</v>
      </c>
      <c r="I14" s="60"/>
      <c r="J14" s="60"/>
      <c r="K14" s="60"/>
      <c r="L14" s="61"/>
    </row>
    <row r="15" spans="1:12" ht="12.75">
      <c r="A15" s="749"/>
      <c r="B15" s="215" t="s">
        <v>200</v>
      </c>
      <c r="C15" s="687"/>
      <c r="D15" s="297">
        <v>0</v>
      </c>
      <c r="E15" s="295">
        <f t="shared" si="0"/>
        <v>0</v>
      </c>
      <c r="F15" s="296"/>
      <c r="G15" s="297">
        <v>0</v>
      </c>
      <c r="H15" s="779">
        <f t="shared" si="1"/>
        <v>0</v>
      </c>
      <c r="I15" s="60"/>
      <c r="J15" s="60"/>
      <c r="K15" s="60"/>
      <c r="L15" s="61"/>
    </row>
    <row r="16" spans="1:12" ht="12.75">
      <c r="A16" s="749">
        <v>71</v>
      </c>
      <c r="B16" s="215" t="s">
        <v>208</v>
      </c>
      <c r="C16" s="687">
        <f>str1!K25</f>
        <v>19328</v>
      </c>
      <c r="D16" s="297">
        <f>str3!I19</f>
        <v>47613</v>
      </c>
      <c r="E16" s="295">
        <f t="shared" si="0"/>
        <v>66941</v>
      </c>
      <c r="F16" s="296">
        <v>21395</v>
      </c>
      <c r="G16" s="297">
        <v>46209</v>
      </c>
      <c r="H16" s="779">
        <f t="shared" si="1"/>
        <v>67604</v>
      </c>
      <c r="I16" s="60"/>
      <c r="J16" s="60"/>
      <c r="K16" s="60"/>
      <c r="L16" s="61"/>
    </row>
    <row r="17" spans="1:12" ht="12.75">
      <c r="A17" s="749">
        <v>84</v>
      </c>
      <c r="B17" s="215" t="s">
        <v>82</v>
      </c>
      <c r="C17" s="687">
        <v>0</v>
      </c>
      <c r="D17" s="297">
        <f>str3!I21</f>
        <v>353</v>
      </c>
      <c r="E17" s="295">
        <f t="shared" si="0"/>
        <v>353</v>
      </c>
      <c r="F17" s="296">
        <v>0</v>
      </c>
      <c r="G17" s="297">
        <v>297</v>
      </c>
      <c r="H17" s="779">
        <f t="shared" si="1"/>
        <v>297</v>
      </c>
      <c r="I17" s="60"/>
      <c r="J17" s="60"/>
      <c r="K17" s="60"/>
      <c r="L17" s="61"/>
    </row>
    <row r="18" spans="1:12" ht="12.75">
      <c r="A18" s="749">
        <v>85</v>
      </c>
      <c r="B18" s="215" t="s">
        <v>106</v>
      </c>
      <c r="C18" s="687">
        <f>str1!K26</f>
        <v>2224</v>
      </c>
      <c r="D18" s="297">
        <f>str3!I20</f>
        <v>612</v>
      </c>
      <c r="E18" s="295">
        <f t="shared" si="0"/>
        <v>2836</v>
      </c>
      <c r="F18" s="296">
        <v>1648</v>
      </c>
      <c r="G18" s="297">
        <v>271</v>
      </c>
      <c r="H18" s="779">
        <f t="shared" si="1"/>
        <v>1919</v>
      </c>
      <c r="I18" s="60"/>
      <c r="J18" s="60"/>
      <c r="K18" s="60"/>
      <c r="L18" s="61"/>
    </row>
    <row r="19" spans="1:12" ht="12.75">
      <c r="A19" s="749">
        <v>92</v>
      </c>
      <c r="B19" s="215" t="s">
        <v>17</v>
      </c>
      <c r="C19" s="687">
        <f>str1!K27</f>
        <v>2451</v>
      </c>
      <c r="D19" s="297">
        <f>str3!I22</f>
        <v>1977</v>
      </c>
      <c r="E19" s="295">
        <f t="shared" si="0"/>
        <v>4428</v>
      </c>
      <c r="F19" s="296">
        <v>2251</v>
      </c>
      <c r="G19" s="297">
        <v>1506</v>
      </c>
      <c r="H19" s="779">
        <f t="shared" si="1"/>
        <v>3757</v>
      </c>
      <c r="I19" s="60"/>
      <c r="J19" s="60"/>
      <c r="K19" s="60"/>
      <c r="L19" s="61"/>
    </row>
    <row r="20" spans="1:12" ht="12.75">
      <c r="A20" s="750">
        <v>96</v>
      </c>
      <c r="B20" s="751" t="s">
        <v>24</v>
      </c>
      <c r="C20" s="687">
        <v>0</v>
      </c>
      <c r="D20" s="297">
        <f>str3!I23</f>
        <v>469</v>
      </c>
      <c r="E20" s="295">
        <f t="shared" si="0"/>
        <v>469</v>
      </c>
      <c r="F20" s="296">
        <v>0</v>
      </c>
      <c r="G20" s="298">
        <v>406</v>
      </c>
      <c r="H20" s="780">
        <f t="shared" si="1"/>
        <v>406</v>
      </c>
      <c r="I20" s="60"/>
      <c r="J20" s="60"/>
      <c r="K20" s="60"/>
      <c r="L20" s="61"/>
    </row>
    <row r="21" spans="1:12" ht="12.75">
      <c r="A21" s="750">
        <v>99</v>
      </c>
      <c r="B21" s="219" t="s">
        <v>288</v>
      </c>
      <c r="C21" s="687">
        <v>0</v>
      </c>
      <c r="D21" s="1005">
        <f>str3!I24</f>
        <v>21215</v>
      </c>
      <c r="E21" s="295">
        <f t="shared" si="0"/>
        <v>21215</v>
      </c>
      <c r="F21" s="299">
        <v>0</v>
      </c>
      <c r="G21" s="298">
        <v>16000</v>
      </c>
      <c r="H21" s="780">
        <f t="shared" si="1"/>
        <v>16000</v>
      </c>
      <c r="I21" s="60"/>
      <c r="J21" s="60"/>
      <c r="K21" s="60"/>
      <c r="L21" s="61"/>
    </row>
    <row r="22" spans="1:15" ht="13.5" thickBot="1">
      <c r="A22" s="300" t="s">
        <v>70</v>
      </c>
      <c r="B22" s="301"/>
      <c r="C22" s="302">
        <f>SUM(C6:C20)</f>
        <v>1833282</v>
      </c>
      <c r="D22" s="303">
        <f>SUM(D6:D21)</f>
        <v>531737</v>
      </c>
      <c r="E22" s="304">
        <f>SUM(E6:E21)</f>
        <v>2365019</v>
      </c>
      <c r="F22" s="305">
        <f>SUM(F6:F21)</f>
        <v>1820104</v>
      </c>
      <c r="G22" s="305">
        <f>SUM(G6:G21)</f>
        <v>538125</v>
      </c>
      <c r="H22" s="304">
        <f>SUM(H6:H21)</f>
        <v>2358229</v>
      </c>
      <c r="I22" s="1038">
        <f>H22-G22-F22</f>
        <v>0</v>
      </c>
      <c r="J22" s="60"/>
      <c r="K22" s="60"/>
      <c r="L22" s="130"/>
      <c r="M22" s="130"/>
      <c r="N22" s="130"/>
      <c r="O22" s="130"/>
    </row>
    <row r="23" spans="3:15" s="130" customFormat="1" ht="6" customHeight="1">
      <c r="C23" s="306"/>
      <c r="D23" s="306"/>
      <c r="E23" s="307"/>
      <c r="F23" s="308"/>
      <c r="J23" s="60"/>
      <c r="K23" s="60"/>
      <c r="L23" s="61"/>
      <c r="M23" s="49"/>
      <c r="N23" s="49"/>
      <c r="O23" s="49"/>
    </row>
    <row r="24" spans="1:15" s="130" customFormat="1" ht="12.75">
      <c r="A24" s="64" t="s">
        <v>631</v>
      </c>
      <c r="C24" s="306"/>
      <c r="D24" s="1006">
        <f>str3!C5</f>
        <v>21215.271</v>
      </c>
      <c r="E24" s="130" t="s">
        <v>632</v>
      </c>
      <c r="J24" s="60"/>
      <c r="K24" s="60"/>
      <c r="L24" s="309"/>
      <c r="M24" s="49"/>
      <c r="N24" s="49"/>
      <c r="O24" s="49"/>
    </row>
    <row r="25" spans="3:15" s="130" customFormat="1" ht="12.75">
      <c r="C25" s="306"/>
      <c r="D25" s="306"/>
      <c r="E25" s="307"/>
      <c r="F25" s="308"/>
      <c r="L25" s="61"/>
      <c r="M25" s="49"/>
      <c r="N25" s="49"/>
      <c r="O25" s="49"/>
    </row>
    <row r="26" spans="3:15" s="130" customFormat="1" ht="12.75">
      <c r="C26" s="306"/>
      <c r="D26" s="306"/>
      <c r="E26" s="307"/>
      <c r="F26" s="308"/>
      <c r="L26" s="61"/>
      <c r="M26" s="49"/>
      <c r="N26" s="49"/>
      <c r="O26" s="49"/>
    </row>
    <row r="27" spans="1:12" ht="15.75">
      <c r="A27" s="310" t="s">
        <v>371</v>
      </c>
      <c r="L27" s="61"/>
    </row>
    <row r="28" spans="1:15" ht="11.25" customHeight="1">
      <c r="A28" s="310"/>
      <c r="L28" s="61"/>
      <c r="M28" s="128"/>
      <c r="N28" s="128"/>
      <c r="O28" s="128"/>
    </row>
    <row r="29" spans="1:15" s="128" customFormat="1" ht="15.75" thickBot="1">
      <c r="A29" s="127" t="s">
        <v>165</v>
      </c>
      <c r="L29" s="61"/>
      <c r="M29" s="49"/>
      <c r="N29" s="49"/>
      <c r="O29" s="49"/>
    </row>
    <row r="30" spans="1:12" ht="12.75">
      <c r="A30" s="50">
        <v>4</v>
      </c>
      <c r="B30" s="311" t="s">
        <v>372</v>
      </c>
      <c r="C30" s="312"/>
      <c r="D30" s="312"/>
      <c r="E30" s="312"/>
      <c r="F30" s="312"/>
      <c r="G30" s="312"/>
      <c r="H30" s="312"/>
      <c r="I30" s="313">
        <f>'příl.1 - cp 2015'!I7</f>
        <v>144151</v>
      </c>
      <c r="J30" s="58"/>
      <c r="L30" s="61"/>
    </row>
    <row r="31" spans="1:12" ht="12.75">
      <c r="A31" s="314">
        <v>5</v>
      </c>
      <c r="B31" s="55" t="s">
        <v>373</v>
      </c>
      <c r="C31" s="55"/>
      <c r="D31" s="55"/>
      <c r="E31" s="55"/>
      <c r="F31" s="55"/>
      <c r="G31" s="55"/>
      <c r="H31" s="55"/>
      <c r="I31" s="315">
        <f>'příl.1 - cp 2015'!I12</f>
        <v>0</v>
      </c>
      <c r="J31" s="58"/>
      <c r="L31" s="61"/>
    </row>
    <row r="32" spans="1:12" ht="12.75">
      <c r="A32" s="314">
        <v>6</v>
      </c>
      <c r="B32" s="55" t="s">
        <v>84</v>
      </c>
      <c r="C32" s="55"/>
      <c r="D32" s="55"/>
      <c r="E32" s="55"/>
      <c r="F32" s="55"/>
      <c r="G32" s="55"/>
      <c r="H32" s="55"/>
      <c r="I32" s="315">
        <f>'příl.1 - cp 2015'!I13</f>
        <v>5143</v>
      </c>
      <c r="J32" s="58"/>
      <c r="L32" s="61"/>
    </row>
    <row r="33" spans="1:15" ht="13.5" thickBot="1">
      <c r="A33" s="51">
        <v>7</v>
      </c>
      <c r="B33" s="169" t="s">
        <v>198</v>
      </c>
      <c r="C33" s="58"/>
      <c r="D33" s="58"/>
      <c r="E33" s="58"/>
      <c r="F33" s="58"/>
      <c r="G33" s="58"/>
      <c r="H33" s="58"/>
      <c r="I33" s="316">
        <f>'příl.1 - cp 2015'!I26</f>
        <v>3600</v>
      </c>
      <c r="J33" s="58"/>
      <c r="L33" s="317"/>
      <c r="M33" s="123"/>
      <c r="N33" s="123"/>
      <c r="O33" s="123"/>
    </row>
    <row r="34" spans="1:15" s="123" customFormat="1" ht="13.5" thickBot="1">
      <c r="A34" s="318">
        <v>8</v>
      </c>
      <c r="B34" s="1543" t="s">
        <v>374</v>
      </c>
      <c r="C34" s="1544"/>
      <c r="D34" s="1544"/>
      <c r="E34" s="1544"/>
      <c r="F34" s="1544"/>
      <c r="G34" s="1544"/>
      <c r="H34" s="1545"/>
      <c r="I34" s="319">
        <f>SUM(I30:I33)</f>
        <v>152894</v>
      </c>
      <c r="J34" s="320"/>
      <c r="L34" s="61"/>
      <c r="M34" s="64"/>
      <c r="N34" s="64"/>
      <c r="O34" s="64"/>
    </row>
    <row r="35" spans="1:15" s="64" customFormat="1" ht="15">
      <c r="A35" s="321"/>
      <c r="B35" s="322"/>
      <c r="I35" s="131"/>
      <c r="J35" s="323"/>
      <c r="L35" s="61"/>
      <c r="M35" s="128"/>
      <c r="N35" s="128"/>
      <c r="O35" s="128"/>
    </row>
    <row r="36" spans="1:15" s="128" customFormat="1" ht="15.75" thickBot="1">
      <c r="A36" s="127" t="s">
        <v>166</v>
      </c>
      <c r="J36" s="323"/>
      <c r="L36" s="61"/>
      <c r="M36" s="49"/>
      <c r="N36" s="49"/>
      <c r="O36" s="49"/>
    </row>
    <row r="37" spans="1:12" ht="12.75">
      <c r="A37" s="324">
        <v>9</v>
      </c>
      <c r="B37" s="325" t="s">
        <v>171</v>
      </c>
      <c r="C37" s="325"/>
      <c r="D37" s="325"/>
      <c r="E37" s="325"/>
      <c r="F37" s="325"/>
      <c r="G37" s="325"/>
      <c r="H37" s="325"/>
      <c r="I37" s="326">
        <f>'příl.1 - cp 2015'!I27-'příl.1 - cp 2015'!I86</f>
        <v>175909</v>
      </c>
      <c r="J37" s="327"/>
      <c r="L37" s="61"/>
    </row>
    <row r="38" spans="1:15" ht="13.5" thickBot="1">
      <c r="A38" s="51">
        <v>10</v>
      </c>
      <c r="B38" s="58" t="s">
        <v>172</v>
      </c>
      <c r="C38" s="58"/>
      <c r="D38" s="58"/>
      <c r="E38" s="58"/>
      <c r="F38" s="58"/>
      <c r="G38" s="58"/>
      <c r="H38" s="58"/>
      <c r="I38" s="316">
        <f>'příl.1 - cp 2015'!I86</f>
        <v>17500</v>
      </c>
      <c r="J38" s="323"/>
      <c r="L38" s="328"/>
      <c r="M38" s="329"/>
      <c r="N38" s="329"/>
      <c r="O38" s="329"/>
    </row>
    <row r="39" spans="1:15" s="329" customFormat="1" ht="12.75">
      <c r="A39" s="330">
        <v>11</v>
      </c>
      <c r="B39" s="1551" t="s">
        <v>168</v>
      </c>
      <c r="C39" s="1552"/>
      <c r="D39" s="1552"/>
      <c r="E39" s="1552"/>
      <c r="F39" s="1552"/>
      <c r="G39" s="1552"/>
      <c r="H39" s="1553"/>
      <c r="I39" s="331">
        <f>SUM(I37:I38)</f>
        <v>193409</v>
      </c>
      <c r="J39" s="332"/>
      <c r="L39" s="61"/>
      <c r="M39" s="49"/>
      <c r="N39" s="49"/>
      <c r="O39" s="49"/>
    </row>
    <row r="40" spans="1:15" ht="13.5" thickBot="1">
      <c r="A40" s="333">
        <v>12</v>
      </c>
      <c r="B40" s="334" t="s">
        <v>167</v>
      </c>
      <c r="C40" s="334"/>
      <c r="D40" s="334"/>
      <c r="E40" s="334"/>
      <c r="F40" s="334"/>
      <c r="G40" s="334"/>
      <c r="H40" s="334"/>
      <c r="I40" s="335">
        <f>'příl.1 - cp 2015'!I146</f>
        <v>211471</v>
      </c>
      <c r="J40" s="332"/>
      <c r="L40" s="317"/>
      <c r="M40" s="123"/>
      <c r="N40" s="123"/>
      <c r="O40" s="123"/>
    </row>
    <row r="41" spans="1:15" s="123" customFormat="1" ht="13.5" thickBot="1">
      <c r="A41" s="318">
        <v>13</v>
      </c>
      <c r="B41" s="1543" t="s">
        <v>191</v>
      </c>
      <c r="C41" s="1544"/>
      <c r="D41" s="1544"/>
      <c r="E41" s="1544"/>
      <c r="F41" s="1544"/>
      <c r="G41" s="1544"/>
      <c r="H41" s="1545"/>
      <c r="I41" s="319">
        <f>SUM(I39:I40)</f>
        <v>404880</v>
      </c>
      <c r="J41" s="332"/>
      <c r="K41" s="336"/>
      <c r="L41" s="62"/>
      <c r="M41" s="58"/>
      <c r="N41" s="58"/>
      <c r="O41" s="58"/>
    </row>
    <row r="42" spans="1:15" s="58" customFormat="1" ht="15.75" thickBot="1">
      <c r="A42" s="337"/>
      <c r="H42" s="745" t="s">
        <v>73</v>
      </c>
      <c r="I42" s="425">
        <f>I34+I41</f>
        <v>557774</v>
      </c>
      <c r="J42" s="320"/>
      <c r="L42" s="63"/>
      <c r="M42" s="203"/>
      <c r="N42" s="203"/>
      <c r="O42" s="203"/>
    </row>
    <row r="43" spans="1:15" s="203" customFormat="1" ht="15.75" hidden="1" thickBot="1">
      <c r="A43" s="132" t="s">
        <v>128</v>
      </c>
      <c r="J43" s="338"/>
      <c r="L43" s="49"/>
      <c r="M43" s="49"/>
      <c r="N43" s="49"/>
      <c r="O43" s="49"/>
    </row>
    <row r="44" spans="1:15" ht="12.75" customHeight="1" hidden="1">
      <c r="A44" s="156">
        <v>14</v>
      </c>
      <c r="B44" s="339" t="s">
        <v>196</v>
      </c>
      <c r="C44" s="340"/>
      <c r="D44" s="340"/>
      <c r="E44" s="340"/>
      <c r="F44" s="340"/>
      <c r="G44" s="341"/>
      <c r="H44" s="342"/>
      <c r="I44" s="160">
        <v>2333005</v>
      </c>
      <c r="J44" s="323"/>
      <c r="L44" s="123"/>
      <c r="M44" s="123"/>
      <c r="N44" s="123"/>
      <c r="O44" s="123"/>
    </row>
    <row r="45" spans="1:10" s="123" customFormat="1" ht="12.75" customHeight="1" hidden="1">
      <c r="A45" s="343">
        <v>15</v>
      </c>
      <c r="B45" s="344" t="s">
        <v>197</v>
      </c>
      <c r="C45" s="345"/>
      <c r="D45" s="345"/>
      <c r="E45" s="345"/>
      <c r="F45" s="345"/>
      <c r="G45" s="346"/>
      <c r="H45" s="347"/>
      <c r="I45" s="348">
        <v>555881</v>
      </c>
      <c r="J45" s="332"/>
    </row>
    <row r="46" spans="1:12" s="123" customFormat="1" ht="12.75" customHeight="1" hidden="1" thickBot="1">
      <c r="A46" s="349">
        <v>16</v>
      </c>
      <c r="B46" s="350" t="s">
        <v>235</v>
      </c>
      <c r="C46" s="351"/>
      <c r="D46" s="351"/>
      <c r="E46" s="351"/>
      <c r="F46" s="351"/>
      <c r="G46" s="352"/>
      <c r="H46" s="353"/>
      <c r="I46" s="354" t="e">
        <v>#REF!</v>
      </c>
      <c r="J46" s="332"/>
      <c r="L46" s="355" t="s">
        <v>173</v>
      </c>
    </row>
    <row r="47" spans="1:15" s="123" customFormat="1" ht="13.5" hidden="1" thickBot="1">
      <c r="A47" s="356">
        <v>17</v>
      </c>
      <c r="B47" s="357" t="s">
        <v>375</v>
      </c>
      <c r="C47" s="358"/>
      <c r="D47" s="358"/>
      <c r="E47" s="358"/>
      <c r="F47" s="358"/>
      <c r="G47" s="358"/>
      <c r="H47" s="359"/>
      <c r="I47" s="360" t="e">
        <v>#REF!</v>
      </c>
      <c r="K47" s="361"/>
      <c r="L47" s="61"/>
      <c r="M47" s="49"/>
      <c r="N47" s="49"/>
      <c r="O47" s="49"/>
    </row>
    <row r="48" spans="1:12" ht="13.5" customHeight="1" hidden="1">
      <c r="A48" s="60"/>
      <c r="B48" s="60"/>
      <c r="C48" s="60"/>
      <c r="D48" s="60"/>
      <c r="E48" s="60"/>
      <c r="F48" s="60"/>
      <c r="G48" s="60"/>
      <c r="H48" s="60"/>
      <c r="I48" s="294" t="e">
        <v>#REF!</v>
      </c>
      <c r="K48" s="124"/>
      <c r="L48" s="61"/>
    </row>
    <row r="49" spans="1:12" ht="12.75" hidden="1">
      <c r="A49" s="60"/>
      <c r="B49" s="60"/>
      <c r="C49" s="60"/>
      <c r="D49" s="60"/>
      <c r="E49" s="60"/>
      <c r="F49" s="60"/>
      <c r="G49" s="60"/>
      <c r="H49" s="60" t="s">
        <v>111</v>
      </c>
      <c r="I49" s="294" t="e">
        <v>#REF!</v>
      </c>
      <c r="L49" s="61"/>
    </row>
    <row r="50" ht="12.75">
      <c r="I50" s="124"/>
    </row>
  </sheetData>
  <sheetProtection/>
  <mergeCells count="6">
    <mergeCell ref="B41:H41"/>
    <mergeCell ref="C4:E4"/>
    <mergeCell ref="F4:H4"/>
    <mergeCell ref="B34:H34"/>
    <mergeCell ref="B39:H39"/>
    <mergeCell ref="A5:B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91"/>
  <sheetViews>
    <sheetView showGridLines="0" zoomScalePageLayoutView="0" workbookViewId="0" topLeftCell="A1">
      <selection activeCell="G33" sqref="G33"/>
    </sheetView>
  </sheetViews>
  <sheetFormatPr defaultColWidth="11.375" defaultRowHeight="12.75"/>
  <cols>
    <col min="1" max="1" width="9.00390625" style="366" customWidth="1"/>
    <col min="2" max="2" width="11.75390625" style="366" customWidth="1"/>
    <col min="3" max="3" width="9.625" style="366" customWidth="1"/>
    <col min="4" max="4" width="10.25390625" style="366" customWidth="1"/>
    <col min="5" max="5" width="10.00390625" style="366" customWidth="1"/>
    <col min="6" max="6" width="8.75390625" style="366" customWidth="1"/>
    <col min="7" max="7" width="10.00390625" style="366" customWidth="1"/>
    <col min="8" max="8" width="8.375" style="366" customWidth="1"/>
    <col min="9" max="9" width="11.125" style="366" customWidth="1"/>
    <col min="10" max="11" width="12.125" style="366" customWidth="1"/>
    <col min="12" max="12" width="11.125" style="366" customWidth="1"/>
    <col min="13" max="13" width="6.125" style="366" customWidth="1"/>
    <col min="14" max="14" width="20.875" style="366" customWidth="1"/>
    <col min="15" max="15" width="8.875" style="366" customWidth="1"/>
    <col min="16" max="16384" width="11.375" style="366" customWidth="1"/>
  </cols>
  <sheetData>
    <row r="1" spans="1:13" s="362" customFormat="1" ht="15.75">
      <c r="A1" s="122" t="s">
        <v>601</v>
      </c>
      <c r="G1" s="363"/>
      <c r="H1" s="363"/>
      <c r="I1" s="363"/>
      <c r="J1" s="363"/>
      <c r="K1" s="363"/>
      <c r="L1" s="363"/>
      <c r="M1" s="363"/>
    </row>
    <row r="2" spans="1:13" s="362" customFormat="1" ht="15.75">
      <c r="A2" s="122"/>
      <c r="G2" s="363"/>
      <c r="H2" s="363"/>
      <c r="I2" s="363"/>
      <c r="J2" s="363"/>
      <c r="K2" s="363"/>
      <c r="L2" s="363"/>
      <c r="M2" s="363"/>
    </row>
    <row r="3" spans="1:12" ht="13.5" customHeight="1" thickBot="1">
      <c r="A3" s="364"/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</row>
    <row r="4" spans="2:12" ht="12" hidden="1" thickBot="1">
      <c r="B4" s="367"/>
      <c r="C4" s="364"/>
      <c r="D4" s="364"/>
      <c r="E4" s="364"/>
      <c r="F4" s="368">
        <v>1</v>
      </c>
      <c r="G4" s="369">
        <v>1</v>
      </c>
      <c r="H4" s="368"/>
      <c r="I4" s="370"/>
      <c r="J4" s="364"/>
      <c r="K4" s="364"/>
      <c r="L4" s="364"/>
    </row>
    <row r="5" spans="1:15" s="378" customFormat="1" ht="18.75" customHeight="1">
      <c r="A5" s="371"/>
      <c r="B5" s="706" t="s">
        <v>22</v>
      </c>
      <c r="C5" s="1557" t="s">
        <v>333</v>
      </c>
      <c r="D5" s="373" t="s">
        <v>335</v>
      </c>
      <c r="E5" s="374" t="s">
        <v>209</v>
      </c>
      <c r="F5" s="374"/>
      <c r="G5" s="697"/>
      <c r="H5" s="374" t="s">
        <v>213</v>
      </c>
      <c r="I5" s="375" t="s">
        <v>332</v>
      </c>
      <c r="J5" s="372" t="s">
        <v>337</v>
      </c>
      <c r="K5" s="723" t="s">
        <v>339</v>
      </c>
      <c r="L5" s="724" t="s">
        <v>339</v>
      </c>
      <c r="M5" s="366"/>
      <c r="N5" s="376"/>
      <c r="O5" s="377"/>
    </row>
    <row r="6" spans="1:15" s="378" customFormat="1" ht="12" customHeight="1">
      <c r="A6" s="379" t="s">
        <v>6</v>
      </c>
      <c r="B6" s="707"/>
      <c r="C6" s="1558"/>
      <c r="D6" s="380" t="s">
        <v>336</v>
      </c>
      <c r="E6" s="381" t="s">
        <v>210</v>
      </c>
      <c r="F6" s="381" t="s">
        <v>21</v>
      </c>
      <c r="G6" s="698" t="s">
        <v>211</v>
      </c>
      <c r="H6" s="381" t="s">
        <v>212</v>
      </c>
      <c r="I6" s="382"/>
      <c r="J6" s="725" t="s">
        <v>338</v>
      </c>
      <c r="K6" s="726"/>
      <c r="L6" s="727" t="s">
        <v>379</v>
      </c>
      <c r="M6" s="366"/>
      <c r="N6" s="383" t="s">
        <v>266</v>
      </c>
      <c r="O6" s="384">
        <v>2015</v>
      </c>
    </row>
    <row r="7" spans="1:15" s="378" customFormat="1" ht="19.5" customHeight="1" thickBot="1">
      <c r="A7" s="385"/>
      <c r="B7" s="707">
        <v>2015</v>
      </c>
      <c r="C7" s="1559"/>
      <c r="D7" s="386"/>
      <c r="E7" s="387" t="s">
        <v>215</v>
      </c>
      <c r="F7" s="387"/>
      <c r="G7" s="699"/>
      <c r="H7" s="387" t="s">
        <v>214</v>
      </c>
      <c r="I7" s="388"/>
      <c r="J7" s="389"/>
      <c r="K7" s="702"/>
      <c r="L7" s="390"/>
      <c r="M7" s="366"/>
      <c r="N7" s="391"/>
      <c r="O7" s="392"/>
    </row>
    <row r="8" spans="1:15" ht="12" customHeight="1">
      <c r="A8" s="393"/>
      <c r="B8" s="708">
        <v>1</v>
      </c>
      <c r="C8" s="394">
        <v>2</v>
      </c>
      <c r="D8" s="394" t="s">
        <v>334</v>
      </c>
      <c r="E8" s="395">
        <v>4</v>
      </c>
      <c r="F8" s="395">
        <v>5</v>
      </c>
      <c r="G8" s="700">
        <v>6</v>
      </c>
      <c r="H8" s="395">
        <v>7</v>
      </c>
      <c r="I8" s="396" t="s">
        <v>633</v>
      </c>
      <c r="J8" s="397">
        <v>9</v>
      </c>
      <c r="K8" s="703" t="s">
        <v>634</v>
      </c>
      <c r="L8" s="696">
        <v>11</v>
      </c>
      <c r="N8" s="398"/>
      <c r="O8" s="399"/>
    </row>
    <row r="9" spans="1:15" ht="12.75" customHeight="1" thickBot="1">
      <c r="A9" s="400"/>
      <c r="B9" s="709"/>
      <c r="C9" s="401"/>
      <c r="D9" s="401"/>
      <c r="E9" s="402"/>
      <c r="F9" s="402"/>
      <c r="G9" s="701"/>
      <c r="H9" s="402"/>
      <c r="I9" s="403"/>
      <c r="J9" s="404"/>
      <c r="K9" s="704"/>
      <c r="L9" s="405"/>
      <c r="N9" s="398"/>
      <c r="O9" s="399"/>
    </row>
    <row r="10" spans="1:18" ht="12.75" customHeight="1">
      <c r="A10" s="393" t="s">
        <v>7</v>
      </c>
      <c r="B10" s="710">
        <v>329459.2514676887</v>
      </c>
      <c r="C10" s="406">
        <v>-2304.713186666666</v>
      </c>
      <c r="D10" s="406">
        <f>B10+C10</f>
        <v>327154.53828102205</v>
      </c>
      <c r="E10" s="407">
        <v>545675.7783696665</v>
      </c>
      <c r="F10" s="408">
        <f aca="true" t="shared" si="0" ref="F10:F26">E10/$E$27</f>
        <v>0.15487169610380955</v>
      </c>
      <c r="G10" s="1164">
        <f>F10*str4!$I$42</f>
        <v>86383.40542260627</v>
      </c>
      <c r="H10" s="408">
        <f>IF(E10=0,0,G10/E10)</f>
        <v>0.1583053689513154</v>
      </c>
      <c r="I10" s="409">
        <f>D10-G10</f>
        <v>240771.13285841577</v>
      </c>
      <c r="J10" s="840">
        <v>-6201.20172517789</v>
      </c>
      <c r="K10" s="705">
        <f>I10+J10</f>
        <v>234569.93113323787</v>
      </c>
      <c r="L10" s="1161">
        <f>ROUND(K10,0)</f>
        <v>234570</v>
      </c>
      <c r="N10" s="410" t="s">
        <v>433</v>
      </c>
      <c r="O10" s="411">
        <f>'příl.1 - cp 2015'!I7</f>
        <v>144151</v>
      </c>
      <c r="Q10" s="455"/>
      <c r="R10" s="713"/>
    </row>
    <row r="11" spans="1:18" ht="12.75" customHeight="1">
      <c r="A11" s="412" t="s">
        <v>8</v>
      </c>
      <c r="B11" s="710">
        <v>337265.2423507867</v>
      </c>
      <c r="C11" s="413">
        <v>7315.892591999998</v>
      </c>
      <c r="D11" s="413">
        <f aca="true" t="shared" si="1" ref="D11:D26">B11+C11</f>
        <v>344581.1349427867</v>
      </c>
      <c r="E11" s="414">
        <v>536975.5034732666</v>
      </c>
      <c r="F11" s="415">
        <f t="shared" si="0"/>
        <v>0.15240241602361138</v>
      </c>
      <c r="G11" s="1165">
        <f>F11*str4!$I$42</f>
        <v>85006.10519515381</v>
      </c>
      <c r="H11" s="415">
        <f aca="true" t="shared" si="2" ref="H11:H27">IF(E11=0,0,G11/E11)</f>
        <v>0.1583053689513154</v>
      </c>
      <c r="I11" s="416">
        <f>D11-G11</f>
        <v>259575.0297476329</v>
      </c>
      <c r="J11" s="841">
        <v>-8855.33596054875</v>
      </c>
      <c r="K11" s="705">
        <f>I11+J11</f>
        <v>250719.69378708416</v>
      </c>
      <c r="L11" s="1161">
        <f aca="true" t="shared" si="3" ref="L11:L26">ROUND(K11,0)</f>
        <v>250720</v>
      </c>
      <c r="N11" s="418" t="s">
        <v>276</v>
      </c>
      <c r="O11" s="419">
        <f>'příl.1 - cp 2015'!I13</f>
        <v>5143</v>
      </c>
      <c r="Q11" s="455"/>
      <c r="R11" s="713"/>
    </row>
    <row r="12" spans="1:18" ht="12.75" customHeight="1">
      <c r="A12" s="412" t="s">
        <v>9</v>
      </c>
      <c r="B12" s="710">
        <v>121336.15784232576</v>
      </c>
      <c r="C12" s="413">
        <v>199.4182906666656</v>
      </c>
      <c r="D12" s="413">
        <f>B12+C12</f>
        <v>121535.57613299243</v>
      </c>
      <c r="E12" s="414">
        <v>170884.0258569267</v>
      </c>
      <c r="F12" s="415">
        <f t="shared" si="0"/>
        <v>0.04849967686046122</v>
      </c>
      <c r="G12" s="1165">
        <f>F12*str4!$I$42</f>
        <v>27051.8587611669</v>
      </c>
      <c r="H12" s="415">
        <f t="shared" si="2"/>
        <v>0.1583053689513154</v>
      </c>
      <c r="I12" s="416">
        <f aca="true" t="shared" si="4" ref="I12:I26">D12-G12</f>
        <v>94483.71737182554</v>
      </c>
      <c r="J12" s="841">
        <v>-6078.12039360362</v>
      </c>
      <c r="K12" s="705">
        <f aca="true" t="shared" si="5" ref="K12:K26">I12+J12</f>
        <v>88405.59697822192</v>
      </c>
      <c r="L12" s="1161">
        <f t="shared" si="3"/>
        <v>88406</v>
      </c>
      <c r="N12" s="418" t="s">
        <v>186</v>
      </c>
      <c r="O12" s="419">
        <f>'příl.1 - cp 2015'!I26</f>
        <v>3600</v>
      </c>
      <c r="Q12" s="455"/>
      <c r="R12" s="713"/>
    </row>
    <row r="13" spans="1:18" ht="12.75" customHeight="1">
      <c r="A13" s="412" t="s">
        <v>10</v>
      </c>
      <c r="B13" s="710">
        <v>144245.72800104122</v>
      </c>
      <c r="C13" s="413">
        <v>-995.4180799999995</v>
      </c>
      <c r="D13" s="413">
        <f t="shared" si="1"/>
        <v>143250.30992104122</v>
      </c>
      <c r="E13" s="414">
        <v>258573.7773509834</v>
      </c>
      <c r="F13" s="415">
        <f t="shared" si="0"/>
        <v>0.07338746019836476</v>
      </c>
      <c r="G13" s="1165">
        <f>F13*str4!$I$42</f>
        <v>40933.617224682705</v>
      </c>
      <c r="H13" s="415">
        <f t="shared" si="2"/>
        <v>0.1583053689513154</v>
      </c>
      <c r="I13" s="416">
        <f t="shared" si="4"/>
        <v>102316.69269635851</v>
      </c>
      <c r="J13" s="841">
        <v>-3199.58547733945</v>
      </c>
      <c r="K13" s="705">
        <f t="shared" si="5"/>
        <v>99117.10721901906</v>
      </c>
      <c r="L13" s="1161">
        <f t="shared" si="3"/>
        <v>99117</v>
      </c>
      <c r="N13" s="418" t="s">
        <v>170</v>
      </c>
      <c r="O13" s="419">
        <f>'příl.1 - cp 2015'!I27-'příl.1 - cp 2015'!I86</f>
        <v>175909</v>
      </c>
      <c r="Q13" s="455"/>
      <c r="R13" s="713"/>
    </row>
    <row r="14" spans="1:18" ht="12.75" customHeight="1">
      <c r="A14" s="412" t="s">
        <v>11</v>
      </c>
      <c r="B14" s="710">
        <v>365484.70209912234</v>
      </c>
      <c r="C14" s="413">
        <v>2019.1400746666677</v>
      </c>
      <c r="D14" s="413">
        <f t="shared" si="1"/>
        <v>367503.842173789</v>
      </c>
      <c r="E14" s="414">
        <v>837239.7278833333</v>
      </c>
      <c r="F14" s="415">
        <f t="shared" si="0"/>
        <v>0.23762230585016508</v>
      </c>
      <c r="G14" s="1165">
        <f>F14*str4!$I$42</f>
        <v>132539.54402327</v>
      </c>
      <c r="H14" s="415">
        <f t="shared" si="2"/>
        <v>0.1583053689513154</v>
      </c>
      <c r="I14" s="416">
        <f t="shared" si="4"/>
        <v>234964.298150519</v>
      </c>
      <c r="J14" s="841">
        <v>-5718.62918164721</v>
      </c>
      <c r="K14" s="705">
        <f t="shared" si="5"/>
        <v>229245.6689688718</v>
      </c>
      <c r="L14" s="1163">
        <v>229245</v>
      </c>
      <c r="N14" s="418" t="s">
        <v>33</v>
      </c>
      <c r="O14" s="419">
        <f>'příl.1 - cp 2015'!I86</f>
        <v>17500</v>
      </c>
      <c r="Q14" s="455"/>
      <c r="R14" s="713"/>
    </row>
    <row r="15" spans="1:18" ht="12.75" customHeight="1">
      <c r="A15" s="412" t="s">
        <v>12</v>
      </c>
      <c r="B15" s="710">
        <v>132412.1381993067</v>
      </c>
      <c r="C15" s="413">
        <v>-8586.126383999997</v>
      </c>
      <c r="D15" s="413">
        <f t="shared" si="1"/>
        <v>123826.0118153067</v>
      </c>
      <c r="E15" s="414">
        <v>204470.4623335</v>
      </c>
      <c r="F15" s="415">
        <f t="shared" si="0"/>
        <v>0.05803205595698393</v>
      </c>
      <c r="G15" s="1165">
        <f>F15*str4!$I$42</f>
        <v>32368.771979350753</v>
      </c>
      <c r="H15" s="415">
        <f t="shared" si="2"/>
        <v>0.1583053689513154</v>
      </c>
      <c r="I15" s="416">
        <f t="shared" si="4"/>
        <v>91457.23983595594</v>
      </c>
      <c r="J15" s="841">
        <v>-2861.46189865501</v>
      </c>
      <c r="K15" s="705">
        <f t="shared" si="5"/>
        <v>88595.77793730094</v>
      </c>
      <c r="L15" s="1161">
        <f t="shared" si="3"/>
        <v>88596</v>
      </c>
      <c r="N15" s="418" t="s">
        <v>74</v>
      </c>
      <c r="O15" s="419">
        <f>'příl.1 - cp 2015'!I146</f>
        <v>211471</v>
      </c>
      <c r="Q15" s="455"/>
      <c r="R15" s="713"/>
    </row>
    <row r="16" spans="1:18" ht="12.75" customHeight="1">
      <c r="A16" s="412" t="s">
        <v>13</v>
      </c>
      <c r="B16" s="710">
        <v>183949.34271493394</v>
      </c>
      <c r="C16" s="413">
        <v>5381.712072</v>
      </c>
      <c r="D16" s="413">
        <f t="shared" si="1"/>
        <v>189331.05478693394</v>
      </c>
      <c r="E16" s="414">
        <v>258686.77075238328</v>
      </c>
      <c r="F16" s="415">
        <f t="shared" si="0"/>
        <v>0.07341952957072287</v>
      </c>
      <c r="G16" s="1165">
        <f>F16*str4!$I$42</f>
        <v>40951.504686780376</v>
      </c>
      <c r="H16" s="415">
        <f t="shared" si="2"/>
        <v>0.1583053689513154</v>
      </c>
      <c r="I16" s="416">
        <f t="shared" si="4"/>
        <v>148379.55010015354</v>
      </c>
      <c r="J16" s="841">
        <v>-6319.08987354731</v>
      </c>
      <c r="K16" s="705">
        <f t="shared" si="5"/>
        <v>142060.46022660623</v>
      </c>
      <c r="L16" s="1161">
        <f t="shared" si="3"/>
        <v>142060</v>
      </c>
      <c r="N16" s="418"/>
      <c r="O16" s="419"/>
      <c r="Q16" s="455"/>
      <c r="R16" s="713"/>
    </row>
    <row r="17" spans="1:18" ht="12.75" customHeight="1">
      <c r="A17" s="412" t="s">
        <v>14</v>
      </c>
      <c r="B17" s="710">
        <v>70741.40288634463</v>
      </c>
      <c r="C17" s="413">
        <v>-4174.8274133333325</v>
      </c>
      <c r="D17" s="413">
        <f t="shared" si="1"/>
        <v>66566.5754730113</v>
      </c>
      <c r="E17" s="414">
        <v>94175.31762203331</v>
      </c>
      <c r="F17" s="415">
        <f t="shared" si="0"/>
        <v>0.026728492906200895</v>
      </c>
      <c r="G17" s="1165">
        <f>F17*str4!$I$42</f>
        <v>14908.458402263299</v>
      </c>
      <c r="H17" s="415">
        <f t="shared" si="2"/>
        <v>0.15830536895131542</v>
      </c>
      <c r="I17" s="416">
        <f t="shared" si="4"/>
        <v>51658.117070748</v>
      </c>
      <c r="J17" s="841">
        <v>-993.339029125999</v>
      </c>
      <c r="K17" s="705">
        <f t="shared" si="5"/>
        <v>50664.778041622</v>
      </c>
      <c r="L17" s="1161">
        <f t="shared" si="3"/>
        <v>50665</v>
      </c>
      <c r="N17" s="418"/>
      <c r="O17" s="419"/>
      <c r="Q17" s="455"/>
      <c r="R17" s="713"/>
    </row>
    <row r="18" spans="1:18" ht="12.75" customHeight="1">
      <c r="A18" s="412" t="s">
        <v>15</v>
      </c>
      <c r="B18" s="710">
        <v>124384.50777542678</v>
      </c>
      <c r="C18" s="413">
        <v>1144.922034666667</v>
      </c>
      <c r="D18" s="413">
        <f t="shared" si="1"/>
        <v>125529.42981009345</v>
      </c>
      <c r="E18" s="414">
        <v>162256.23093036676</v>
      </c>
      <c r="F18" s="415">
        <f t="shared" si="0"/>
        <v>0.04605096777921083</v>
      </c>
      <c r="G18" s="1165">
        <f>F18*str4!$I$42</f>
        <v>25686.032502081543</v>
      </c>
      <c r="H18" s="415">
        <f t="shared" si="2"/>
        <v>0.1583053689513154</v>
      </c>
      <c r="I18" s="416">
        <f t="shared" si="4"/>
        <v>99843.39730801192</v>
      </c>
      <c r="J18" s="841">
        <v>-8438.6380505439</v>
      </c>
      <c r="K18" s="705">
        <f t="shared" si="5"/>
        <v>91404.75925746802</v>
      </c>
      <c r="L18" s="1161">
        <f t="shared" si="3"/>
        <v>91405</v>
      </c>
      <c r="N18" s="420"/>
      <c r="O18" s="421"/>
      <c r="Q18" s="455"/>
      <c r="R18" s="713"/>
    </row>
    <row r="19" spans="1:17" ht="12.75" customHeight="1">
      <c r="A19" s="412" t="s">
        <v>200</v>
      </c>
      <c r="B19" s="710"/>
      <c r="C19" s="413"/>
      <c r="D19" s="413">
        <f>B19+C19</f>
        <v>0</v>
      </c>
      <c r="E19" s="414"/>
      <c r="F19" s="415">
        <f t="shared" si="0"/>
        <v>0</v>
      </c>
      <c r="G19" s="1165">
        <f>F19*str4!$I$42</f>
        <v>0</v>
      </c>
      <c r="H19" s="415">
        <f t="shared" si="2"/>
        <v>0</v>
      </c>
      <c r="I19" s="416">
        <f t="shared" si="4"/>
        <v>0</v>
      </c>
      <c r="J19" s="841">
        <f>17000-334.598409810863</f>
        <v>16665.401590189136</v>
      </c>
      <c r="K19" s="705">
        <f t="shared" si="5"/>
        <v>16665.401590189136</v>
      </c>
      <c r="L19" s="1161">
        <f t="shared" si="3"/>
        <v>16665</v>
      </c>
      <c r="N19" s="422"/>
      <c r="O19" s="423"/>
      <c r="Q19" s="455"/>
    </row>
    <row r="20" spans="1:15" ht="12.75" customHeight="1" thickBot="1">
      <c r="A20" s="412" t="s">
        <v>24</v>
      </c>
      <c r="B20" s="710"/>
      <c r="C20" s="413"/>
      <c r="D20" s="413">
        <f t="shared" si="1"/>
        <v>0</v>
      </c>
      <c r="E20" s="414"/>
      <c r="F20" s="415">
        <f t="shared" si="0"/>
        <v>0</v>
      </c>
      <c r="G20" s="1165">
        <f>F20*str4!$I$42</f>
        <v>0</v>
      </c>
      <c r="H20" s="415">
        <f t="shared" si="2"/>
        <v>0</v>
      </c>
      <c r="I20" s="416">
        <f t="shared" si="4"/>
        <v>0</v>
      </c>
      <c r="J20" s="841">
        <v>32000</v>
      </c>
      <c r="K20" s="705">
        <f t="shared" si="5"/>
        <v>32000</v>
      </c>
      <c r="L20" s="1161">
        <f t="shared" si="3"/>
        <v>32000</v>
      </c>
      <c r="N20" s="424" t="s">
        <v>267</v>
      </c>
      <c r="O20" s="816">
        <f>SUM(O10:O18)</f>
        <v>557774</v>
      </c>
    </row>
    <row r="21" spans="1:15" ht="12.75" customHeight="1">
      <c r="A21" s="426" t="s">
        <v>236</v>
      </c>
      <c r="B21" s="710">
        <v>19328.386516766597</v>
      </c>
      <c r="C21" s="413"/>
      <c r="D21" s="413">
        <f t="shared" si="1"/>
        <v>19328.386516766597</v>
      </c>
      <c r="E21" s="414">
        <v>386081</v>
      </c>
      <c r="F21" s="415">
        <f t="shared" si="0"/>
        <v>0.10957609201951471</v>
      </c>
      <c r="G21" s="1165">
        <f>F21*str4!$I$42</f>
        <v>61118.6951500928</v>
      </c>
      <c r="H21" s="415">
        <f t="shared" si="2"/>
        <v>0.1583053689513154</v>
      </c>
      <c r="I21" s="416">
        <f>D21-G21</f>
        <v>-41790.3086333262</v>
      </c>
      <c r="J21" s="417"/>
      <c r="K21" s="733">
        <f t="shared" si="5"/>
        <v>-41790.3086333262</v>
      </c>
      <c r="L21" s="1162">
        <f t="shared" si="3"/>
        <v>-41790</v>
      </c>
      <c r="N21" s="428"/>
      <c r="O21" s="429"/>
    </row>
    <row r="22" spans="1:15" ht="12.75" customHeight="1">
      <c r="A22" s="430" t="s">
        <v>106</v>
      </c>
      <c r="B22" s="710">
        <v>2224.0791826139875</v>
      </c>
      <c r="C22" s="413"/>
      <c r="D22" s="413">
        <f t="shared" si="1"/>
        <v>2224.0791826139875</v>
      </c>
      <c r="E22" s="427">
        <v>29212.58474</v>
      </c>
      <c r="F22" s="415">
        <f t="shared" si="0"/>
        <v>0.008291008554158612</v>
      </c>
      <c r="G22" s="1165">
        <f>F22*str4!$I$42</f>
        <v>4624.509005287266</v>
      </c>
      <c r="H22" s="415">
        <f t="shared" si="2"/>
        <v>0.1583053689513154</v>
      </c>
      <c r="I22" s="416">
        <f t="shared" si="4"/>
        <v>-2400.429822673278</v>
      </c>
      <c r="J22" s="417"/>
      <c r="K22" s="733">
        <f t="shared" si="5"/>
        <v>-2400.429822673278</v>
      </c>
      <c r="L22" s="1162">
        <f t="shared" si="3"/>
        <v>-2400</v>
      </c>
      <c r="N22" s="428"/>
      <c r="O22" s="429"/>
    </row>
    <row r="23" spans="1:15" ht="12.75" customHeight="1">
      <c r="A23" s="430" t="s">
        <v>135</v>
      </c>
      <c r="B23" s="710"/>
      <c r="C23" s="413"/>
      <c r="D23" s="413">
        <f t="shared" si="1"/>
        <v>0</v>
      </c>
      <c r="E23" s="427">
        <v>16511.539076666668</v>
      </c>
      <c r="F23" s="415">
        <f t="shared" si="0"/>
        <v>0.004686244402725438</v>
      </c>
      <c r="G23" s="1165">
        <f>F23*str4!$I$42</f>
        <v>2613.8652854857787</v>
      </c>
      <c r="H23" s="415">
        <f t="shared" si="2"/>
        <v>0.15830536895131542</v>
      </c>
      <c r="I23" s="416">
        <f t="shared" si="4"/>
        <v>-2613.8652854857787</v>
      </c>
      <c r="J23" s="417"/>
      <c r="K23" s="733">
        <f t="shared" si="5"/>
        <v>-2613.8652854857787</v>
      </c>
      <c r="L23" s="1162">
        <f t="shared" si="3"/>
        <v>-2614</v>
      </c>
      <c r="N23" s="428"/>
      <c r="O23" s="429"/>
    </row>
    <row r="24" spans="1:15" ht="12.75" customHeight="1">
      <c r="A24" s="430" t="s">
        <v>17</v>
      </c>
      <c r="B24" s="710">
        <v>2451.060963642311</v>
      </c>
      <c r="C24" s="413"/>
      <c r="D24" s="413">
        <f t="shared" si="1"/>
        <v>2451.060963642311</v>
      </c>
      <c r="E24" s="427">
        <v>22590</v>
      </c>
      <c r="F24" s="415">
        <f t="shared" si="0"/>
        <v>0.006411410866426572</v>
      </c>
      <c r="G24" s="1165">
        <f>F24*str4!$I$42</f>
        <v>3576.1182846102147</v>
      </c>
      <c r="H24" s="415">
        <f t="shared" si="2"/>
        <v>0.1583053689513154</v>
      </c>
      <c r="I24" s="416">
        <f t="shared" si="4"/>
        <v>-1125.0573209679037</v>
      </c>
      <c r="J24" s="417"/>
      <c r="K24" s="733">
        <f t="shared" si="5"/>
        <v>-1125.0573209679037</v>
      </c>
      <c r="L24" s="1162">
        <f t="shared" si="3"/>
        <v>-1125</v>
      </c>
      <c r="N24" s="428"/>
      <c r="O24" s="429"/>
    </row>
    <row r="25" spans="1:15" ht="12.75" customHeight="1">
      <c r="A25" s="431" t="s">
        <v>225</v>
      </c>
      <c r="B25" s="710"/>
      <c r="C25" s="413"/>
      <c r="D25" s="413">
        <f t="shared" si="1"/>
        <v>0</v>
      </c>
      <c r="E25" s="427"/>
      <c r="F25" s="415">
        <f t="shared" si="0"/>
        <v>0</v>
      </c>
      <c r="G25" s="1165">
        <f>F25*str4!$I$42</f>
        <v>0</v>
      </c>
      <c r="H25" s="415">
        <f t="shared" si="2"/>
        <v>0</v>
      </c>
      <c r="I25" s="416">
        <f t="shared" si="4"/>
        <v>0</v>
      </c>
      <c r="J25" s="417"/>
      <c r="K25" s="733">
        <f t="shared" si="5"/>
        <v>0</v>
      </c>
      <c r="L25" s="1162">
        <f t="shared" si="3"/>
        <v>0</v>
      </c>
      <c r="N25" s="428"/>
      <c r="O25" s="429"/>
    </row>
    <row r="26" spans="1:15" ht="12.75" customHeight="1">
      <c r="A26" s="431" t="s">
        <v>229</v>
      </c>
      <c r="B26" s="710"/>
      <c r="C26" s="413"/>
      <c r="D26" s="413">
        <f t="shared" si="1"/>
        <v>0</v>
      </c>
      <c r="E26" s="427">
        <v>72.73333333333333</v>
      </c>
      <c r="F26" s="415">
        <f t="shared" si="0"/>
        <v>2.064290764430099E-05</v>
      </c>
      <c r="G26" s="1166">
        <f>F26*str4!$I$42</f>
        <v>11.51407716839234</v>
      </c>
      <c r="H26" s="415">
        <f t="shared" si="2"/>
        <v>0.1583053689513154</v>
      </c>
      <c r="I26" s="416">
        <f t="shared" si="4"/>
        <v>-11.51407716839234</v>
      </c>
      <c r="J26" s="417"/>
      <c r="K26" s="733">
        <f t="shared" si="5"/>
        <v>-11.51407716839234</v>
      </c>
      <c r="L26" s="1162">
        <f t="shared" si="3"/>
        <v>-12</v>
      </c>
      <c r="N26" s="432"/>
      <c r="O26" s="429"/>
    </row>
    <row r="27" spans="1:17" ht="12.75" customHeight="1" thickBot="1">
      <c r="A27" s="433" t="s">
        <v>206</v>
      </c>
      <c r="B27" s="711">
        <f aca="true" t="shared" si="6" ref="B27:G27">SUM(B10:B26)</f>
        <v>1833281.9999999998</v>
      </c>
      <c r="C27" s="434">
        <f t="shared" si="6"/>
        <v>3.637978807091713E-12</v>
      </c>
      <c r="D27" s="434">
        <f t="shared" si="6"/>
        <v>1833281.9999999998</v>
      </c>
      <c r="E27" s="435">
        <f t="shared" si="6"/>
        <v>3523405.4517224594</v>
      </c>
      <c r="F27" s="436">
        <f t="shared" si="6"/>
        <v>1.0000000000000002</v>
      </c>
      <c r="G27" s="839">
        <f t="shared" si="6"/>
        <v>557774.0000000001</v>
      </c>
      <c r="H27" s="436">
        <f t="shared" si="2"/>
        <v>0.15830536895131542</v>
      </c>
      <c r="I27" s="437">
        <f>SUM(I10:I26)</f>
        <v>1275507.9999999998</v>
      </c>
      <c r="J27" s="438">
        <f>SUM(J10:J26)</f>
        <v>0</v>
      </c>
      <c r="K27" s="734">
        <f>SUM(K10:K26)</f>
        <v>1275507.9999999993</v>
      </c>
      <c r="L27" s="732">
        <f>SUM(L10:L26)</f>
        <v>1275508</v>
      </c>
      <c r="N27" s="439"/>
      <c r="O27" s="440"/>
      <c r="P27" s="440"/>
      <c r="Q27" s="455"/>
    </row>
    <row r="28" spans="1:14" ht="12" customHeight="1">
      <c r="A28" s="441" t="s">
        <v>289</v>
      </c>
      <c r="B28" s="440"/>
      <c r="C28" s="440"/>
      <c r="D28" s="440"/>
      <c r="E28" s="440"/>
      <c r="F28" s="440"/>
      <c r="G28" s="442"/>
      <c r="H28" s="440"/>
      <c r="I28" s="440"/>
      <c r="J28" s="440"/>
      <c r="K28" s="63"/>
      <c r="L28" s="712"/>
      <c r="N28" s="440"/>
    </row>
    <row r="29" spans="1:14" ht="12.75" customHeight="1">
      <c r="A29" s="441"/>
      <c r="B29" s="440"/>
      <c r="C29" s="440"/>
      <c r="D29" s="440"/>
      <c r="E29" s="440"/>
      <c r="F29" s="440"/>
      <c r="G29" s="442"/>
      <c r="K29" s="713"/>
      <c r="L29" s="455"/>
      <c r="N29" s="440"/>
    </row>
    <row r="30" spans="1:14" ht="12.75" customHeight="1">
      <c r="A30" s="63"/>
      <c r="B30" s="63"/>
      <c r="C30" s="63"/>
      <c r="D30" s="63"/>
      <c r="E30" s="63"/>
      <c r="F30" s="63"/>
      <c r="G30" s="63"/>
      <c r="I30" s="455"/>
      <c r="L30" s="713"/>
      <c r="N30" s="440"/>
    </row>
    <row r="31" spans="1:14" ht="12" thickBot="1">
      <c r="A31" s="63" t="s">
        <v>268</v>
      </c>
      <c r="B31" s="63"/>
      <c r="C31" s="63"/>
      <c r="D31" s="442"/>
      <c r="E31" s="442"/>
      <c r="F31" s="63"/>
      <c r="G31" s="63"/>
      <c r="H31" s="63"/>
      <c r="I31" s="442"/>
      <c r="J31" s="442"/>
      <c r="K31" s="442"/>
      <c r="L31" s="442"/>
      <c r="N31" s="440"/>
    </row>
    <row r="32" spans="1:16" ht="12.75" customHeight="1">
      <c r="A32" s="443">
        <v>1</v>
      </c>
      <c r="B32" s="1561" t="s">
        <v>0</v>
      </c>
      <c r="C32" s="1561"/>
      <c r="D32" s="1561"/>
      <c r="E32" s="1561"/>
      <c r="F32" s="1561"/>
      <c r="G32" s="444">
        <f>str1!F7</f>
        <v>1833282</v>
      </c>
      <c r="H32" s="63"/>
      <c r="I32" s="63"/>
      <c r="J32" s="63"/>
      <c r="K32" s="63"/>
      <c r="L32" s="63"/>
      <c r="N32" s="440"/>
      <c r="O32" s="440"/>
      <c r="P32" s="440"/>
    </row>
    <row r="33" spans="1:16" ht="13.5" customHeight="1">
      <c r="A33" s="445">
        <v>2</v>
      </c>
      <c r="B33" s="1556" t="s">
        <v>432</v>
      </c>
      <c r="C33" s="1556"/>
      <c r="D33" s="1556"/>
      <c r="E33" s="1556"/>
      <c r="F33" s="1556"/>
      <c r="G33" s="195">
        <f>'příl.1 - cp 2015'!I7</f>
        <v>144151</v>
      </c>
      <c r="H33" s="63"/>
      <c r="I33" s="63"/>
      <c r="J33" s="63"/>
      <c r="K33" s="63"/>
      <c r="L33" s="63"/>
      <c r="M33" s="63"/>
      <c r="N33" s="440"/>
      <c r="O33" s="440"/>
      <c r="P33" s="440"/>
    </row>
    <row r="34" spans="1:16" ht="11.25">
      <c r="A34" s="445">
        <v>3</v>
      </c>
      <c r="B34" s="1556" t="s">
        <v>238</v>
      </c>
      <c r="C34" s="1556"/>
      <c r="D34" s="1556"/>
      <c r="E34" s="1556"/>
      <c r="F34" s="1556"/>
      <c r="G34" s="195">
        <f>G32-G33</f>
        <v>1689131</v>
      </c>
      <c r="H34" s="63"/>
      <c r="I34" s="63"/>
      <c r="J34" s="63"/>
      <c r="K34" s="63"/>
      <c r="L34" s="63"/>
      <c r="M34" s="63"/>
      <c r="N34" s="440"/>
      <c r="O34" s="440"/>
      <c r="P34" s="440"/>
    </row>
    <row r="35" spans="1:16" ht="11.25">
      <c r="A35" s="445">
        <v>4</v>
      </c>
      <c r="B35" s="1556" t="s">
        <v>271</v>
      </c>
      <c r="C35" s="1556"/>
      <c r="D35" s="1556"/>
      <c r="E35" s="1556"/>
      <c r="F35" s="1556"/>
      <c r="G35" s="731">
        <f>SUM(L10:L20)</f>
        <v>1323449</v>
      </c>
      <c r="H35" s="63"/>
      <c r="I35" s="63"/>
      <c r="J35" s="63"/>
      <c r="K35" s="63"/>
      <c r="L35" s="63"/>
      <c r="M35" s="63"/>
      <c r="N35" s="440"/>
      <c r="O35" s="440"/>
      <c r="P35" s="440"/>
    </row>
    <row r="36" spans="1:16" ht="11.25">
      <c r="A36" s="445">
        <v>5</v>
      </c>
      <c r="B36" s="1556" t="s">
        <v>270</v>
      </c>
      <c r="C36" s="1556"/>
      <c r="D36" s="1556"/>
      <c r="E36" s="1556"/>
      <c r="F36" s="1556"/>
      <c r="G36" s="446">
        <f>G34-G35</f>
        <v>365682</v>
      </c>
      <c r="H36" s="63"/>
      <c r="I36" s="63"/>
      <c r="J36" s="63"/>
      <c r="K36" s="63"/>
      <c r="L36" s="63"/>
      <c r="M36" s="63"/>
      <c r="N36" s="440"/>
      <c r="O36" s="440"/>
      <c r="P36" s="440"/>
    </row>
    <row r="37" spans="1:16" ht="11.25">
      <c r="A37" s="445">
        <v>6</v>
      </c>
      <c r="B37" s="1556" t="s">
        <v>635</v>
      </c>
      <c r="C37" s="1556"/>
      <c r="D37" s="1556"/>
      <c r="E37" s="1556"/>
      <c r="F37" s="1556"/>
      <c r="G37" s="195">
        <f>G27-G33</f>
        <v>413623.0000000001</v>
      </c>
      <c r="H37" s="63"/>
      <c r="I37" s="63"/>
      <c r="J37" s="63"/>
      <c r="K37" s="63"/>
      <c r="L37" s="63"/>
      <c r="M37" s="63"/>
      <c r="N37" s="440"/>
      <c r="O37" s="440"/>
      <c r="P37" s="440"/>
    </row>
    <row r="38" spans="1:16" ht="11.25">
      <c r="A38" s="445">
        <v>7</v>
      </c>
      <c r="B38" s="1556" t="s">
        <v>272</v>
      </c>
      <c r="C38" s="1556"/>
      <c r="D38" s="1556"/>
      <c r="E38" s="1556"/>
      <c r="F38" s="1556"/>
      <c r="G38" s="195">
        <f>G36-G37</f>
        <v>-47941.00000000012</v>
      </c>
      <c r="H38" s="63"/>
      <c r="I38" s="63"/>
      <c r="J38" s="63"/>
      <c r="K38" s="63"/>
      <c r="L38" s="63"/>
      <c r="M38" s="63"/>
      <c r="N38" s="440"/>
      <c r="O38" s="440"/>
      <c r="P38" s="440"/>
    </row>
    <row r="39" spans="1:16" ht="11.25">
      <c r="A39" s="445">
        <v>8</v>
      </c>
      <c r="B39" s="1556" t="s">
        <v>269</v>
      </c>
      <c r="C39" s="1556"/>
      <c r="D39" s="1556"/>
      <c r="E39" s="1556"/>
      <c r="F39" s="1556"/>
      <c r="G39" s="195">
        <f>'příl.1 - cp 2015'!I158</f>
        <v>87600</v>
      </c>
      <c r="H39" s="63"/>
      <c r="I39" s="63"/>
      <c r="J39" s="63"/>
      <c r="K39" s="63"/>
      <c r="L39" s="63"/>
      <c r="M39" s="63"/>
      <c r="N39" s="440"/>
      <c r="O39" s="440"/>
      <c r="P39" s="440"/>
    </row>
    <row r="40" spans="1:16" ht="11.25">
      <c r="A40" s="445">
        <v>9</v>
      </c>
      <c r="B40" s="1556" t="s">
        <v>626</v>
      </c>
      <c r="C40" s="1556"/>
      <c r="D40" s="1556"/>
      <c r="E40" s="1556"/>
      <c r="F40" s="1556"/>
      <c r="G40" s="195">
        <f>G39+G38</f>
        <v>39658.99999999988</v>
      </c>
      <c r="H40" s="63"/>
      <c r="I40" s="63"/>
      <c r="J40" s="63"/>
      <c r="K40" s="63"/>
      <c r="L40" s="63"/>
      <c r="M40" s="63"/>
      <c r="N40" s="440"/>
      <c r="O40" s="440"/>
      <c r="P40" s="440"/>
    </row>
    <row r="41" spans="1:16" ht="12" thickBot="1">
      <c r="A41" s="447">
        <v>10</v>
      </c>
      <c r="B41" s="1560" t="s">
        <v>273</v>
      </c>
      <c r="C41" s="1560"/>
      <c r="D41" s="1560"/>
      <c r="E41" s="1560"/>
      <c r="F41" s="1560"/>
      <c r="G41" s="448">
        <f>-G38</f>
        <v>47941.00000000012</v>
      </c>
      <c r="H41" s="442"/>
      <c r="I41" s="63"/>
      <c r="J41" s="63"/>
      <c r="K41" s="63"/>
      <c r="L41" s="63"/>
      <c r="M41" s="63"/>
      <c r="N41" s="440"/>
      <c r="O41" s="440"/>
      <c r="P41" s="440"/>
    </row>
    <row r="42" spans="1:16" ht="11.25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440"/>
      <c r="O42" s="440"/>
      <c r="P42" s="440"/>
    </row>
    <row r="43" spans="1:13" ht="11.25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</row>
    <row r="44" spans="1:13" ht="11.25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</row>
    <row r="45" spans="1:13" ht="11.25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</row>
    <row r="53" ht="11.25">
      <c r="E53" s="449"/>
    </row>
    <row r="54" ht="11.25">
      <c r="E54" s="449"/>
    </row>
    <row r="55" ht="11.25">
      <c r="E55" s="449"/>
    </row>
    <row r="56" ht="11.25">
      <c r="E56" s="449"/>
    </row>
    <row r="57" ht="11.25">
      <c r="E57" s="449"/>
    </row>
    <row r="58" spans="1:13" ht="15.75">
      <c r="A58" s="450"/>
      <c r="B58" s="450"/>
      <c r="C58" s="362"/>
      <c r="D58" s="362"/>
      <c r="E58" s="363"/>
      <c r="F58" s="362"/>
      <c r="G58" s="362"/>
      <c r="H58" s="362"/>
      <c r="I58" s="362"/>
      <c r="J58" s="362"/>
      <c r="K58" s="362"/>
      <c r="L58" s="362"/>
      <c r="M58" s="362"/>
    </row>
    <row r="59" ht="11.25">
      <c r="E59" s="449"/>
    </row>
    <row r="60" ht="11.25">
      <c r="E60" s="449"/>
    </row>
    <row r="61" ht="11.25">
      <c r="E61" s="449"/>
    </row>
    <row r="62" ht="11.25">
      <c r="E62" s="449"/>
    </row>
    <row r="63" ht="11.25">
      <c r="E63" s="449"/>
    </row>
    <row r="64" ht="11.25">
      <c r="E64" s="449"/>
    </row>
    <row r="65" ht="11.25">
      <c r="E65" s="449"/>
    </row>
    <row r="66" ht="11.25">
      <c r="E66" s="449"/>
    </row>
    <row r="67" ht="11.25">
      <c r="E67" s="449"/>
    </row>
    <row r="68" ht="11.25">
      <c r="E68" s="449"/>
    </row>
    <row r="69" ht="11.25">
      <c r="E69" s="449"/>
    </row>
    <row r="70" ht="11.25">
      <c r="E70" s="449"/>
    </row>
    <row r="71" ht="11.25">
      <c r="E71" s="449"/>
    </row>
    <row r="72" ht="11.25">
      <c r="E72" s="449"/>
    </row>
    <row r="73" ht="11.25">
      <c r="E73" s="449"/>
    </row>
    <row r="74" ht="11.25">
      <c r="E74" s="449"/>
    </row>
    <row r="75" ht="11.25">
      <c r="E75" s="449"/>
    </row>
    <row r="76" ht="11.25">
      <c r="E76" s="449"/>
    </row>
    <row r="77" ht="11.25">
      <c r="E77" s="449"/>
    </row>
    <row r="78" ht="11.25">
      <c r="E78" s="449"/>
    </row>
    <row r="79" spans="1:5" ht="12.75">
      <c r="A79" s="382"/>
      <c r="B79" s="382"/>
      <c r="C79" s="451"/>
      <c r="D79" s="451"/>
      <c r="E79" s="449"/>
    </row>
    <row r="80" spans="1:5" ht="11.25">
      <c r="A80" s="364"/>
      <c r="B80" s="364"/>
      <c r="C80" s="452"/>
      <c r="D80" s="452"/>
      <c r="E80" s="449"/>
    </row>
    <row r="81" spans="1:5" ht="11.25">
      <c r="A81" s="364"/>
      <c r="B81" s="364"/>
      <c r="C81" s="452"/>
      <c r="E81" s="449"/>
    </row>
    <row r="82" spans="1:5" ht="11.25">
      <c r="A82" s="451"/>
      <c r="B82" s="451"/>
      <c r="C82" s="452"/>
      <c r="E82" s="449"/>
    </row>
    <row r="83" spans="1:13" ht="11.25">
      <c r="A83" s="453"/>
      <c r="B83" s="453"/>
      <c r="C83" s="454"/>
      <c r="D83" s="454"/>
      <c r="E83" s="449"/>
      <c r="I83" s="455"/>
      <c r="J83" s="455"/>
      <c r="K83" s="455"/>
      <c r="L83" s="455"/>
      <c r="M83" s="455"/>
    </row>
    <row r="84" spans="1:13" ht="11.25">
      <c r="A84" s="453"/>
      <c r="B84" s="453"/>
      <c r="C84" s="454"/>
      <c r="D84" s="454"/>
      <c r="E84" s="449"/>
      <c r="I84" s="455"/>
      <c r="J84" s="455"/>
      <c r="K84" s="455"/>
      <c r="L84" s="455"/>
      <c r="M84" s="455"/>
    </row>
    <row r="85" spans="1:13" ht="11.25">
      <c r="A85" s="453"/>
      <c r="B85" s="453"/>
      <c r="C85" s="454"/>
      <c r="D85" s="454"/>
      <c r="E85" s="449"/>
      <c r="I85" s="455"/>
      <c r="J85" s="455"/>
      <c r="K85" s="455"/>
      <c r="L85" s="455"/>
      <c r="M85" s="455"/>
    </row>
    <row r="86" spans="1:13" ht="11.25">
      <c r="A86" s="453"/>
      <c r="B86" s="453"/>
      <c r="C86" s="454"/>
      <c r="D86" s="454"/>
      <c r="E86" s="449"/>
      <c r="I86" s="455"/>
      <c r="J86" s="455"/>
      <c r="K86" s="455"/>
      <c r="L86" s="455"/>
      <c r="M86" s="455"/>
    </row>
    <row r="87" spans="1:13" ht="11.25">
      <c r="A87" s="453"/>
      <c r="B87" s="453"/>
      <c r="C87" s="454"/>
      <c r="D87" s="454"/>
      <c r="E87" s="449"/>
      <c r="I87" s="455"/>
      <c r="J87" s="455"/>
      <c r="K87" s="455"/>
      <c r="L87" s="455"/>
      <c r="M87" s="455"/>
    </row>
    <row r="88" spans="1:13" ht="11.25">
      <c r="A88" s="453"/>
      <c r="B88" s="453"/>
      <c r="C88" s="454"/>
      <c r="D88" s="454"/>
      <c r="E88" s="449"/>
      <c r="I88" s="455"/>
      <c r="J88" s="455"/>
      <c r="K88" s="455"/>
      <c r="L88" s="455"/>
      <c r="M88" s="455"/>
    </row>
    <row r="89" spans="1:13" ht="11.25">
      <c r="A89" s="453"/>
      <c r="B89" s="453"/>
      <c r="C89" s="454"/>
      <c r="D89" s="454"/>
      <c r="E89" s="449"/>
      <c r="I89" s="455"/>
      <c r="J89" s="455"/>
      <c r="K89" s="455"/>
      <c r="L89" s="455"/>
      <c r="M89" s="455"/>
    </row>
    <row r="90" spans="1:13" ht="11.25">
      <c r="A90" s="453"/>
      <c r="B90" s="453"/>
      <c r="C90" s="454"/>
      <c r="D90" s="454"/>
      <c r="E90" s="449"/>
      <c r="F90" s="364"/>
      <c r="G90" s="364"/>
      <c r="I90" s="455"/>
      <c r="J90" s="455"/>
      <c r="K90" s="455"/>
      <c r="L90" s="455"/>
      <c r="M90" s="455"/>
    </row>
    <row r="91" spans="1:13" ht="11.25">
      <c r="A91" s="453"/>
      <c r="B91" s="453"/>
      <c r="C91" s="454"/>
      <c r="D91" s="454"/>
      <c r="E91" s="449"/>
      <c r="I91" s="455"/>
      <c r="J91" s="455"/>
      <c r="K91" s="455"/>
      <c r="L91" s="455"/>
      <c r="M91" s="455"/>
    </row>
    <row r="92" spans="1:13" ht="11.25">
      <c r="A92" s="453"/>
      <c r="B92" s="453"/>
      <c r="C92" s="454"/>
      <c r="D92" s="454"/>
      <c r="E92" s="449"/>
      <c r="I92" s="455"/>
      <c r="J92" s="455"/>
      <c r="K92" s="455"/>
      <c r="L92" s="455"/>
      <c r="M92" s="455"/>
    </row>
    <row r="93" spans="3:5" ht="11.25">
      <c r="C93" s="454"/>
      <c r="D93" s="454"/>
      <c r="E93" s="449"/>
    </row>
    <row r="94" ht="11.25">
      <c r="E94" s="449"/>
    </row>
    <row r="95" ht="11.25">
      <c r="E95" s="449"/>
    </row>
    <row r="109" ht="11.25">
      <c r="E109" s="449"/>
    </row>
    <row r="110" ht="11.25">
      <c r="E110" s="449"/>
    </row>
    <row r="111" ht="11.25">
      <c r="E111" s="449"/>
    </row>
    <row r="112" ht="11.25">
      <c r="E112" s="449"/>
    </row>
    <row r="113" ht="11.25">
      <c r="E113" s="449"/>
    </row>
    <row r="114" ht="11.25">
      <c r="E114" s="449"/>
    </row>
    <row r="115" ht="11.25">
      <c r="E115" s="449"/>
    </row>
    <row r="116" ht="11.25">
      <c r="E116" s="449"/>
    </row>
    <row r="117" ht="11.25">
      <c r="E117" s="449"/>
    </row>
    <row r="118" ht="11.25">
      <c r="E118" s="449"/>
    </row>
    <row r="119" ht="11.25">
      <c r="E119" s="449"/>
    </row>
    <row r="120" ht="11.25">
      <c r="E120" s="449"/>
    </row>
    <row r="121" ht="11.25">
      <c r="E121" s="449"/>
    </row>
    <row r="122" ht="11.25">
      <c r="E122" s="449"/>
    </row>
    <row r="123" ht="11.25">
      <c r="E123" s="449"/>
    </row>
    <row r="124" ht="11.25">
      <c r="E124" s="449"/>
    </row>
    <row r="125" ht="11.25">
      <c r="E125" s="449"/>
    </row>
    <row r="126" ht="11.25">
      <c r="E126" s="449"/>
    </row>
    <row r="127" ht="11.25">
      <c r="E127" s="449"/>
    </row>
    <row r="128" ht="11.25">
      <c r="E128" s="449"/>
    </row>
    <row r="129" ht="11.25">
      <c r="E129" s="449"/>
    </row>
    <row r="130" ht="11.25">
      <c r="E130" s="449"/>
    </row>
    <row r="131" ht="11.25">
      <c r="E131" s="449"/>
    </row>
    <row r="132" ht="11.25">
      <c r="E132" s="449"/>
    </row>
    <row r="133" ht="11.25">
      <c r="E133" s="449"/>
    </row>
    <row r="134" ht="11.25">
      <c r="E134" s="449"/>
    </row>
    <row r="135" ht="11.25">
      <c r="E135" s="449"/>
    </row>
    <row r="136" ht="11.25">
      <c r="E136" s="449"/>
    </row>
    <row r="137" ht="11.25">
      <c r="E137" s="449"/>
    </row>
    <row r="138" ht="11.25">
      <c r="E138" s="449"/>
    </row>
    <row r="139" ht="11.25">
      <c r="E139" s="449"/>
    </row>
    <row r="140" ht="11.25">
      <c r="E140" s="449"/>
    </row>
    <row r="141" ht="11.25">
      <c r="E141" s="449"/>
    </row>
    <row r="142" ht="11.25">
      <c r="E142" s="449"/>
    </row>
    <row r="143" ht="11.25">
      <c r="E143" s="449"/>
    </row>
    <row r="144" ht="11.25">
      <c r="E144" s="449"/>
    </row>
    <row r="145" ht="11.25">
      <c r="E145" s="449"/>
    </row>
    <row r="146" ht="11.25">
      <c r="E146" s="449"/>
    </row>
    <row r="147" ht="11.25">
      <c r="E147" s="449"/>
    </row>
    <row r="148" ht="11.25">
      <c r="E148" s="449"/>
    </row>
    <row r="149" ht="11.25">
      <c r="E149" s="449"/>
    </row>
    <row r="150" ht="11.25">
      <c r="E150" s="449"/>
    </row>
    <row r="151" ht="11.25">
      <c r="E151" s="449"/>
    </row>
    <row r="152" ht="11.25">
      <c r="E152" s="449"/>
    </row>
    <row r="153" ht="11.25">
      <c r="E153" s="449"/>
    </row>
    <row r="154" ht="11.25">
      <c r="E154" s="449"/>
    </row>
    <row r="155" ht="11.25">
      <c r="E155" s="449"/>
    </row>
    <row r="156" ht="11.25">
      <c r="E156" s="449"/>
    </row>
    <row r="157" ht="11.25">
      <c r="E157" s="449"/>
    </row>
    <row r="158" ht="11.25">
      <c r="E158" s="449"/>
    </row>
    <row r="159" ht="11.25">
      <c r="E159" s="449"/>
    </row>
    <row r="160" ht="11.25">
      <c r="E160" s="449"/>
    </row>
    <row r="161" ht="11.25">
      <c r="E161" s="449"/>
    </row>
    <row r="162" ht="11.25">
      <c r="E162" s="449"/>
    </row>
    <row r="163" ht="11.25">
      <c r="E163" s="449"/>
    </row>
    <row r="164" ht="11.25">
      <c r="E164" s="449"/>
    </row>
    <row r="165" ht="11.25">
      <c r="E165" s="449"/>
    </row>
    <row r="166" ht="11.25">
      <c r="E166" s="449"/>
    </row>
    <row r="167" ht="11.25">
      <c r="E167" s="449"/>
    </row>
    <row r="168" ht="11.25">
      <c r="E168" s="449"/>
    </row>
    <row r="169" ht="11.25">
      <c r="E169" s="449"/>
    </row>
    <row r="170" ht="11.25">
      <c r="E170" s="449"/>
    </row>
    <row r="171" ht="11.25">
      <c r="E171" s="449"/>
    </row>
    <row r="172" ht="11.25">
      <c r="E172" s="449"/>
    </row>
    <row r="173" ht="11.25">
      <c r="E173" s="449"/>
    </row>
    <row r="174" ht="11.25">
      <c r="E174" s="449"/>
    </row>
    <row r="175" ht="11.25">
      <c r="E175" s="449"/>
    </row>
    <row r="176" ht="11.25">
      <c r="E176" s="449"/>
    </row>
    <row r="177" ht="11.25">
      <c r="E177" s="449"/>
    </row>
    <row r="178" ht="11.25">
      <c r="E178" s="449"/>
    </row>
    <row r="179" ht="11.25">
      <c r="E179" s="449"/>
    </row>
    <row r="180" ht="11.25">
      <c r="E180" s="449"/>
    </row>
    <row r="181" ht="11.25">
      <c r="E181" s="449"/>
    </row>
    <row r="182" ht="11.25">
      <c r="E182" s="449"/>
    </row>
    <row r="183" ht="11.25">
      <c r="E183" s="449"/>
    </row>
    <row r="184" ht="11.25">
      <c r="E184" s="449"/>
    </row>
    <row r="185" ht="11.25">
      <c r="E185" s="449"/>
    </row>
    <row r="186" ht="11.25">
      <c r="E186" s="449"/>
    </row>
    <row r="187" ht="11.25">
      <c r="E187" s="449"/>
    </row>
    <row r="188" ht="11.25">
      <c r="D188" s="449"/>
    </row>
    <row r="189" ht="11.25">
      <c r="D189" s="449"/>
    </row>
    <row r="190" ht="11.25">
      <c r="D190" s="449"/>
    </row>
    <row r="191" ht="11.25">
      <c r="D191" s="449"/>
    </row>
  </sheetData>
  <sheetProtection/>
  <mergeCells count="11">
    <mergeCell ref="B39:F39"/>
    <mergeCell ref="B40:F40"/>
    <mergeCell ref="C5:C7"/>
    <mergeCell ref="B41:F41"/>
    <mergeCell ref="B32:F32"/>
    <mergeCell ref="B33:F33"/>
    <mergeCell ref="B34:F34"/>
    <mergeCell ref="B35:F35"/>
    <mergeCell ref="B36:F36"/>
    <mergeCell ref="B37:F37"/>
    <mergeCell ref="B38:F38"/>
  </mergeCells>
  <printOptions horizontalCentered="1" verticalCentered="1"/>
  <pageMargins left="0.2755905511811024" right="0.15748031496062992" top="0.5905511811023623" bottom="0.6692913385826772" header="0.3937007874015748" footer="0.35433070866141736"/>
  <pageSetup horizontalDpi="600" verticalDpi="600" orientation="landscape" paperSize="9" scale="85" r:id="rId1"/>
  <headerFooter alignWithMargins="0">
    <oddHeader>&amp;R
</oddHeader>
    <oddFooter>&amp;C&amp;9 5
&amp;8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Y132"/>
  <sheetViews>
    <sheetView showGridLines="0" zoomScalePageLayoutView="0" workbookViewId="0" topLeftCell="A84">
      <selection activeCell="A117" sqref="A117"/>
    </sheetView>
  </sheetViews>
  <sheetFormatPr defaultColWidth="11.375" defaultRowHeight="12.75"/>
  <cols>
    <col min="1" max="1" width="4.625" style="49" customWidth="1"/>
    <col min="2" max="2" width="5.00390625" style="49" customWidth="1"/>
    <col min="3" max="3" width="17.625" style="49" customWidth="1"/>
    <col min="4" max="4" width="11.25390625" style="49" customWidth="1"/>
    <col min="5" max="5" width="10.125" style="49" customWidth="1"/>
    <col min="6" max="6" width="9.375" style="49" customWidth="1"/>
    <col min="7" max="7" width="10.125" style="49" customWidth="1"/>
    <col min="8" max="8" width="10.75390625" style="49" customWidth="1"/>
    <col min="9" max="9" width="9.25390625" style="49" customWidth="1"/>
    <col min="10" max="10" width="10.375" style="49" customWidth="1"/>
    <col min="11" max="11" width="11.25390625" style="49" customWidth="1"/>
    <col min="12" max="12" width="9.875" style="49" customWidth="1"/>
    <col min="13" max="13" width="10.25390625" style="456" customWidth="1"/>
    <col min="14" max="14" width="10.00390625" style="49" bestFit="1" customWidth="1"/>
    <col min="15" max="15" width="2.25390625" style="49" customWidth="1"/>
    <col min="16" max="17" width="8.75390625" style="49" customWidth="1"/>
    <col min="18" max="18" width="10.375" style="49" customWidth="1"/>
    <col min="19" max="19" width="14.125" style="49" customWidth="1"/>
    <col min="20" max="20" width="11.875" style="49" customWidth="1"/>
    <col min="21" max="16384" width="11.375" style="49" customWidth="1"/>
  </cols>
  <sheetData>
    <row r="1" spans="1:2" ht="12.75">
      <c r="A1" s="133" t="s">
        <v>180</v>
      </c>
      <c r="B1" s="123"/>
    </row>
    <row r="2" spans="1:3" ht="12.75">
      <c r="A2" s="123"/>
      <c r="B2" s="123"/>
      <c r="C2" s="457"/>
    </row>
    <row r="3" spans="1:2" ht="13.5" thickBot="1">
      <c r="A3" s="123" t="s">
        <v>377</v>
      </c>
      <c r="B3" s="123"/>
    </row>
    <row r="4" spans="1:14" ht="12.75">
      <c r="A4" s="126"/>
      <c r="B4" s="458"/>
      <c r="C4" s="312"/>
      <c r="D4" s="1562">
        <v>2015</v>
      </c>
      <c r="E4" s="1563"/>
      <c r="F4" s="1563"/>
      <c r="G4" s="1564"/>
      <c r="H4" s="1565">
        <v>2014</v>
      </c>
      <c r="I4" s="1566"/>
      <c r="J4" s="1566"/>
      <c r="K4" s="1567"/>
      <c r="M4" s="49"/>
      <c r="N4" s="456"/>
    </row>
    <row r="5" spans="1:14" ht="12.75">
      <c r="A5" s="459"/>
      <c r="B5" s="57"/>
      <c r="C5" s="58"/>
      <c r="D5" s="653" t="s">
        <v>141</v>
      </c>
      <c r="E5" s="1568" t="s">
        <v>188</v>
      </c>
      <c r="F5" s="1568"/>
      <c r="G5" s="654" t="s">
        <v>237</v>
      </c>
      <c r="H5" s="821" t="s">
        <v>141</v>
      </c>
      <c r="I5" s="1568" t="s">
        <v>31</v>
      </c>
      <c r="J5" s="1568"/>
      <c r="K5" s="912"/>
      <c r="M5" s="49"/>
      <c r="N5" s="456"/>
    </row>
    <row r="6" spans="1:15" ht="12.75">
      <c r="A6" s="459"/>
      <c r="B6" s="57" t="s">
        <v>37</v>
      </c>
      <c r="C6" s="58"/>
      <c r="D6" s="656" t="s">
        <v>142</v>
      </c>
      <c r="E6" s="337" t="s">
        <v>179</v>
      </c>
      <c r="F6" s="460" t="s">
        <v>67</v>
      </c>
      <c r="G6" s="657" t="s">
        <v>281</v>
      </c>
      <c r="H6" s="655" t="s">
        <v>142</v>
      </c>
      <c r="I6" s="337" t="s">
        <v>179</v>
      </c>
      <c r="J6" s="460" t="s">
        <v>67</v>
      </c>
      <c r="K6" s="900" t="s">
        <v>111</v>
      </c>
      <c r="L6" s="184"/>
      <c r="M6" s="184"/>
      <c r="N6" s="184"/>
      <c r="O6" s="184"/>
    </row>
    <row r="7" spans="1:14" ht="13.5" thickBot="1">
      <c r="A7" s="461" t="s">
        <v>34</v>
      </c>
      <c r="B7" s="462" t="s">
        <v>38</v>
      </c>
      <c r="C7" s="463"/>
      <c r="D7" s="658" t="s">
        <v>282</v>
      </c>
      <c r="E7" s="464" t="s">
        <v>178</v>
      </c>
      <c r="F7" s="465" t="s">
        <v>16</v>
      </c>
      <c r="G7" s="466" t="s">
        <v>111</v>
      </c>
      <c r="H7" s="659" t="s">
        <v>282</v>
      </c>
      <c r="I7" s="464" t="s">
        <v>178</v>
      </c>
      <c r="J7" s="465" t="s">
        <v>16</v>
      </c>
      <c r="K7" s="901"/>
      <c r="L7" s="184"/>
      <c r="M7" s="49"/>
      <c r="N7" s="456"/>
    </row>
    <row r="8" spans="1:14" ht="12.75">
      <c r="A8" s="467">
        <v>1</v>
      </c>
      <c r="B8" s="468">
        <v>11</v>
      </c>
      <c r="C8" s="58" t="s">
        <v>7</v>
      </c>
      <c r="D8" s="1148">
        <f>SUM(E8:G8)</f>
        <v>300716</v>
      </c>
      <c r="E8" s="477">
        <f>str4!D6</f>
        <v>66146</v>
      </c>
      <c r="F8" s="469">
        <f>str5!L10</f>
        <v>234570</v>
      </c>
      <c r="G8" s="470"/>
      <c r="H8" s="471">
        <f>SUM(I8:K8)</f>
        <v>305721</v>
      </c>
      <c r="I8" s="472">
        <v>71640</v>
      </c>
      <c r="J8" s="892">
        <v>234081</v>
      </c>
      <c r="K8" s="902"/>
      <c r="L8" s="473"/>
      <c r="M8" s="474"/>
      <c r="N8" s="456"/>
    </row>
    <row r="9" spans="1:14" ht="12.75">
      <c r="A9" s="475">
        <v>2</v>
      </c>
      <c r="B9" s="476">
        <v>21</v>
      </c>
      <c r="C9" s="55" t="s">
        <v>8</v>
      </c>
      <c r="D9" s="1147">
        <f aca="true" t="shared" si="0" ref="D9:D16">SUM(E9:G9)</f>
        <v>311497</v>
      </c>
      <c r="E9" s="491">
        <f>str4!D7</f>
        <v>60777</v>
      </c>
      <c r="F9" s="491">
        <f>str5!L11</f>
        <v>250720</v>
      </c>
      <c r="G9" s="478"/>
      <c r="H9" s="479">
        <f aca="true" t="shared" si="1" ref="H9:H16">SUM(I9:K9)</f>
        <v>316461</v>
      </c>
      <c r="I9" s="480">
        <v>65616</v>
      </c>
      <c r="J9" s="832">
        <v>250845</v>
      </c>
      <c r="K9" s="903"/>
      <c r="L9" s="473"/>
      <c r="M9" s="474"/>
      <c r="N9" s="456"/>
    </row>
    <row r="10" spans="1:14" ht="12.75">
      <c r="A10" s="475">
        <v>3</v>
      </c>
      <c r="B10" s="476">
        <v>22</v>
      </c>
      <c r="C10" s="55" t="s">
        <v>9</v>
      </c>
      <c r="D10" s="1147">
        <f t="shared" si="0"/>
        <v>111815</v>
      </c>
      <c r="E10" s="481">
        <f>str4!D8</f>
        <v>23409</v>
      </c>
      <c r="F10" s="481">
        <f>str5!L12</f>
        <v>88406</v>
      </c>
      <c r="G10" s="478"/>
      <c r="H10" s="479">
        <f t="shared" si="1"/>
        <v>119310</v>
      </c>
      <c r="I10" s="480">
        <v>25960</v>
      </c>
      <c r="J10" s="832">
        <v>93350</v>
      </c>
      <c r="K10" s="903"/>
      <c r="L10" s="473"/>
      <c r="M10" s="474"/>
      <c r="N10" s="456"/>
    </row>
    <row r="11" spans="1:14" ht="12.75">
      <c r="A11" s="475">
        <v>4</v>
      </c>
      <c r="B11" s="476">
        <v>23</v>
      </c>
      <c r="C11" s="55" t="s">
        <v>10</v>
      </c>
      <c r="D11" s="1147">
        <f t="shared" si="0"/>
        <v>126759</v>
      </c>
      <c r="E11" s="481">
        <f>str4!D9</f>
        <v>27642</v>
      </c>
      <c r="F11" s="481">
        <f>str5!L13</f>
        <v>99117</v>
      </c>
      <c r="G11" s="478"/>
      <c r="H11" s="479">
        <f t="shared" si="1"/>
        <v>121977</v>
      </c>
      <c r="I11" s="480">
        <v>28603</v>
      </c>
      <c r="J11" s="832">
        <v>93374</v>
      </c>
      <c r="K11" s="903"/>
      <c r="L11" s="473"/>
      <c r="M11" s="474"/>
      <c r="N11" s="456"/>
    </row>
    <row r="12" spans="1:14" ht="12.75">
      <c r="A12" s="475">
        <v>5</v>
      </c>
      <c r="B12" s="476">
        <v>31</v>
      </c>
      <c r="C12" s="55" t="s">
        <v>11</v>
      </c>
      <c r="D12" s="1147">
        <f t="shared" si="0"/>
        <v>433383</v>
      </c>
      <c r="E12" s="730">
        <f>str4!D10</f>
        <v>204138</v>
      </c>
      <c r="F12" s="730">
        <f>str5!L14</f>
        <v>229245</v>
      </c>
      <c r="G12" s="478"/>
      <c r="H12" s="479">
        <f t="shared" si="1"/>
        <v>412461</v>
      </c>
      <c r="I12" s="480">
        <v>207986</v>
      </c>
      <c r="J12" s="832">
        <v>204475</v>
      </c>
      <c r="K12" s="903"/>
      <c r="L12" s="473"/>
      <c r="M12" s="474"/>
      <c r="N12" s="456"/>
    </row>
    <row r="13" spans="1:14" ht="12.75">
      <c r="A13" s="475">
        <v>6</v>
      </c>
      <c r="B13" s="476">
        <v>33</v>
      </c>
      <c r="C13" s="55" t="s">
        <v>12</v>
      </c>
      <c r="D13" s="1147">
        <f t="shared" si="0"/>
        <v>120752</v>
      </c>
      <c r="E13" s="481">
        <f>str4!D11</f>
        <v>32156</v>
      </c>
      <c r="F13" s="481">
        <f>str5!L15</f>
        <v>88596</v>
      </c>
      <c r="G13" s="478"/>
      <c r="H13" s="479">
        <f t="shared" si="1"/>
        <v>113136</v>
      </c>
      <c r="I13" s="480">
        <v>27681</v>
      </c>
      <c r="J13" s="832">
        <v>85455</v>
      </c>
      <c r="K13" s="903"/>
      <c r="L13" s="473"/>
      <c r="M13" s="474"/>
      <c r="N13" s="456"/>
    </row>
    <row r="14" spans="1:14" ht="12.75">
      <c r="A14" s="475">
        <v>7</v>
      </c>
      <c r="B14" s="476">
        <v>41</v>
      </c>
      <c r="C14" s="55" t="s">
        <v>13</v>
      </c>
      <c r="D14" s="1147">
        <f t="shared" si="0"/>
        <v>172242</v>
      </c>
      <c r="E14" s="730">
        <f>str4!D12</f>
        <v>30182</v>
      </c>
      <c r="F14" s="730">
        <f>str5!L16</f>
        <v>142060</v>
      </c>
      <c r="G14" s="478"/>
      <c r="H14" s="479">
        <f t="shared" si="1"/>
        <v>193988</v>
      </c>
      <c r="I14" s="480">
        <v>32520</v>
      </c>
      <c r="J14" s="832">
        <v>161468</v>
      </c>
      <c r="K14" s="903"/>
      <c r="L14" s="473"/>
      <c r="M14" s="474"/>
      <c r="N14" s="456"/>
    </row>
    <row r="15" spans="1:17" ht="12.75">
      <c r="A15" s="475">
        <v>8</v>
      </c>
      <c r="B15" s="476">
        <v>51</v>
      </c>
      <c r="C15" s="55" t="s">
        <v>240</v>
      </c>
      <c r="D15" s="1147">
        <f t="shared" si="0"/>
        <v>70688</v>
      </c>
      <c r="E15" s="647">
        <f>str4!D13</f>
        <v>3358</v>
      </c>
      <c r="F15" s="481">
        <f>str5!L17+str5!L19</f>
        <v>67330</v>
      </c>
      <c r="G15" s="478"/>
      <c r="H15" s="479">
        <f t="shared" si="1"/>
        <v>70219</v>
      </c>
      <c r="I15" s="480">
        <v>3798</v>
      </c>
      <c r="J15" s="832">
        <v>66421</v>
      </c>
      <c r="K15" s="903"/>
      <c r="L15" s="473"/>
      <c r="M15" s="474"/>
      <c r="N15" s="124"/>
      <c r="P15" s="124"/>
      <c r="Q15" s="124"/>
    </row>
    <row r="16" spans="1:14" ht="12.75">
      <c r="A16" s="944">
        <v>9</v>
      </c>
      <c r="B16" s="482">
        <v>56</v>
      </c>
      <c r="C16" s="56" t="s">
        <v>15</v>
      </c>
      <c r="D16" s="1149">
        <f t="shared" si="0"/>
        <v>103095</v>
      </c>
      <c r="E16" s="945">
        <f>str4!D14</f>
        <v>11690</v>
      </c>
      <c r="F16" s="651">
        <f>str5!L18</f>
        <v>91405</v>
      </c>
      <c r="G16" s="483"/>
      <c r="H16" s="484">
        <f t="shared" si="1"/>
        <v>95457</v>
      </c>
      <c r="I16" s="472">
        <v>9632</v>
      </c>
      <c r="J16" s="893">
        <v>85825</v>
      </c>
      <c r="K16" s="904"/>
      <c r="L16" s="473"/>
      <c r="M16" s="474"/>
      <c r="N16" s="124"/>
    </row>
    <row r="17" spans="1:14" s="758" customFormat="1" ht="12.75">
      <c r="A17" s="946">
        <v>10</v>
      </c>
      <c r="B17" s="947" t="s">
        <v>39</v>
      </c>
      <c r="C17" s="948"/>
      <c r="D17" s="762">
        <f aca="true" t="shared" si="2" ref="D17:J17">SUM(D8:D16)</f>
        <v>1750947</v>
      </c>
      <c r="E17" s="949">
        <f t="shared" si="2"/>
        <v>459498</v>
      </c>
      <c r="F17" s="950">
        <f t="shared" si="2"/>
        <v>1291449</v>
      </c>
      <c r="G17" s="951">
        <f t="shared" si="2"/>
        <v>0</v>
      </c>
      <c r="H17" s="952">
        <f t="shared" si="2"/>
        <v>1748730</v>
      </c>
      <c r="I17" s="953">
        <f t="shared" si="2"/>
        <v>473436</v>
      </c>
      <c r="J17" s="544">
        <f t="shared" si="2"/>
        <v>1275294</v>
      </c>
      <c r="K17" s="922">
        <v>0</v>
      </c>
      <c r="L17" s="756"/>
      <c r="M17" s="756"/>
      <c r="N17" s="757"/>
    </row>
    <row r="18" spans="1:14" s="123" customFormat="1" ht="12.75">
      <c r="A18" s="487">
        <v>11</v>
      </c>
      <c r="B18" s="488">
        <v>71</v>
      </c>
      <c r="C18" s="54" t="s">
        <v>208</v>
      </c>
      <c r="D18" s="489">
        <f>SUM(E18:G18)</f>
        <v>47613</v>
      </c>
      <c r="E18" s="490">
        <f>str4!D16</f>
        <v>47613</v>
      </c>
      <c r="F18" s="491"/>
      <c r="G18" s="492"/>
      <c r="H18" s="484">
        <f>SUM(I18:K18)</f>
        <v>46209</v>
      </c>
      <c r="I18" s="490">
        <v>46209</v>
      </c>
      <c r="J18" s="894"/>
      <c r="K18" s="905"/>
      <c r="L18" s="336"/>
      <c r="M18" s="336"/>
      <c r="N18" s="486"/>
    </row>
    <row r="19" spans="1:14" s="123" customFormat="1" ht="12.75">
      <c r="A19" s="487">
        <v>12</v>
      </c>
      <c r="B19" s="488">
        <v>79</v>
      </c>
      <c r="C19" s="54" t="s">
        <v>308</v>
      </c>
      <c r="D19" s="489"/>
      <c r="E19" s="490"/>
      <c r="F19" s="491"/>
      <c r="G19" s="492"/>
      <c r="H19" s="479"/>
      <c r="I19" s="490"/>
      <c r="J19" s="894"/>
      <c r="K19" s="905"/>
      <c r="L19" s="336"/>
      <c r="M19" s="336"/>
      <c r="N19" s="486"/>
    </row>
    <row r="20" spans="1:14" ht="12.75">
      <c r="A20" s="475">
        <v>13</v>
      </c>
      <c r="B20" s="476">
        <v>81</v>
      </c>
      <c r="C20" s="55" t="s">
        <v>71</v>
      </c>
      <c r="D20" s="489">
        <f aca="true" t="shared" si="3" ref="D20:D29">SUM(E20:G20)</f>
        <v>0</v>
      </c>
      <c r="E20" s="480"/>
      <c r="F20" s="481"/>
      <c r="G20" s="493"/>
      <c r="H20" s="479">
        <f aca="true" t="shared" si="4" ref="H20:H30">SUM(I20:K20)</f>
        <v>0</v>
      </c>
      <c r="I20" s="480"/>
      <c r="J20" s="832"/>
      <c r="K20" s="534"/>
      <c r="L20" s="124"/>
      <c r="M20" s="124"/>
      <c r="N20" s="456"/>
    </row>
    <row r="21" spans="1:14" ht="12.75">
      <c r="A21" s="487">
        <v>14</v>
      </c>
      <c r="B21" s="476">
        <v>82</v>
      </c>
      <c r="C21" s="55" t="s">
        <v>1</v>
      </c>
      <c r="D21" s="489">
        <f t="shared" si="3"/>
        <v>0</v>
      </c>
      <c r="E21" s="480"/>
      <c r="F21" s="481"/>
      <c r="G21" s="493"/>
      <c r="H21" s="479">
        <f t="shared" si="4"/>
        <v>0</v>
      </c>
      <c r="I21" s="480"/>
      <c r="J21" s="832"/>
      <c r="K21" s="534"/>
      <c r="M21" s="49"/>
      <c r="N21" s="456"/>
    </row>
    <row r="22" spans="1:17" ht="12.75">
      <c r="A22" s="487">
        <v>15</v>
      </c>
      <c r="B22" s="476">
        <v>83</v>
      </c>
      <c r="C22" s="55" t="s">
        <v>83</v>
      </c>
      <c r="D22" s="489">
        <f t="shared" si="3"/>
        <v>6700</v>
      </c>
      <c r="E22" s="480"/>
      <c r="F22" s="481">
        <f>'příl.1 - cp 2015'!I151</f>
        <v>6700</v>
      </c>
      <c r="G22" s="493"/>
      <c r="H22" s="479">
        <f t="shared" si="4"/>
        <v>6700</v>
      </c>
      <c r="I22" s="480"/>
      <c r="J22" s="895">
        <v>6700</v>
      </c>
      <c r="K22" s="906"/>
      <c r="M22" s="49"/>
      <c r="N22" s="456"/>
      <c r="P22" s="124"/>
      <c r="Q22" s="124"/>
    </row>
    <row r="23" spans="1:14" ht="12.75">
      <c r="A23" s="475">
        <v>16</v>
      </c>
      <c r="B23" s="468">
        <v>84</v>
      </c>
      <c r="C23" s="169" t="s">
        <v>82</v>
      </c>
      <c r="D23" s="489">
        <f t="shared" si="3"/>
        <v>3353</v>
      </c>
      <c r="E23" s="480">
        <f>str4!D17</f>
        <v>353</v>
      </c>
      <c r="F23" s="481">
        <f>'příl.1 - cp 2015'!I152</f>
        <v>3000</v>
      </c>
      <c r="G23" s="493"/>
      <c r="H23" s="479">
        <f t="shared" si="4"/>
        <v>1597</v>
      </c>
      <c r="I23" s="480">
        <v>297</v>
      </c>
      <c r="J23" s="895">
        <v>1300</v>
      </c>
      <c r="K23" s="906"/>
      <c r="M23" s="49"/>
      <c r="N23" s="456"/>
    </row>
    <row r="24" spans="1:14" ht="12.75">
      <c r="A24" s="487">
        <v>17</v>
      </c>
      <c r="B24" s="660">
        <v>85</v>
      </c>
      <c r="C24" s="661" t="s">
        <v>106</v>
      </c>
      <c r="D24" s="489">
        <f t="shared" si="3"/>
        <v>612</v>
      </c>
      <c r="E24" s="480">
        <f>str4!D18</f>
        <v>612</v>
      </c>
      <c r="F24" s="481"/>
      <c r="G24" s="493"/>
      <c r="H24" s="479">
        <f t="shared" si="4"/>
        <v>271</v>
      </c>
      <c r="I24" s="480">
        <v>271</v>
      </c>
      <c r="J24" s="896"/>
      <c r="K24" s="907"/>
      <c r="M24" s="49"/>
      <c r="N24" s="456"/>
    </row>
    <row r="25" spans="1:14" ht="12.75">
      <c r="A25" s="487">
        <v>18</v>
      </c>
      <c r="B25" s="660">
        <v>87</v>
      </c>
      <c r="C25" s="661" t="s">
        <v>135</v>
      </c>
      <c r="D25" s="489">
        <f t="shared" si="3"/>
        <v>7724</v>
      </c>
      <c r="E25" s="480"/>
      <c r="F25" s="481">
        <f>'příl.1 - cp 2015'!I154</f>
        <v>7724</v>
      </c>
      <c r="G25" s="493"/>
      <c r="H25" s="479">
        <f t="shared" si="4"/>
        <v>800</v>
      </c>
      <c r="I25" s="480"/>
      <c r="J25" s="896">
        <v>800</v>
      </c>
      <c r="K25" s="907"/>
      <c r="M25" s="49"/>
      <c r="N25" s="456"/>
    </row>
    <row r="26" spans="1:14" ht="12.75">
      <c r="A26" s="475">
        <v>19</v>
      </c>
      <c r="B26" s="660">
        <v>92</v>
      </c>
      <c r="C26" s="661" t="s">
        <v>17</v>
      </c>
      <c r="D26" s="499">
        <f t="shared" si="3"/>
        <v>98974</v>
      </c>
      <c r="E26" s="480">
        <f>str4!D19</f>
        <v>1977</v>
      </c>
      <c r="F26" s="481">
        <f>'příl.1 - cp 2015'!I155</f>
        <v>96997</v>
      </c>
      <c r="G26" s="493"/>
      <c r="H26" s="479">
        <f t="shared" si="4"/>
        <v>97703</v>
      </c>
      <c r="I26" s="480">
        <v>1506</v>
      </c>
      <c r="J26" s="896">
        <v>96197</v>
      </c>
      <c r="K26" s="907"/>
      <c r="M26" s="49"/>
      <c r="N26" s="456"/>
    </row>
    <row r="27" spans="1:14" ht="12.75">
      <c r="A27" s="487">
        <v>20</v>
      </c>
      <c r="B27" s="660">
        <v>96</v>
      </c>
      <c r="C27" s="661" t="s">
        <v>24</v>
      </c>
      <c r="D27" s="489">
        <f t="shared" si="3"/>
        <v>32469</v>
      </c>
      <c r="E27" s="480">
        <f>str4!D20</f>
        <v>469</v>
      </c>
      <c r="F27" s="481">
        <f>str5!J20</f>
        <v>32000</v>
      </c>
      <c r="G27" s="493"/>
      <c r="H27" s="479">
        <f t="shared" si="4"/>
        <v>32406</v>
      </c>
      <c r="I27" s="480">
        <v>406</v>
      </c>
      <c r="J27" s="832">
        <v>32000</v>
      </c>
      <c r="K27" s="534"/>
      <c r="M27" s="49"/>
      <c r="N27" s="456"/>
    </row>
    <row r="28" spans="1:14" ht="12.75">
      <c r="A28" s="487">
        <v>21</v>
      </c>
      <c r="B28" s="660">
        <v>97</v>
      </c>
      <c r="C28" s="661" t="s">
        <v>25</v>
      </c>
      <c r="D28" s="489">
        <f t="shared" si="3"/>
        <v>9450</v>
      </c>
      <c r="E28" s="480"/>
      <c r="F28" s="481">
        <f>'příl.1 - cp 2015'!I157</f>
        <v>9450</v>
      </c>
      <c r="G28" s="493"/>
      <c r="H28" s="479">
        <f t="shared" si="4"/>
        <v>9450</v>
      </c>
      <c r="I28" s="480"/>
      <c r="J28" s="832">
        <v>9450</v>
      </c>
      <c r="K28" s="534"/>
      <c r="M28" s="49"/>
      <c r="N28" s="456"/>
    </row>
    <row r="29" spans="1:14" ht="12.75">
      <c r="A29" s="944">
        <v>22</v>
      </c>
      <c r="B29" s="954">
        <v>99</v>
      </c>
      <c r="C29" s="955" t="s">
        <v>18</v>
      </c>
      <c r="D29" s="759">
        <f t="shared" si="3"/>
        <v>108815</v>
      </c>
      <c r="E29" s="956">
        <f>str4!D21</f>
        <v>21215</v>
      </c>
      <c r="F29" s="818">
        <f>'příl.1 - cp 2015'!I158-str5!G41</f>
        <v>39658.99999999988</v>
      </c>
      <c r="G29" s="957">
        <f>str5!G41</f>
        <v>47941.00000000012</v>
      </c>
      <c r="H29" s="484">
        <f t="shared" si="4"/>
        <v>103600</v>
      </c>
      <c r="I29" s="956">
        <v>16000</v>
      </c>
      <c r="J29" s="957">
        <v>52423</v>
      </c>
      <c r="K29" s="554">
        <v>35177</v>
      </c>
      <c r="L29" s="124"/>
      <c r="M29" s="49"/>
      <c r="N29" s="456"/>
    </row>
    <row r="30" spans="1:14" s="758" customFormat="1" ht="12.75">
      <c r="A30" s="960">
        <v>23</v>
      </c>
      <c r="B30" s="948" t="s">
        <v>399</v>
      </c>
      <c r="C30" s="948"/>
      <c r="D30" s="762">
        <f>SUM(D18:D29)</f>
        <v>315710</v>
      </c>
      <c r="E30" s="885">
        <f>SUM(E18:E29)</f>
        <v>72239</v>
      </c>
      <c r="F30" s="805">
        <f>SUM(F22:F29)</f>
        <v>195529.99999999988</v>
      </c>
      <c r="G30" s="806">
        <f>SUM(G18:G29)</f>
        <v>47941.00000000012</v>
      </c>
      <c r="H30" s="961">
        <f t="shared" si="4"/>
        <v>298736</v>
      </c>
      <c r="I30" s="962">
        <f>SUM(I18:I29)</f>
        <v>64689</v>
      </c>
      <c r="J30" s="963">
        <f>SUM(J18:J29)</f>
        <v>198870</v>
      </c>
      <c r="K30" s="545">
        <f>SUM(K29)</f>
        <v>35177</v>
      </c>
      <c r="L30" s="756"/>
      <c r="M30" s="557"/>
      <c r="N30" s="757"/>
    </row>
    <row r="31" spans="1:17" ht="12.75">
      <c r="A31" s="496">
        <v>24</v>
      </c>
      <c r="B31" s="497" t="s">
        <v>274</v>
      </c>
      <c r="C31" s="497"/>
      <c r="D31" s="489">
        <f>SUM(E31:G31)</f>
        <v>152894</v>
      </c>
      <c r="E31" s="490"/>
      <c r="F31" s="491">
        <f>'příl.1 - cp 2015'!I6</f>
        <v>152894</v>
      </c>
      <c r="G31" s="492"/>
      <c r="H31" s="958">
        <f>SUM(I31:K31)</f>
        <v>185010</v>
      </c>
      <c r="I31" s="490"/>
      <c r="J31" s="894">
        <v>185010</v>
      </c>
      <c r="K31" s="959"/>
      <c r="M31" s="124"/>
      <c r="N31" s="456"/>
      <c r="Q31" s="758"/>
    </row>
    <row r="32" spans="1:17" ht="12.75">
      <c r="A32" s="314">
        <v>25</v>
      </c>
      <c r="B32" s="498" t="s">
        <v>275</v>
      </c>
      <c r="C32" s="498"/>
      <c r="D32" s="489">
        <f>SUM(E32:G32)</f>
        <v>175909</v>
      </c>
      <c r="E32" s="480"/>
      <c r="F32" s="481">
        <f>'příl.1 - cp 2015'!I27-'příl.1 - cp 2015'!I86</f>
        <v>175909</v>
      </c>
      <c r="G32" s="493"/>
      <c r="H32" s="479">
        <f>SUM(I32:K32)</f>
        <v>143430</v>
      </c>
      <c r="I32" s="480"/>
      <c r="J32" s="832">
        <v>143430</v>
      </c>
      <c r="K32" s="908"/>
      <c r="M32" s="49"/>
      <c r="N32" s="456"/>
      <c r="Q32" s="758"/>
    </row>
    <row r="33" spans="1:17" ht="12.75">
      <c r="A33" s="53">
        <v>26</v>
      </c>
      <c r="B33" s="500" t="s">
        <v>33</v>
      </c>
      <c r="C33" s="500"/>
      <c r="D33" s="489">
        <f>SUM(E33:G33)</f>
        <v>17500</v>
      </c>
      <c r="E33" s="501"/>
      <c r="F33" s="502">
        <f>'příl.1 - cp 2015'!I86</f>
        <v>17500</v>
      </c>
      <c r="G33" s="503"/>
      <c r="H33" s="484">
        <f>SUM(I33:K33)</f>
        <v>17500</v>
      </c>
      <c r="I33" s="761"/>
      <c r="J33" s="897">
        <v>17500</v>
      </c>
      <c r="K33" s="909"/>
      <c r="M33" s="49"/>
      <c r="N33" s="456"/>
      <c r="Q33" s="758"/>
    </row>
    <row r="34" spans="1:17" ht="13.5" thickBot="1">
      <c r="A34" s="51">
        <v>27</v>
      </c>
      <c r="B34" s="58" t="s">
        <v>636</v>
      </c>
      <c r="C34" s="58"/>
      <c r="D34" s="759">
        <f>SUM(D31:D33)</f>
        <v>346303</v>
      </c>
      <c r="E34" s="760">
        <f aca="true" t="shared" si="5" ref="E34:K34">SUM(E31:E33)</f>
        <v>0</v>
      </c>
      <c r="F34" s="760">
        <f>SUM(F31:F33)</f>
        <v>346303</v>
      </c>
      <c r="G34" s="760">
        <f t="shared" si="5"/>
        <v>0</v>
      </c>
      <c r="H34" s="824">
        <f t="shared" si="5"/>
        <v>345940</v>
      </c>
      <c r="I34" s="825">
        <f t="shared" si="5"/>
        <v>0</v>
      </c>
      <c r="J34" s="898">
        <f t="shared" si="5"/>
        <v>345940</v>
      </c>
      <c r="K34" s="910">
        <f t="shared" si="5"/>
        <v>0</v>
      </c>
      <c r="L34" s="124"/>
      <c r="M34" s="49"/>
      <c r="N34" s="456"/>
      <c r="Q34" s="758"/>
    </row>
    <row r="35" spans="1:17" s="557" customFormat="1" ht="13.5" thickBot="1">
      <c r="A35" s="754">
        <v>28</v>
      </c>
      <c r="B35" s="755" t="s">
        <v>637</v>
      </c>
      <c r="C35" s="755"/>
      <c r="D35" s="485">
        <f aca="true" t="shared" si="6" ref="D35:K35">D34+D30+D17</f>
        <v>2412960</v>
      </c>
      <c r="E35" s="826">
        <f t="shared" si="6"/>
        <v>531737</v>
      </c>
      <c r="F35" s="823">
        <f>F34+F30+F17</f>
        <v>1833282</v>
      </c>
      <c r="G35" s="822">
        <f t="shared" si="6"/>
        <v>47941.00000000012</v>
      </c>
      <c r="H35" s="827">
        <f t="shared" si="6"/>
        <v>2393406</v>
      </c>
      <c r="I35" s="828">
        <f t="shared" si="6"/>
        <v>538125</v>
      </c>
      <c r="J35" s="899">
        <f t="shared" si="6"/>
        <v>1820104</v>
      </c>
      <c r="K35" s="911">
        <f t="shared" si="6"/>
        <v>35177</v>
      </c>
      <c r="L35" s="671"/>
      <c r="M35" s="671"/>
      <c r="N35" s="672"/>
      <c r="O35" s="671"/>
      <c r="Q35" s="758"/>
    </row>
    <row r="36" spans="4:17" s="643" customFormat="1" ht="12.75" hidden="1">
      <c r="D36" s="643" t="s">
        <v>657</v>
      </c>
      <c r="E36" s="662">
        <f>str1!F8</f>
        <v>531737</v>
      </c>
      <c r="F36" s="662">
        <f>str1!F7</f>
        <v>1833282</v>
      </c>
      <c r="H36" s="662"/>
      <c r="I36" s="662"/>
      <c r="J36" s="662"/>
      <c r="Q36" s="758"/>
    </row>
    <row r="37" spans="1:17" s="643" customFormat="1" ht="15" hidden="1">
      <c r="A37" s="663"/>
      <c r="D37" s="643" t="s">
        <v>658</v>
      </c>
      <c r="F37" s="662">
        <f>F36-F32-F33</f>
        <v>1639873</v>
      </c>
      <c r="H37" s="662"/>
      <c r="I37" s="662"/>
      <c r="Q37" s="758"/>
    </row>
    <row r="38" spans="1:17" s="643" customFormat="1" ht="15" hidden="1">
      <c r="A38" s="663"/>
      <c r="D38" s="662" t="s">
        <v>239</v>
      </c>
      <c r="E38" s="662">
        <f>E36+F36-str1!F9</f>
        <v>0</v>
      </c>
      <c r="F38" s="662"/>
      <c r="H38" s="662"/>
      <c r="I38" s="662"/>
      <c r="Q38" s="758"/>
    </row>
    <row r="39" spans="1:17" ht="13.5" customHeight="1">
      <c r="A39" s="507"/>
      <c r="D39" s="124"/>
      <c r="E39" s="820"/>
      <c r="F39" s="1096">
        <f>E35+F35+G35</f>
        <v>2412960</v>
      </c>
      <c r="G39" s="1095"/>
      <c r="H39" s="124"/>
      <c r="I39" s="820"/>
      <c r="J39" s="1096">
        <f>I35+J35+K35</f>
        <v>2393406</v>
      </c>
      <c r="K39" s="1095"/>
      <c r="Q39" s="758"/>
    </row>
    <row r="40" spans="4:10" ht="12.75">
      <c r="D40" s="124"/>
      <c r="E40" s="1585">
        <f>SUM(E35:F35)</f>
        <v>2365019</v>
      </c>
      <c r="F40" s="1586"/>
      <c r="G40" s="1155">
        <f>E40-str1!F9</f>
        <v>0</v>
      </c>
      <c r="H40" s="508"/>
      <c r="I40" s="1585">
        <f>SUM(I35:J35)</f>
        <v>2358229</v>
      </c>
      <c r="J40" s="1586"/>
    </row>
    <row r="41" spans="3:5" ht="11.25" customHeight="1">
      <c r="C41" s="124"/>
      <c r="D41" s="124"/>
      <c r="E41" s="124"/>
    </row>
    <row r="42" spans="1:17" ht="17.25" customHeight="1" thickBot="1">
      <c r="A42" s="123" t="s">
        <v>378</v>
      </c>
      <c r="O42" s="124"/>
      <c r="P42" s="124"/>
      <c r="Q42" s="124"/>
    </row>
    <row r="43" spans="1:21" ht="12.75" customHeight="1">
      <c r="A43" s="126"/>
      <c r="B43" s="458"/>
      <c r="C43" s="312"/>
      <c r="D43" s="1562" t="s">
        <v>544</v>
      </c>
      <c r="E43" s="1563"/>
      <c r="F43" s="1563"/>
      <c r="G43" s="1578"/>
      <c r="H43" s="1578"/>
      <c r="I43" s="1578"/>
      <c r="J43" s="1579"/>
      <c r="K43" s="1577" t="s">
        <v>400</v>
      </c>
      <c r="L43" s="1578"/>
      <c r="M43" s="1578"/>
      <c r="N43" s="1579"/>
      <c r="O43" s="124"/>
      <c r="P43" s="124"/>
      <c r="Q43" s="124"/>
      <c r="R43" s="124"/>
      <c r="S43" s="124"/>
      <c r="T43" s="124"/>
      <c r="U43" s="124"/>
    </row>
    <row r="44" spans="1:21" ht="13.5" customHeight="1">
      <c r="A44" s="459"/>
      <c r="B44" s="57"/>
      <c r="C44" s="58"/>
      <c r="D44" s="656" t="s">
        <v>141</v>
      </c>
      <c r="E44" s="1576" t="s">
        <v>187</v>
      </c>
      <c r="F44" s="1568"/>
      <c r="G44" s="1568"/>
      <c r="H44" s="1568"/>
      <c r="I44" s="1568"/>
      <c r="J44" s="664" t="s">
        <v>279</v>
      </c>
      <c r="K44" s="665" t="s">
        <v>141</v>
      </c>
      <c r="L44" s="1576" t="s">
        <v>31</v>
      </c>
      <c r="M44" s="1568"/>
      <c r="N44" s="1584"/>
      <c r="O44" s="124"/>
      <c r="P44" s="124"/>
      <c r="Q44" s="124"/>
      <c r="R44" s="124"/>
      <c r="S44" s="124"/>
      <c r="T44" s="124"/>
      <c r="U44" s="124"/>
    </row>
    <row r="45" spans="1:21" ht="13.5" customHeight="1">
      <c r="A45" s="459"/>
      <c r="B45" s="57" t="s">
        <v>37</v>
      </c>
      <c r="C45" s="58"/>
      <c r="D45" s="656" t="s">
        <v>142</v>
      </c>
      <c r="E45" s="337" t="s">
        <v>179</v>
      </c>
      <c r="F45" s="52" t="s">
        <v>67</v>
      </c>
      <c r="G45" s="1572" t="s">
        <v>68</v>
      </c>
      <c r="H45" s="1573"/>
      <c r="I45" s="1573"/>
      <c r="J45" s="666" t="s">
        <v>281</v>
      </c>
      <c r="K45" s="665" t="s">
        <v>142</v>
      </c>
      <c r="L45" s="337" t="s">
        <v>179</v>
      </c>
      <c r="M45" s="468" t="s">
        <v>67</v>
      </c>
      <c r="N45" s="912" t="s">
        <v>111</v>
      </c>
      <c r="O45" s="124"/>
      <c r="P45" s="124"/>
      <c r="Q45" s="124"/>
      <c r="R45" s="124"/>
      <c r="S45" s="124"/>
      <c r="T45" s="124"/>
      <c r="U45" s="124"/>
    </row>
    <row r="46" spans="1:21" ht="15" customHeight="1" thickBot="1">
      <c r="A46" s="461" t="s">
        <v>34</v>
      </c>
      <c r="B46" s="462" t="s">
        <v>38</v>
      </c>
      <c r="C46" s="463"/>
      <c r="D46" s="658" t="s">
        <v>282</v>
      </c>
      <c r="E46" s="464" t="s">
        <v>178</v>
      </c>
      <c r="F46" s="509" t="s">
        <v>16</v>
      </c>
      <c r="G46" s="510" t="s">
        <v>32</v>
      </c>
      <c r="H46" s="511" t="s">
        <v>376</v>
      </c>
      <c r="I46" s="512" t="s">
        <v>33</v>
      </c>
      <c r="J46" s="667" t="s">
        <v>280</v>
      </c>
      <c r="K46" s="668" t="s">
        <v>282</v>
      </c>
      <c r="L46" s="464" t="s">
        <v>178</v>
      </c>
      <c r="M46" s="913" t="s">
        <v>16</v>
      </c>
      <c r="N46" s="918"/>
      <c r="O46" s="124"/>
      <c r="P46" s="124"/>
      <c r="Q46" s="124"/>
      <c r="R46" s="124"/>
      <c r="S46" s="124"/>
      <c r="T46" s="124"/>
      <c r="U46" s="124"/>
    </row>
    <row r="47" spans="1:21" ht="15" customHeight="1" thickBot="1">
      <c r="A47" s="513"/>
      <c r="B47" s="59"/>
      <c r="C47" s="514" t="s">
        <v>241</v>
      </c>
      <c r="D47" s="669"/>
      <c r="E47" s="914">
        <v>2112</v>
      </c>
      <c r="F47" s="516"/>
      <c r="G47" s="1082">
        <v>1111</v>
      </c>
      <c r="H47" s="518">
        <v>1112</v>
      </c>
      <c r="I47" s="519">
        <v>1112</v>
      </c>
      <c r="J47" s="670">
        <v>4769</v>
      </c>
      <c r="K47" s="520"/>
      <c r="L47" s="515"/>
      <c r="M47" s="914"/>
      <c r="N47" s="919"/>
      <c r="O47" s="124"/>
      <c r="P47" s="124"/>
      <c r="Q47" s="124"/>
      <c r="R47" s="124"/>
      <c r="S47" s="124"/>
      <c r="T47" s="124"/>
      <c r="U47" s="124"/>
    </row>
    <row r="48" spans="1:21" ht="12.75">
      <c r="A48" s="51">
        <v>29</v>
      </c>
      <c r="B48" s="337">
        <v>11</v>
      </c>
      <c r="C48" s="58" t="s">
        <v>7</v>
      </c>
      <c r="D48" s="521">
        <f>SUM(G48:I48,E48,J48)</f>
        <v>300716</v>
      </c>
      <c r="E48" s="1080">
        <f>E8</f>
        <v>66146</v>
      </c>
      <c r="F48" s="1080">
        <f>SUM(G48:I48)</f>
        <v>234570</v>
      </c>
      <c r="G48" s="1081">
        <f>F8</f>
        <v>234570</v>
      </c>
      <c r="H48" s="524"/>
      <c r="I48" s="525"/>
      <c r="J48" s="526"/>
      <c r="K48" s="527">
        <f>SUM(L48:N48)</f>
        <v>305721</v>
      </c>
      <c r="L48" s="528">
        <v>71640</v>
      </c>
      <c r="M48" s="646">
        <v>234081</v>
      </c>
      <c r="N48" s="902"/>
      <c r="O48" s="124"/>
      <c r="P48" s="124"/>
      <c r="Q48" s="124"/>
      <c r="R48" s="124"/>
      <c r="S48" s="124"/>
      <c r="T48" s="124"/>
      <c r="U48" s="124"/>
    </row>
    <row r="49" spans="1:21" ht="12.75">
      <c r="A49" s="314">
        <v>30</v>
      </c>
      <c r="B49" s="529">
        <v>21</v>
      </c>
      <c r="C49" s="55" t="s">
        <v>8</v>
      </c>
      <c r="D49" s="499">
        <f aca="true" t="shared" si="7" ref="D49:D56">SUM(G49:I49,E49,J49)</f>
        <v>311597</v>
      </c>
      <c r="E49" s="1080">
        <f aca="true" t="shared" si="8" ref="E49:E56">E9</f>
        <v>60777</v>
      </c>
      <c r="F49" s="1080">
        <f aca="true" t="shared" si="9" ref="F49:F56">SUM(G49:I49)</f>
        <v>250820</v>
      </c>
      <c r="G49" s="1081">
        <f aca="true" t="shared" si="10" ref="G49:G56">F9</f>
        <v>250720</v>
      </c>
      <c r="H49" s="531">
        <f>'příl.1 - cp 2015'!I89</f>
        <v>100</v>
      </c>
      <c r="I49" s="532"/>
      <c r="J49" s="533"/>
      <c r="K49" s="527">
        <f aca="true" t="shared" si="11" ref="K49:K56">SUM(L49:N49)</f>
        <v>316561</v>
      </c>
      <c r="L49" s="530">
        <v>65616</v>
      </c>
      <c r="M49" s="647">
        <v>250945</v>
      </c>
      <c r="N49" s="903"/>
      <c r="O49" s="124"/>
      <c r="P49" s="124"/>
      <c r="Q49" s="124"/>
      <c r="R49" s="124"/>
      <c r="S49" s="124"/>
      <c r="T49" s="124"/>
      <c r="U49" s="124"/>
    </row>
    <row r="50" spans="1:21" ht="12.75">
      <c r="A50" s="51">
        <v>31</v>
      </c>
      <c r="B50" s="529">
        <v>22</v>
      </c>
      <c r="C50" s="55" t="s">
        <v>9</v>
      </c>
      <c r="D50" s="499">
        <f t="shared" si="7"/>
        <v>111815</v>
      </c>
      <c r="E50" s="1080">
        <f t="shared" si="8"/>
        <v>23409</v>
      </c>
      <c r="F50" s="1080">
        <f t="shared" si="9"/>
        <v>88406</v>
      </c>
      <c r="G50" s="1081">
        <f t="shared" si="10"/>
        <v>88406</v>
      </c>
      <c r="H50" s="531"/>
      <c r="I50" s="532"/>
      <c r="J50" s="533"/>
      <c r="K50" s="527">
        <f t="shared" si="11"/>
        <v>119310</v>
      </c>
      <c r="L50" s="530">
        <v>25960</v>
      </c>
      <c r="M50" s="647">
        <v>93350</v>
      </c>
      <c r="N50" s="903"/>
      <c r="O50" s="124"/>
      <c r="P50" s="124"/>
      <c r="Q50" s="124"/>
      <c r="R50" s="124"/>
      <c r="S50" s="124"/>
      <c r="T50" s="124"/>
      <c r="U50" s="124"/>
    </row>
    <row r="51" spans="1:21" ht="12.75">
      <c r="A51" s="314">
        <v>32</v>
      </c>
      <c r="B51" s="529">
        <v>23</v>
      </c>
      <c r="C51" s="55" t="s">
        <v>10</v>
      </c>
      <c r="D51" s="499">
        <f t="shared" si="7"/>
        <v>126959</v>
      </c>
      <c r="E51" s="1080">
        <f t="shared" si="8"/>
        <v>27642</v>
      </c>
      <c r="F51" s="1080">
        <f t="shared" si="9"/>
        <v>99317</v>
      </c>
      <c r="G51" s="1081">
        <f t="shared" si="10"/>
        <v>99117</v>
      </c>
      <c r="H51" s="531">
        <f>'příl.1 - cp 2015'!I92</f>
        <v>200</v>
      </c>
      <c r="I51" s="532"/>
      <c r="J51" s="533"/>
      <c r="K51" s="527">
        <f t="shared" si="11"/>
        <v>121977</v>
      </c>
      <c r="L51" s="530">
        <v>28603</v>
      </c>
      <c r="M51" s="647">
        <v>93374</v>
      </c>
      <c r="N51" s="903"/>
      <c r="O51" s="124"/>
      <c r="P51" s="124"/>
      <c r="Q51" s="124"/>
      <c r="R51" s="124"/>
      <c r="S51" s="124"/>
      <c r="T51" s="124"/>
      <c r="U51" s="124"/>
    </row>
    <row r="52" spans="1:21" ht="12.75">
      <c r="A52" s="51">
        <v>33</v>
      </c>
      <c r="B52" s="529">
        <v>31</v>
      </c>
      <c r="C52" s="55" t="s">
        <v>11</v>
      </c>
      <c r="D52" s="499">
        <f t="shared" si="7"/>
        <v>437083</v>
      </c>
      <c r="E52" s="1080">
        <f t="shared" si="8"/>
        <v>204138</v>
      </c>
      <c r="F52" s="1080">
        <f t="shared" si="9"/>
        <v>232945</v>
      </c>
      <c r="G52" s="1081">
        <f t="shared" si="10"/>
        <v>229245</v>
      </c>
      <c r="H52" s="535">
        <f>'příl.1 - cp 2015'!I96</f>
        <v>3700</v>
      </c>
      <c r="I52" s="532"/>
      <c r="J52" s="533"/>
      <c r="K52" s="527">
        <f t="shared" si="11"/>
        <v>417661</v>
      </c>
      <c r="L52" s="530">
        <v>207986</v>
      </c>
      <c r="M52" s="647">
        <v>209675</v>
      </c>
      <c r="N52" s="903"/>
      <c r="O52" s="124"/>
      <c r="P52" s="124"/>
      <c r="Q52" s="124"/>
      <c r="R52" s="124"/>
      <c r="S52" s="124"/>
      <c r="T52" s="124"/>
      <c r="U52" s="124"/>
    </row>
    <row r="53" spans="1:21" ht="12.75">
      <c r="A53" s="314">
        <v>34</v>
      </c>
      <c r="B53" s="529">
        <v>33</v>
      </c>
      <c r="C53" s="55" t="s">
        <v>12</v>
      </c>
      <c r="D53" s="499">
        <f t="shared" si="7"/>
        <v>156752</v>
      </c>
      <c r="E53" s="1080">
        <f t="shared" si="8"/>
        <v>32156</v>
      </c>
      <c r="F53" s="1080">
        <f t="shared" si="9"/>
        <v>124596</v>
      </c>
      <c r="G53" s="1081">
        <f t="shared" si="10"/>
        <v>88596</v>
      </c>
      <c r="H53" s="531">
        <f>'příl.1 - cp 2015'!I99</f>
        <v>36000</v>
      </c>
      <c r="I53" s="532"/>
      <c r="J53" s="533"/>
      <c r="K53" s="527">
        <f t="shared" si="11"/>
        <v>117536</v>
      </c>
      <c r="L53" s="530">
        <v>27681</v>
      </c>
      <c r="M53" s="647">
        <v>89855</v>
      </c>
      <c r="N53" s="903"/>
      <c r="O53" s="124"/>
      <c r="P53" s="285"/>
      <c r="Q53" s="285"/>
      <c r="R53" s="124"/>
      <c r="S53" s="124"/>
      <c r="T53" s="124"/>
      <c r="U53" s="124"/>
    </row>
    <row r="54" spans="1:21" ht="12.75">
      <c r="A54" s="51">
        <v>35</v>
      </c>
      <c r="B54" s="529">
        <v>41</v>
      </c>
      <c r="C54" s="55" t="s">
        <v>13</v>
      </c>
      <c r="D54" s="499">
        <f t="shared" si="7"/>
        <v>173042</v>
      </c>
      <c r="E54" s="1080">
        <f t="shared" si="8"/>
        <v>30182</v>
      </c>
      <c r="F54" s="1080">
        <f t="shared" si="9"/>
        <v>142860</v>
      </c>
      <c r="G54" s="1081">
        <f t="shared" si="10"/>
        <v>142060</v>
      </c>
      <c r="H54" s="535">
        <f>'příl.1 - cp 2015'!I103</f>
        <v>800</v>
      </c>
      <c r="I54" s="532"/>
      <c r="J54" s="533"/>
      <c r="K54" s="527">
        <f t="shared" si="11"/>
        <v>194488</v>
      </c>
      <c r="L54" s="530">
        <v>32520</v>
      </c>
      <c r="M54" s="647">
        <v>161968</v>
      </c>
      <c r="N54" s="903"/>
      <c r="O54" s="124"/>
      <c r="P54" s="124"/>
      <c r="Q54" s="124"/>
      <c r="R54" s="124"/>
      <c r="S54" s="124"/>
      <c r="T54" s="124"/>
      <c r="U54" s="124"/>
    </row>
    <row r="55" spans="1:21" ht="12.75">
      <c r="A55" s="314">
        <v>36</v>
      </c>
      <c r="B55" s="529">
        <v>51</v>
      </c>
      <c r="C55" s="55" t="s">
        <v>240</v>
      </c>
      <c r="D55" s="499">
        <f t="shared" si="7"/>
        <v>70988</v>
      </c>
      <c r="E55" s="1080">
        <f t="shared" si="8"/>
        <v>3358</v>
      </c>
      <c r="F55" s="1080">
        <f t="shared" si="9"/>
        <v>67630</v>
      </c>
      <c r="G55" s="1081">
        <f t="shared" si="10"/>
        <v>67330</v>
      </c>
      <c r="H55" s="531">
        <f>'příl.1 - cp 2015'!I105</f>
        <v>300</v>
      </c>
      <c r="I55" s="532"/>
      <c r="J55" s="533"/>
      <c r="K55" s="527">
        <f t="shared" si="11"/>
        <v>70519</v>
      </c>
      <c r="L55" s="530">
        <v>3798</v>
      </c>
      <c r="M55" s="647">
        <v>66721</v>
      </c>
      <c r="N55" s="903"/>
      <c r="O55" s="124"/>
      <c r="P55" s="124"/>
      <c r="Q55" s="124"/>
      <c r="R55" s="124"/>
      <c r="S55" s="124"/>
      <c r="T55" s="124"/>
      <c r="U55" s="124"/>
    </row>
    <row r="56" spans="1:21" ht="12.75">
      <c r="A56" s="51">
        <v>37</v>
      </c>
      <c r="B56" s="964">
        <v>56</v>
      </c>
      <c r="C56" s="56" t="s">
        <v>15</v>
      </c>
      <c r="D56" s="965">
        <f t="shared" si="7"/>
        <v>103095</v>
      </c>
      <c r="E56" s="1080">
        <f t="shared" si="8"/>
        <v>11690</v>
      </c>
      <c r="F56" s="1080">
        <f t="shared" si="9"/>
        <v>91405</v>
      </c>
      <c r="G56" s="1081">
        <f t="shared" si="10"/>
        <v>91405</v>
      </c>
      <c r="H56" s="966"/>
      <c r="I56" s="552"/>
      <c r="J56" s="553"/>
      <c r="K56" s="819">
        <f t="shared" si="11"/>
        <v>95457</v>
      </c>
      <c r="L56" s="540">
        <v>9632</v>
      </c>
      <c r="M56" s="817">
        <v>85825</v>
      </c>
      <c r="N56" s="904"/>
      <c r="O56" s="124"/>
      <c r="P56" s="124"/>
      <c r="Q56" s="124"/>
      <c r="R56" s="124"/>
      <c r="S56" s="124"/>
      <c r="T56" s="124"/>
      <c r="U56" s="124"/>
    </row>
    <row r="57" spans="1:21" s="557" customFormat="1" ht="12.75">
      <c r="A57" s="752">
        <v>38</v>
      </c>
      <c r="B57" s="968" t="s">
        <v>39</v>
      </c>
      <c r="C57" s="804"/>
      <c r="D57" s="762">
        <f aca="true" t="shared" si="12" ref="D57:M57">SUM(D48:D56)</f>
        <v>1792047</v>
      </c>
      <c r="E57" s="787">
        <f t="shared" si="12"/>
        <v>459498</v>
      </c>
      <c r="F57" s="787">
        <f t="shared" si="12"/>
        <v>1332549</v>
      </c>
      <c r="G57" s="915">
        <f t="shared" si="12"/>
        <v>1291449</v>
      </c>
      <c r="H57" s="829">
        <f t="shared" si="12"/>
        <v>41100</v>
      </c>
      <c r="I57" s="558">
        <f t="shared" si="12"/>
        <v>0</v>
      </c>
      <c r="J57" s="787">
        <f t="shared" si="12"/>
        <v>0</v>
      </c>
      <c r="K57" s="763">
        <f t="shared" si="12"/>
        <v>1759230</v>
      </c>
      <c r="L57" s="544">
        <f t="shared" si="12"/>
        <v>473436</v>
      </c>
      <c r="M57" s="915">
        <f t="shared" si="12"/>
        <v>1285794</v>
      </c>
      <c r="N57" s="922">
        <v>0</v>
      </c>
      <c r="O57" s="671"/>
      <c r="P57" s="671"/>
      <c r="Q57" s="671"/>
      <c r="R57" s="671"/>
      <c r="S57" s="671"/>
      <c r="T57" s="671"/>
      <c r="U57" s="671"/>
    </row>
    <row r="58" spans="1:21" ht="12.75">
      <c r="A58" s="51">
        <v>39</v>
      </c>
      <c r="B58" s="488">
        <v>71</v>
      </c>
      <c r="C58" s="54" t="s">
        <v>208</v>
      </c>
      <c r="D58" s="759">
        <f>SUM(E58:F58)</f>
        <v>49613</v>
      </c>
      <c r="E58" s="547">
        <f>E18</f>
        <v>47613</v>
      </c>
      <c r="F58" s="547">
        <f>SUM(G58:I58)</f>
        <v>2000</v>
      </c>
      <c r="G58" s="921">
        <f>F18</f>
        <v>0</v>
      </c>
      <c r="H58" s="967">
        <f>'příl.1 - cp 2015'!I108</f>
        <v>2000</v>
      </c>
      <c r="I58" s="525"/>
      <c r="J58" s="526"/>
      <c r="K58" s="527">
        <f>SUM(L58:N58)</f>
        <v>46209</v>
      </c>
      <c r="L58" s="547">
        <v>46209</v>
      </c>
      <c r="M58" s="523">
        <v>0</v>
      </c>
      <c r="N58" s="905"/>
      <c r="O58" s="124"/>
      <c r="P58" s="124"/>
      <c r="Q58" s="124"/>
      <c r="R58" s="124"/>
      <c r="S58" s="124"/>
      <c r="T58" s="124"/>
      <c r="U58" s="124"/>
    </row>
    <row r="59" spans="1:21" ht="12.75">
      <c r="A59" s="314">
        <v>40</v>
      </c>
      <c r="B59" s="476">
        <v>79</v>
      </c>
      <c r="C59" s="55" t="s">
        <v>428</v>
      </c>
      <c r="D59" s="499">
        <f aca="true" t="shared" si="13" ref="D59:D68">SUM(E59:F59)</f>
        <v>1800</v>
      </c>
      <c r="E59" s="547">
        <f aca="true" t="shared" si="14" ref="E59:E69">E19</f>
        <v>0</v>
      </c>
      <c r="F59" s="547">
        <f aca="true" t="shared" si="15" ref="F59:F69">SUM(G59:I59)</f>
        <v>1800</v>
      </c>
      <c r="G59" s="921">
        <f aca="true" t="shared" si="16" ref="G59:G69">F19</f>
        <v>0</v>
      </c>
      <c r="H59" s="531">
        <f>'příl.1 - cp 2015'!I110</f>
        <v>1800</v>
      </c>
      <c r="I59" s="649"/>
      <c r="J59" s="533"/>
      <c r="K59" s="527">
        <f aca="true" t="shared" si="17" ref="K59:K69">SUM(L59:N59)</f>
        <v>1500</v>
      </c>
      <c r="L59" s="546">
        <v>0</v>
      </c>
      <c r="M59" s="648">
        <v>1500</v>
      </c>
      <c r="N59" s="905"/>
      <c r="O59" s="124"/>
      <c r="P59" s="124"/>
      <c r="Q59" s="124"/>
      <c r="R59" s="124"/>
      <c r="S59" s="124"/>
      <c r="T59" s="124"/>
      <c r="U59" s="124"/>
    </row>
    <row r="60" spans="1:21" ht="12.75">
      <c r="A60" s="51">
        <v>41</v>
      </c>
      <c r="B60" s="476">
        <v>81</v>
      </c>
      <c r="C60" s="55" t="s">
        <v>71</v>
      </c>
      <c r="D60" s="499">
        <f t="shared" si="13"/>
        <v>0</v>
      </c>
      <c r="E60" s="547">
        <f t="shared" si="14"/>
        <v>0</v>
      </c>
      <c r="F60" s="547">
        <f t="shared" si="15"/>
        <v>0</v>
      </c>
      <c r="G60" s="921">
        <f t="shared" si="16"/>
        <v>0</v>
      </c>
      <c r="H60" s="531"/>
      <c r="I60" s="532"/>
      <c r="J60" s="533"/>
      <c r="K60" s="527">
        <f t="shared" si="17"/>
        <v>0</v>
      </c>
      <c r="L60" s="546">
        <v>0</v>
      </c>
      <c r="M60" s="648">
        <v>0</v>
      </c>
      <c r="N60" s="534"/>
      <c r="O60" s="124"/>
      <c r="P60" s="124"/>
      <c r="Q60" s="124"/>
      <c r="R60" s="124"/>
      <c r="S60" s="124"/>
      <c r="T60" s="124"/>
      <c r="U60" s="124"/>
    </row>
    <row r="61" spans="1:21" ht="12.75">
      <c r="A61" s="314">
        <v>42</v>
      </c>
      <c r="B61" s="476">
        <v>82</v>
      </c>
      <c r="C61" s="55" t="s">
        <v>1</v>
      </c>
      <c r="D61" s="499">
        <f t="shared" si="13"/>
        <v>10648</v>
      </c>
      <c r="E61" s="547">
        <f t="shared" si="14"/>
        <v>0</v>
      </c>
      <c r="F61" s="547">
        <f t="shared" si="15"/>
        <v>10648</v>
      </c>
      <c r="G61" s="921">
        <f t="shared" si="16"/>
        <v>0</v>
      </c>
      <c r="H61" s="531">
        <f>'příl.1 - cp 2015'!I119</f>
        <v>10648</v>
      </c>
      <c r="I61" s="532"/>
      <c r="J61" s="533"/>
      <c r="K61" s="527">
        <f t="shared" si="17"/>
        <v>10966</v>
      </c>
      <c r="L61" s="546">
        <v>0</v>
      </c>
      <c r="M61" s="648">
        <v>10966</v>
      </c>
      <c r="N61" s="534"/>
      <c r="O61" s="124"/>
      <c r="P61" s="124"/>
      <c r="Q61" s="124"/>
      <c r="R61" s="124"/>
      <c r="S61" s="124"/>
      <c r="T61" s="124"/>
      <c r="U61" s="124"/>
    </row>
    <row r="62" spans="1:21" ht="12.75">
      <c r="A62" s="51">
        <v>43</v>
      </c>
      <c r="B62" s="476">
        <v>83</v>
      </c>
      <c r="C62" s="55" t="s">
        <v>83</v>
      </c>
      <c r="D62" s="499">
        <f t="shared" si="13"/>
        <v>8804</v>
      </c>
      <c r="E62" s="547">
        <f t="shared" si="14"/>
        <v>0</v>
      </c>
      <c r="F62" s="547">
        <f t="shared" si="15"/>
        <v>8804</v>
      </c>
      <c r="G62" s="921">
        <f t="shared" si="16"/>
        <v>6700</v>
      </c>
      <c r="H62" s="531">
        <f>'příl.1 - cp 2015'!I121+'příl.1 - cp 2015'!I18</f>
        <v>2104</v>
      </c>
      <c r="I62" s="532"/>
      <c r="J62" s="533"/>
      <c r="K62" s="527">
        <f t="shared" si="17"/>
        <v>8804</v>
      </c>
      <c r="L62" s="546">
        <v>0</v>
      </c>
      <c r="M62" s="648">
        <v>8804</v>
      </c>
      <c r="N62" s="534"/>
      <c r="O62" s="124"/>
      <c r="P62" s="124"/>
      <c r="Q62" s="124"/>
      <c r="R62" s="124"/>
      <c r="S62" s="124"/>
      <c r="T62" s="124"/>
      <c r="U62" s="124"/>
    </row>
    <row r="63" spans="1:21" ht="12.75">
      <c r="A63" s="314">
        <v>44</v>
      </c>
      <c r="B63" s="476">
        <v>84</v>
      </c>
      <c r="C63" s="55" t="s">
        <v>82</v>
      </c>
      <c r="D63" s="499">
        <f t="shared" si="13"/>
        <v>3363</v>
      </c>
      <c r="E63" s="547">
        <f t="shared" si="14"/>
        <v>353</v>
      </c>
      <c r="F63" s="547">
        <f t="shared" si="15"/>
        <v>3010</v>
      </c>
      <c r="G63" s="921">
        <f t="shared" si="16"/>
        <v>3000</v>
      </c>
      <c r="H63" s="531">
        <f>'příl.1 - cp 2015'!I123+'příl.1 - cp 2015'!I19</f>
        <v>10</v>
      </c>
      <c r="I63" s="532"/>
      <c r="J63" s="533"/>
      <c r="K63" s="527">
        <f t="shared" si="17"/>
        <v>2623</v>
      </c>
      <c r="L63" s="546">
        <v>297</v>
      </c>
      <c r="M63" s="648">
        <v>2326</v>
      </c>
      <c r="N63" s="534"/>
      <c r="O63" s="124"/>
      <c r="P63" s="124"/>
      <c r="Q63" s="124"/>
      <c r="R63" s="124"/>
      <c r="S63" s="124"/>
      <c r="T63" s="124"/>
      <c r="U63" s="124"/>
    </row>
    <row r="64" spans="1:21" ht="12.75">
      <c r="A64" s="51">
        <v>45</v>
      </c>
      <c r="B64" s="476">
        <v>85</v>
      </c>
      <c r="C64" s="55" t="s">
        <v>106</v>
      </c>
      <c r="D64" s="499">
        <f t="shared" si="13"/>
        <v>612</v>
      </c>
      <c r="E64" s="547">
        <f t="shared" si="14"/>
        <v>612</v>
      </c>
      <c r="F64" s="547">
        <f t="shared" si="15"/>
        <v>0</v>
      </c>
      <c r="G64" s="921">
        <f t="shared" si="16"/>
        <v>0</v>
      </c>
      <c r="H64" s="531"/>
      <c r="I64" s="532"/>
      <c r="J64" s="533"/>
      <c r="K64" s="527">
        <f t="shared" si="17"/>
        <v>271</v>
      </c>
      <c r="L64" s="530">
        <v>271</v>
      </c>
      <c r="M64" s="648">
        <v>0</v>
      </c>
      <c r="N64" s="534"/>
      <c r="O64" s="124"/>
      <c r="P64" s="124"/>
      <c r="Q64" s="124"/>
      <c r="R64" s="124"/>
      <c r="S64" s="124"/>
      <c r="T64" s="124"/>
      <c r="U64" s="124"/>
    </row>
    <row r="65" spans="1:21" ht="12.75">
      <c r="A65" s="314">
        <v>46</v>
      </c>
      <c r="B65" s="476">
        <v>87</v>
      </c>
      <c r="C65" s="55" t="s">
        <v>135</v>
      </c>
      <c r="D65" s="499">
        <f t="shared" si="13"/>
        <v>9119</v>
      </c>
      <c r="E65" s="547">
        <f t="shared" si="14"/>
        <v>0</v>
      </c>
      <c r="F65" s="547">
        <f t="shared" si="15"/>
        <v>9119</v>
      </c>
      <c r="G65" s="921">
        <f t="shared" si="16"/>
        <v>7724</v>
      </c>
      <c r="H65" s="531">
        <f>'příl.1 - cp 2015'!I125+'příl.1 - cp 2015'!I21</f>
        <v>1395</v>
      </c>
      <c r="I65" s="532"/>
      <c r="J65" s="533"/>
      <c r="K65" s="527">
        <f t="shared" si="17"/>
        <v>1999</v>
      </c>
      <c r="L65" s="530">
        <v>0</v>
      </c>
      <c r="M65" s="648">
        <v>1999</v>
      </c>
      <c r="N65" s="534"/>
      <c r="O65" s="124"/>
      <c r="P65" s="124"/>
      <c r="Q65" s="124"/>
      <c r="R65" s="124"/>
      <c r="S65" s="124"/>
      <c r="T65" s="124"/>
      <c r="U65" s="124"/>
    </row>
    <row r="66" spans="1:21" ht="12.75">
      <c r="A66" s="51">
        <v>47</v>
      </c>
      <c r="B66" s="476">
        <v>92</v>
      </c>
      <c r="C66" s="55" t="s">
        <v>17</v>
      </c>
      <c r="D66" s="499">
        <f t="shared" si="13"/>
        <v>140067</v>
      </c>
      <c r="E66" s="547">
        <f t="shared" si="14"/>
        <v>1977</v>
      </c>
      <c r="F66" s="547">
        <f t="shared" si="15"/>
        <v>138090</v>
      </c>
      <c r="G66" s="921">
        <f t="shared" si="16"/>
        <v>96997</v>
      </c>
      <c r="H66" s="531">
        <f>'příl.1 - cp 2015'!I143+'příl.1 - cp 2015'!I22</f>
        <v>41093</v>
      </c>
      <c r="I66" s="532"/>
      <c r="J66" s="533"/>
      <c r="K66" s="527">
        <f t="shared" si="17"/>
        <v>133536</v>
      </c>
      <c r="L66" s="530">
        <v>1506</v>
      </c>
      <c r="M66" s="648">
        <v>132030</v>
      </c>
      <c r="N66" s="534"/>
      <c r="O66" s="124"/>
      <c r="P66" s="124"/>
      <c r="Q66" s="124"/>
      <c r="R66" s="124"/>
      <c r="S66" s="124"/>
      <c r="T66" s="124"/>
      <c r="U66" s="124"/>
    </row>
    <row r="67" spans="1:21" ht="12.75">
      <c r="A67" s="314">
        <v>48</v>
      </c>
      <c r="B67" s="476">
        <v>96</v>
      </c>
      <c r="C67" s="55" t="s">
        <v>24</v>
      </c>
      <c r="D67" s="499">
        <f t="shared" si="13"/>
        <v>32495</v>
      </c>
      <c r="E67" s="547">
        <f t="shared" si="14"/>
        <v>469</v>
      </c>
      <c r="F67" s="547">
        <f t="shared" si="15"/>
        <v>32026</v>
      </c>
      <c r="G67" s="921">
        <f t="shared" si="16"/>
        <v>32000</v>
      </c>
      <c r="H67" s="531">
        <f>'příl.1 - cp 2015'!I23</f>
        <v>26</v>
      </c>
      <c r="I67" s="532"/>
      <c r="J67" s="533"/>
      <c r="K67" s="527">
        <f t="shared" si="17"/>
        <v>32447</v>
      </c>
      <c r="L67" s="530">
        <v>406</v>
      </c>
      <c r="M67" s="648">
        <v>32041</v>
      </c>
      <c r="N67" s="534"/>
      <c r="O67" s="124"/>
      <c r="P67" s="124"/>
      <c r="Q67" s="124"/>
      <c r="R67" s="124"/>
      <c r="S67" s="124"/>
      <c r="T67" s="124"/>
      <c r="U67" s="124"/>
    </row>
    <row r="68" spans="1:21" ht="12.75">
      <c r="A68" s="51">
        <v>49</v>
      </c>
      <c r="B68" s="476">
        <v>97</v>
      </c>
      <c r="C68" s="55" t="s">
        <v>25</v>
      </c>
      <c r="D68" s="499">
        <f t="shared" si="13"/>
        <v>9650</v>
      </c>
      <c r="E68" s="547">
        <f t="shared" si="14"/>
        <v>0</v>
      </c>
      <c r="F68" s="547">
        <f t="shared" si="15"/>
        <v>9650</v>
      </c>
      <c r="G68" s="921">
        <f t="shared" si="16"/>
        <v>9450</v>
      </c>
      <c r="H68" s="531">
        <f>'příl.1 - cp 2015'!I145</f>
        <v>200</v>
      </c>
      <c r="I68" s="532"/>
      <c r="J68" s="533"/>
      <c r="K68" s="527">
        <f t="shared" si="17"/>
        <v>9650</v>
      </c>
      <c r="L68" s="530">
        <v>0</v>
      </c>
      <c r="M68" s="648">
        <v>9650</v>
      </c>
      <c r="N68" s="541"/>
      <c r="O68" s="124"/>
      <c r="P68" s="124"/>
      <c r="Q68" s="124"/>
      <c r="R68" s="124"/>
      <c r="S68" s="124"/>
      <c r="T68" s="124"/>
      <c r="U68" s="124"/>
    </row>
    <row r="69" spans="1:21" ht="12.75">
      <c r="A69" s="926">
        <v>50</v>
      </c>
      <c r="B69" s="551">
        <v>99</v>
      </c>
      <c r="C69" s="56" t="s">
        <v>85</v>
      </c>
      <c r="D69" s="489">
        <f>SUM(E69:F69,J69)</f>
        <v>206991</v>
      </c>
      <c r="E69" s="547">
        <f t="shared" si="14"/>
        <v>21215</v>
      </c>
      <c r="F69" s="547">
        <f t="shared" si="15"/>
        <v>137834.99999999988</v>
      </c>
      <c r="G69" s="921">
        <f t="shared" si="16"/>
        <v>39658.99999999988</v>
      </c>
      <c r="H69" s="538">
        <f>'příl.1 - cp 2015'!I87+'příl.1 - cp 2015'!I25-I69</f>
        <v>80676</v>
      </c>
      <c r="I69" s="552">
        <f>'příl.1 - cp 2015'!I86</f>
        <v>17500</v>
      </c>
      <c r="J69" s="553">
        <f>G29</f>
        <v>47941.00000000012</v>
      </c>
      <c r="K69" s="527">
        <f t="shared" si="17"/>
        <v>206309</v>
      </c>
      <c r="L69" s="522">
        <v>16000</v>
      </c>
      <c r="M69" s="916">
        <v>155132</v>
      </c>
      <c r="N69" s="539">
        <v>35177</v>
      </c>
      <c r="O69" s="124"/>
      <c r="P69" s="124"/>
      <c r="Q69" s="124"/>
      <c r="R69" s="124"/>
      <c r="S69" s="124"/>
      <c r="T69" s="124"/>
      <c r="U69" s="124"/>
    </row>
    <row r="70" spans="1:21" s="557" customFormat="1" ht="12.75">
      <c r="A70" s="752">
        <v>51</v>
      </c>
      <c r="B70" s="504" t="s">
        <v>638</v>
      </c>
      <c r="C70" s="928"/>
      <c r="D70" s="929">
        <f>SUM(D58:D69)</f>
        <v>473162</v>
      </c>
      <c r="E70" s="920">
        <f>SUM(E58:E69)</f>
        <v>72239</v>
      </c>
      <c r="F70" s="920">
        <f aca="true" t="shared" si="18" ref="F70:N70">SUM(F58:F69)</f>
        <v>352981.9999999999</v>
      </c>
      <c r="G70" s="920">
        <f t="shared" si="18"/>
        <v>195529.99999999988</v>
      </c>
      <c r="H70" s="930">
        <f t="shared" si="18"/>
        <v>139952</v>
      </c>
      <c r="I70" s="931">
        <f t="shared" si="18"/>
        <v>17500</v>
      </c>
      <c r="J70" s="920">
        <f t="shared" si="18"/>
        <v>47941.00000000012</v>
      </c>
      <c r="K70" s="932">
        <f t="shared" si="18"/>
        <v>454314</v>
      </c>
      <c r="L70" s="891">
        <f t="shared" si="18"/>
        <v>64689</v>
      </c>
      <c r="M70" s="920">
        <f t="shared" si="18"/>
        <v>354448</v>
      </c>
      <c r="N70" s="933">
        <f t="shared" si="18"/>
        <v>35177</v>
      </c>
      <c r="O70" s="671"/>
      <c r="P70" s="671"/>
      <c r="Q70" s="671"/>
      <c r="R70" s="671"/>
      <c r="S70" s="671"/>
      <c r="T70" s="671"/>
      <c r="U70" s="671"/>
    </row>
    <row r="71" spans="1:21" s="557" customFormat="1" ht="13.5" thickBot="1">
      <c r="A71" s="934">
        <v>52</v>
      </c>
      <c r="B71" s="935" t="s">
        <v>694</v>
      </c>
      <c r="C71" s="935"/>
      <c r="D71" s="936">
        <f>SUM(E71:F71)</f>
        <v>147751</v>
      </c>
      <c r="E71" s="937"/>
      <c r="F71" s="938">
        <f>SUM(G71:J71)</f>
        <v>147751</v>
      </c>
      <c r="G71" s="939"/>
      <c r="H71" s="940">
        <f>'příl.1 - cp 2015'!I7+'příl.1 - cp 2015'!I26</f>
        <v>147751</v>
      </c>
      <c r="I71" s="937"/>
      <c r="J71" s="941"/>
      <c r="K71" s="942">
        <f>SUM(L71:N71)</f>
        <v>179862</v>
      </c>
      <c r="L71" s="937">
        <v>0</v>
      </c>
      <c r="M71" s="939">
        <v>179862</v>
      </c>
      <c r="N71" s="943"/>
      <c r="O71" s="671"/>
      <c r="P71" s="671"/>
      <c r="Q71" s="671"/>
      <c r="R71" s="671"/>
      <c r="S71" s="671"/>
      <c r="T71" s="671"/>
      <c r="U71" s="671"/>
    </row>
    <row r="72" spans="1:21" ht="14.25" customHeight="1" thickBot="1">
      <c r="A72" s="318">
        <v>53</v>
      </c>
      <c r="B72" s="505" t="s">
        <v>35</v>
      </c>
      <c r="C72" s="494"/>
      <c r="D72" s="854">
        <f>D57+D70+D71</f>
        <v>2412960</v>
      </c>
      <c r="E72" s="877">
        <f aca="true" t="shared" si="19" ref="E72:J72">E57+E70+E71</f>
        <v>531737</v>
      </c>
      <c r="F72" s="879">
        <f t="shared" si="19"/>
        <v>1833282</v>
      </c>
      <c r="G72" s="878">
        <f t="shared" si="19"/>
        <v>1486979</v>
      </c>
      <c r="H72" s="796">
        <f t="shared" si="19"/>
        <v>328803</v>
      </c>
      <c r="I72" s="797">
        <f t="shared" si="19"/>
        <v>17500</v>
      </c>
      <c r="J72" s="495">
        <f t="shared" si="19"/>
        <v>47941.00000000012</v>
      </c>
      <c r="K72" s="880">
        <f>K57++K70+K71</f>
        <v>2393406</v>
      </c>
      <c r="L72" s="881">
        <f>L57++L70+L71</f>
        <v>538125</v>
      </c>
      <c r="M72" s="917">
        <f>M57++M70+M71</f>
        <v>1820104</v>
      </c>
      <c r="N72" s="881">
        <f>N57++N70+N71</f>
        <v>35177</v>
      </c>
      <c r="O72" s="124"/>
      <c r="P72" s="124"/>
      <c r="Q72" s="124"/>
      <c r="R72" s="124"/>
      <c r="S72" s="124"/>
      <c r="T72" s="124"/>
      <c r="U72" s="124"/>
    </row>
    <row r="73" spans="1:24" s="1085" customFormat="1" ht="15" customHeight="1">
      <c r="A73" s="1084" t="s">
        <v>396</v>
      </c>
      <c r="D73" s="1086"/>
      <c r="E73" s="1574">
        <f>E72+F72</f>
        <v>2365019</v>
      </c>
      <c r="F73" s="1575"/>
      <c r="G73" s="1569">
        <f>G72+H72+I72</f>
        <v>1833282</v>
      </c>
      <c r="H73" s="1570"/>
      <c r="I73" s="1571"/>
      <c r="J73" s="1087"/>
      <c r="K73" s="1088"/>
      <c r="L73" s="1574">
        <f>SUM(L72:M72)</f>
        <v>2358229</v>
      </c>
      <c r="M73" s="1575"/>
      <c r="N73" s="1089"/>
      <c r="O73" s="1089"/>
      <c r="P73" s="1089"/>
      <c r="Q73" s="1089"/>
      <c r="R73" s="1089"/>
      <c r="S73" s="1089"/>
      <c r="T73" s="1089"/>
      <c r="U73" s="1089"/>
      <c r="X73" s="1090"/>
    </row>
    <row r="74" spans="1:24" s="1092" customFormat="1" ht="15">
      <c r="A74" s="1091"/>
      <c r="D74" s="1154">
        <f>D35-D72</f>
        <v>0</v>
      </c>
      <c r="E74" s="1580">
        <f>E72+H72+G72</f>
        <v>2347519</v>
      </c>
      <c r="F74" s="1582"/>
      <c r="G74" s="1582"/>
      <c r="H74" s="1583"/>
      <c r="I74" s="1086"/>
      <c r="J74" s="1153"/>
      <c r="K74" s="1094"/>
      <c r="N74" s="1089"/>
      <c r="O74" s="1089"/>
      <c r="P74" s="1089"/>
      <c r="Q74" s="1089"/>
      <c r="R74" s="1089"/>
      <c r="S74" s="1089"/>
      <c r="T74" s="1089"/>
      <c r="U74" s="1089"/>
      <c r="V74" s="1085"/>
      <c r="W74" s="1085"/>
      <c r="X74" s="1090"/>
    </row>
    <row r="75" spans="1:24" s="1092" customFormat="1" ht="15">
      <c r="A75" s="1091"/>
      <c r="D75" s="1093"/>
      <c r="E75" s="1093"/>
      <c r="F75" s="1086"/>
      <c r="G75" s="1093"/>
      <c r="H75" s="1580">
        <f>H72+I72</f>
        <v>346303</v>
      </c>
      <c r="I75" s="1581"/>
      <c r="J75" s="1086"/>
      <c r="K75" s="1094"/>
      <c r="N75" s="1089"/>
      <c r="O75" s="1089"/>
      <c r="P75" s="1089"/>
      <c r="Q75" s="1089"/>
      <c r="R75" s="1089"/>
      <c r="S75" s="1089"/>
      <c r="T75" s="1089"/>
      <c r="U75" s="1089"/>
      <c r="V75" s="1085"/>
      <c r="W75" s="1085"/>
      <c r="X75" s="1090"/>
    </row>
    <row r="76" spans="1:24" s="672" customFormat="1" ht="15">
      <c r="A76" s="673"/>
      <c r="D76" s="674"/>
      <c r="E76" s="674"/>
      <c r="F76" s="671"/>
      <c r="G76" s="674"/>
      <c r="H76" s="671"/>
      <c r="I76" s="671"/>
      <c r="J76" s="671"/>
      <c r="K76" s="675"/>
      <c r="N76" s="124"/>
      <c r="O76" s="124"/>
      <c r="P76" s="124"/>
      <c r="Q76" s="124"/>
      <c r="R76" s="124"/>
      <c r="S76" s="124"/>
      <c r="T76" s="124"/>
      <c r="U76" s="124"/>
      <c r="V76" s="557"/>
      <c r="W76" s="557"/>
      <c r="X76" s="49"/>
    </row>
    <row r="77" spans="1:24" s="672" customFormat="1" ht="15">
      <c r="A77" s="673"/>
      <c r="D77" s="674"/>
      <c r="E77" s="674"/>
      <c r="F77" s="671"/>
      <c r="G77" s="674"/>
      <c r="H77" s="671"/>
      <c r="I77" s="671"/>
      <c r="J77" s="671"/>
      <c r="K77" s="675"/>
      <c r="N77" s="124"/>
      <c r="O77" s="124"/>
      <c r="P77" s="124"/>
      <c r="Q77" s="124"/>
      <c r="R77" s="124"/>
      <c r="S77" s="124"/>
      <c r="T77" s="124"/>
      <c r="U77" s="124"/>
      <c r="V77" s="557"/>
      <c r="W77" s="557"/>
      <c r="X77" s="49"/>
    </row>
    <row r="78" spans="1:24" s="672" customFormat="1" ht="12.75">
      <c r="A78" s="833" t="s">
        <v>434</v>
      </c>
      <c r="B78" s="834"/>
      <c r="C78" s="834"/>
      <c r="D78" s="834"/>
      <c r="E78" s="834"/>
      <c r="F78" s="834"/>
      <c r="G78" s="834"/>
      <c r="H78" s="834"/>
      <c r="I78" s="834"/>
      <c r="J78" s="834"/>
      <c r="K78" s="834"/>
      <c r="L78" s="834"/>
      <c r="M78" s="835"/>
      <c r="N78" s="834"/>
      <c r="O78" s="124"/>
      <c r="P78" s="124"/>
      <c r="Q78" s="124"/>
      <c r="R78" s="124"/>
      <c r="S78" s="124"/>
      <c r="T78" s="124"/>
      <c r="U78" s="124"/>
      <c r="V78" s="557"/>
      <c r="W78" s="557"/>
      <c r="X78" s="49"/>
    </row>
    <row r="79" spans="1:24" s="672" customFormat="1" ht="13.5" thickBot="1">
      <c r="A79" s="557" t="s">
        <v>364</v>
      </c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56"/>
      <c r="N79" s="49"/>
      <c r="O79" s="124"/>
      <c r="P79" s="124"/>
      <c r="Q79" s="124"/>
      <c r="R79" s="124"/>
      <c r="S79" s="124"/>
      <c r="T79" s="124"/>
      <c r="U79" s="124"/>
      <c r="V79" s="557"/>
      <c r="W79" s="557"/>
      <c r="X79" s="49"/>
    </row>
    <row r="80" spans="1:24" s="672" customFormat="1" ht="12.75">
      <c r="A80" s="126"/>
      <c r="B80" s="458"/>
      <c r="C80" s="312"/>
      <c r="D80" s="1562" t="s">
        <v>544</v>
      </c>
      <c r="E80" s="1563"/>
      <c r="F80" s="1563"/>
      <c r="G80" s="1563"/>
      <c r="H80" s="1563"/>
      <c r="I80" s="1563"/>
      <c r="J80" s="1564"/>
      <c r="K80" s="1577" t="s">
        <v>400</v>
      </c>
      <c r="L80" s="1578"/>
      <c r="M80" s="1578"/>
      <c r="N80" s="1579"/>
      <c r="O80" s="124"/>
      <c r="P80" s="1117">
        <v>2015</v>
      </c>
      <c r="Q80" s="1118">
        <v>2014</v>
      </c>
      <c r="R80" s="124"/>
      <c r="S80" s="124"/>
      <c r="T80" s="124"/>
      <c r="U80" s="124"/>
      <c r="V80" s="557"/>
      <c r="W80" s="557"/>
      <c r="X80" s="49"/>
    </row>
    <row r="81" spans="1:24" s="672" customFormat="1" ht="12.75">
      <c r="A81" s="459"/>
      <c r="B81" s="57"/>
      <c r="C81" s="58"/>
      <c r="D81" s="988" t="s">
        <v>141</v>
      </c>
      <c r="E81" s="1568" t="s">
        <v>187</v>
      </c>
      <c r="F81" s="1568"/>
      <c r="G81" s="1568"/>
      <c r="H81" s="1568"/>
      <c r="I81" s="1568"/>
      <c r="J81" s="664" t="s">
        <v>279</v>
      </c>
      <c r="K81" s="665" t="s">
        <v>141</v>
      </c>
      <c r="L81" s="1576" t="s">
        <v>31</v>
      </c>
      <c r="M81" s="1568"/>
      <c r="N81" s="1584"/>
      <c r="O81" s="124"/>
      <c r="P81" s="1119"/>
      <c r="Q81" s="1120"/>
      <c r="R81" s="124"/>
      <c r="S81" s="124"/>
      <c r="T81" s="124"/>
      <c r="U81" s="124"/>
      <c r="V81" s="557"/>
      <c r="W81" s="557"/>
      <c r="X81" s="49"/>
    </row>
    <row r="82" spans="1:24" s="672" customFormat="1" ht="12.75">
      <c r="A82" s="459"/>
      <c r="B82" s="57" t="s">
        <v>37</v>
      </c>
      <c r="C82" s="58"/>
      <c r="D82" s="989" t="s">
        <v>142</v>
      </c>
      <c r="E82" s="337" t="s">
        <v>179</v>
      </c>
      <c r="F82" s="52" t="s">
        <v>67</v>
      </c>
      <c r="G82" s="1572" t="s">
        <v>68</v>
      </c>
      <c r="H82" s="1573"/>
      <c r="I82" s="1573"/>
      <c r="J82" s="666" t="s">
        <v>281</v>
      </c>
      <c r="K82" s="665" t="s">
        <v>142</v>
      </c>
      <c r="L82" s="337" t="s">
        <v>179</v>
      </c>
      <c r="M82" s="468" t="s">
        <v>67</v>
      </c>
      <c r="N82" s="912" t="s">
        <v>111</v>
      </c>
      <c r="O82" s="124"/>
      <c r="P82" s="1121" t="s">
        <v>431</v>
      </c>
      <c r="Q82" s="1122" t="s">
        <v>431</v>
      </c>
      <c r="R82" s="124"/>
      <c r="S82" s="124"/>
      <c r="T82" s="124"/>
      <c r="U82" s="124"/>
      <c r="V82" s="557"/>
      <c r="W82" s="557"/>
      <c r="X82" s="49"/>
    </row>
    <row r="83" spans="1:24" s="672" customFormat="1" ht="15.75" thickBot="1">
      <c r="A83" s="461" t="s">
        <v>34</v>
      </c>
      <c r="B83" s="462" t="s">
        <v>38</v>
      </c>
      <c r="C83" s="463"/>
      <c r="D83" s="990" t="s">
        <v>282</v>
      </c>
      <c r="E83" s="464" t="s">
        <v>178</v>
      </c>
      <c r="F83" s="509" t="s">
        <v>16</v>
      </c>
      <c r="G83" s="510" t="s">
        <v>32</v>
      </c>
      <c r="H83" s="511" t="s">
        <v>376</v>
      </c>
      <c r="I83" s="512" t="s">
        <v>33</v>
      </c>
      <c r="J83" s="667" t="s">
        <v>280</v>
      </c>
      <c r="K83" s="668" t="s">
        <v>282</v>
      </c>
      <c r="L83" s="464" t="s">
        <v>178</v>
      </c>
      <c r="M83" s="913" t="s">
        <v>16</v>
      </c>
      <c r="N83" s="918"/>
      <c r="O83" s="124"/>
      <c r="P83" s="1121"/>
      <c r="Q83" s="1122"/>
      <c r="R83" s="124"/>
      <c r="S83" s="124"/>
      <c r="W83" s="557"/>
      <c r="X83" s="49"/>
    </row>
    <row r="84" spans="1:24" s="672" customFormat="1" ht="13.5" thickBot="1">
      <c r="A84" s="513"/>
      <c r="B84" s="59"/>
      <c r="C84" s="514" t="s">
        <v>241</v>
      </c>
      <c r="D84" s="991"/>
      <c r="E84" s="515">
        <v>2112</v>
      </c>
      <c r="F84" s="516"/>
      <c r="G84" s="517">
        <v>1111</v>
      </c>
      <c r="H84" s="518">
        <v>1112</v>
      </c>
      <c r="I84" s="519">
        <v>1112</v>
      </c>
      <c r="J84" s="670">
        <v>4769</v>
      </c>
      <c r="K84" s="520"/>
      <c r="L84" s="515"/>
      <c r="M84" s="914"/>
      <c r="N84" s="919"/>
      <c r="O84" s="124"/>
      <c r="P84" s="1143" t="s">
        <v>668</v>
      </c>
      <c r="Q84" s="1144" t="s">
        <v>668</v>
      </c>
      <c r="R84" s="124"/>
      <c r="S84" s="124"/>
      <c r="W84" s="557"/>
      <c r="X84" s="49"/>
    </row>
    <row r="85" spans="1:24" s="672" customFormat="1" ht="12.75">
      <c r="A85" s="324">
        <v>54</v>
      </c>
      <c r="B85" s="337">
        <v>11</v>
      </c>
      <c r="C85" s="58" t="s">
        <v>7</v>
      </c>
      <c r="D85" s="992">
        <f>SUM(E85:F85)</f>
        <v>300716.369658556</v>
      </c>
      <c r="E85" s="882">
        <f>'pom1 - Přerozdělení IP'!Q10</f>
        <v>57039</v>
      </c>
      <c r="F85" s="522">
        <f>SUM(G85:H85)</f>
        <v>243677.369658556</v>
      </c>
      <c r="G85" s="646">
        <f>'pom1 - Přerozdělení IP'!H10+'pom1 - Přerozdělení IP'!N10</f>
        <v>243677.369658556</v>
      </c>
      <c r="H85" s="651">
        <f>'pom1 - Přerozdělení IP'!M10</f>
        <v>0</v>
      </c>
      <c r="I85" s="525"/>
      <c r="J85" s="526"/>
      <c r="K85" s="527">
        <f>SUM(L85:N85)</f>
        <v>305721.2955690904</v>
      </c>
      <c r="L85" s="528">
        <v>63491</v>
      </c>
      <c r="M85" s="646">
        <v>242230.29556909043</v>
      </c>
      <c r="N85" s="902"/>
      <c r="O85" s="124"/>
      <c r="P85" s="1123">
        <f>'Rozdělení IRP'!E7</f>
        <v>9212</v>
      </c>
      <c r="Q85" s="1124">
        <f>'Rozdělení IRP'!E31</f>
        <v>2335.3590729925813</v>
      </c>
      <c r="R85" s="124"/>
      <c r="S85" s="285"/>
      <c r="W85" s="557"/>
      <c r="X85" s="49"/>
    </row>
    <row r="86" spans="1:24" s="672" customFormat="1" ht="12.75">
      <c r="A86" s="314">
        <v>55</v>
      </c>
      <c r="B86" s="529">
        <v>21</v>
      </c>
      <c r="C86" s="55" t="s">
        <v>8</v>
      </c>
      <c r="D86" s="993">
        <f aca="true" t="shared" si="20" ref="D86:D92">SUM(E86:F86)</f>
        <v>311597.1342142845</v>
      </c>
      <c r="E86" s="883">
        <f>'pom1 - Přerozdělení IP'!Q11</f>
        <v>52409</v>
      </c>
      <c r="F86" s="530">
        <f aca="true" t="shared" si="21" ref="F86:F93">SUM(G86:H86)</f>
        <v>259188.13421428445</v>
      </c>
      <c r="G86" s="647">
        <f>'pom1 - Přerozdělení IP'!H11+'pom1 - Přerozdělení IP'!N11</f>
        <v>259088.13421428445</v>
      </c>
      <c r="H86" s="481">
        <f>'pom1 - Přerozdělení IP'!M11</f>
        <v>100</v>
      </c>
      <c r="I86" s="649"/>
      <c r="J86" s="533"/>
      <c r="K86" s="527">
        <f aca="true" t="shared" si="22" ref="K86:K93">SUM(L86:N86)</f>
        <v>316561.0449198972</v>
      </c>
      <c r="L86" s="530">
        <v>58152</v>
      </c>
      <c r="M86" s="647">
        <v>258409.04491989725</v>
      </c>
      <c r="N86" s="903"/>
      <c r="O86" s="124"/>
      <c r="P86" s="1125">
        <f>'Rozdělení IRP'!E8</f>
        <v>8631</v>
      </c>
      <c r="Q86" s="1126">
        <f>'Rozdělení IRP'!E32</f>
        <v>2390.6915350988356</v>
      </c>
      <c r="R86" s="124"/>
      <c r="S86" s="285"/>
      <c r="W86" s="557"/>
      <c r="X86" s="49"/>
    </row>
    <row r="87" spans="1:24" s="672" customFormat="1" ht="12.75">
      <c r="A87" s="314">
        <v>56</v>
      </c>
      <c r="B87" s="529">
        <v>22</v>
      </c>
      <c r="C87" s="55" t="s">
        <v>9</v>
      </c>
      <c r="D87" s="993">
        <f t="shared" si="20"/>
        <v>111815.08856676349</v>
      </c>
      <c r="E87" s="883">
        <f>'pom1 - Přerozdělení IP'!Q12</f>
        <v>20186</v>
      </c>
      <c r="F87" s="530">
        <f t="shared" si="21"/>
        <v>91629.08856676349</v>
      </c>
      <c r="G87" s="647">
        <f>'pom1 - Přerozdělení IP'!H12+'pom1 - Přerozdělení IP'!N12</f>
        <v>91629.08856676349</v>
      </c>
      <c r="H87" s="481">
        <f>'pom1 - Přerozdělení IP'!M12</f>
        <v>0</v>
      </c>
      <c r="I87" s="649"/>
      <c r="J87" s="533"/>
      <c r="K87" s="527">
        <f t="shared" si="22"/>
        <v>119310.038986231</v>
      </c>
      <c r="L87" s="530">
        <v>23007</v>
      </c>
      <c r="M87" s="647">
        <v>96303.038986231</v>
      </c>
      <c r="N87" s="903"/>
      <c r="O87" s="124"/>
      <c r="P87" s="1125">
        <f>'Rozdělení IRP'!E9</f>
        <v>2905</v>
      </c>
      <c r="Q87" s="1126">
        <f>'Rozdělení IRP'!E33</f>
        <v>860.0866292155075</v>
      </c>
      <c r="R87" s="124"/>
      <c r="S87" s="285"/>
      <c r="W87" s="557"/>
      <c r="X87" s="49"/>
    </row>
    <row r="88" spans="1:24" s="672" customFormat="1" ht="12.75">
      <c r="A88" s="314">
        <v>57</v>
      </c>
      <c r="B88" s="529">
        <v>23</v>
      </c>
      <c r="C88" s="55" t="s">
        <v>10</v>
      </c>
      <c r="D88" s="993">
        <f t="shared" si="20"/>
        <v>126958.91286097126</v>
      </c>
      <c r="E88" s="883">
        <f>'pom1 - Přerozdělení IP'!Q13</f>
        <v>23836</v>
      </c>
      <c r="F88" s="530">
        <f t="shared" si="21"/>
        <v>103122.91286097126</v>
      </c>
      <c r="G88" s="647">
        <f>'pom1 - Přerozdělení IP'!H13+'pom1 - Přerozdělení IP'!N13</f>
        <v>102922.91286097126</v>
      </c>
      <c r="H88" s="481">
        <f>'pom1 - Přerozdělení IP'!M13</f>
        <v>200</v>
      </c>
      <c r="I88" s="649"/>
      <c r="J88" s="533"/>
      <c r="K88" s="527">
        <f t="shared" si="22"/>
        <v>121976.68929596167</v>
      </c>
      <c r="L88" s="530">
        <v>25349</v>
      </c>
      <c r="M88" s="647">
        <v>96627.68929596167</v>
      </c>
      <c r="N88" s="903"/>
      <c r="O88" s="124"/>
      <c r="P88" s="1125">
        <f>'Rozdělení IRP'!E10</f>
        <v>4601</v>
      </c>
      <c r="Q88" s="1126">
        <f>'Rozdělení IRP'!E34</f>
        <v>1022.4802250357135</v>
      </c>
      <c r="R88" s="124"/>
      <c r="S88" s="285"/>
      <c r="W88" s="557"/>
      <c r="X88" s="49"/>
    </row>
    <row r="89" spans="1:24" s="672" customFormat="1" ht="12.75">
      <c r="A89" s="314">
        <v>58</v>
      </c>
      <c r="B89" s="529">
        <v>31</v>
      </c>
      <c r="C89" s="55" t="s">
        <v>11</v>
      </c>
      <c r="D89" s="993">
        <f t="shared" si="20"/>
        <v>437082.9184434177</v>
      </c>
      <c r="E89" s="883">
        <f>'pom1 - Přerozdělení IP'!Q14</f>
        <v>176031</v>
      </c>
      <c r="F89" s="530">
        <f t="shared" si="21"/>
        <v>261051.9184434177</v>
      </c>
      <c r="G89" s="647">
        <f>'pom1 - Přerozdělení IP'!H14+'pom1 - Přerozdělení IP'!N14</f>
        <v>257351.9184434177</v>
      </c>
      <c r="H89" s="481">
        <f>'pom1 - Přerozdělení IP'!M14</f>
        <v>3700</v>
      </c>
      <c r="I89" s="649"/>
      <c r="J89" s="533"/>
      <c r="K89" s="527">
        <f t="shared" si="22"/>
        <v>417661.1204387611</v>
      </c>
      <c r="L89" s="530">
        <v>184327</v>
      </c>
      <c r="M89" s="647">
        <v>233334.12043876108</v>
      </c>
      <c r="N89" s="903"/>
      <c r="O89" s="124"/>
      <c r="P89" s="1125">
        <f>'Rozdělení IRP'!E11</f>
        <v>14605</v>
      </c>
      <c r="Q89" s="1126">
        <f>'Rozdělení IRP'!E35</f>
        <v>2590.7240730208227</v>
      </c>
      <c r="R89" s="124"/>
      <c r="S89" s="285"/>
      <c r="W89" s="557"/>
      <c r="X89" s="49"/>
    </row>
    <row r="90" spans="1:24" s="672" customFormat="1" ht="12.75">
      <c r="A90" s="314">
        <v>59</v>
      </c>
      <c r="B90" s="529">
        <v>33</v>
      </c>
      <c r="C90" s="55" t="s">
        <v>12</v>
      </c>
      <c r="D90" s="993">
        <f t="shared" si="20"/>
        <v>156752.4268850804</v>
      </c>
      <c r="E90" s="883">
        <f>'pom1 - Přerozdělení IP'!Q15</f>
        <v>27729</v>
      </c>
      <c r="F90" s="530">
        <f t="shared" si="21"/>
        <v>129023.4268850804</v>
      </c>
      <c r="G90" s="647">
        <f>'pom1 - Přerozdělení IP'!H15+'pom1 - Přerozdělení IP'!N15</f>
        <v>93023.4268850804</v>
      </c>
      <c r="H90" s="481">
        <f>'pom1 - Přerozdělení IP'!M15</f>
        <v>36000</v>
      </c>
      <c r="I90" s="649"/>
      <c r="J90" s="533"/>
      <c r="K90" s="527">
        <f t="shared" si="22"/>
        <v>117535.80863551078</v>
      </c>
      <c r="L90" s="530">
        <v>24532</v>
      </c>
      <c r="M90" s="647">
        <v>93003.80863551078</v>
      </c>
      <c r="N90" s="903"/>
      <c r="O90" s="124"/>
      <c r="P90" s="1125">
        <f>'Rozdělení IRP'!E12</f>
        <v>3140</v>
      </c>
      <c r="Q90" s="1126">
        <f>'Rozdělení IRP'!E36+27000+1500</f>
        <v>29438.598284475167</v>
      </c>
      <c r="R90" s="124"/>
      <c r="S90" s="285"/>
      <c r="W90" s="557"/>
      <c r="X90" s="49"/>
    </row>
    <row r="91" spans="1:24" s="672" customFormat="1" ht="12.75">
      <c r="A91" s="314">
        <v>60</v>
      </c>
      <c r="B91" s="529">
        <v>41</v>
      </c>
      <c r="C91" s="55" t="s">
        <v>13</v>
      </c>
      <c r="D91" s="993">
        <f t="shared" si="20"/>
        <v>173041.63497467025</v>
      </c>
      <c r="E91" s="883">
        <f>'pom1 - Přerozdělení IP'!Q16</f>
        <v>26026</v>
      </c>
      <c r="F91" s="530">
        <f t="shared" si="21"/>
        <v>147015.63497467025</v>
      </c>
      <c r="G91" s="647">
        <f>'pom1 - Přerozdělení IP'!H16+'pom1 - Přerozdělení IP'!N16</f>
        <v>146215.63497467025</v>
      </c>
      <c r="H91" s="481">
        <f>'pom1 - Přerozdělení IP'!M16</f>
        <v>800</v>
      </c>
      <c r="I91" s="649"/>
      <c r="J91" s="533"/>
      <c r="K91" s="527">
        <f t="shared" si="22"/>
        <v>194488.2614727362</v>
      </c>
      <c r="L91" s="530">
        <v>28821</v>
      </c>
      <c r="M91" s="647">
        <v>165667.2614727362</v>
      </c>
      <c r="N91" s="903"/>
      <c r="O91" s="124"/>
      <c r="P91" s="1125">
        <f>'Rozdělení IRP'!E13</f>
        <v>4421</v>
      </c>
      <c r="Q91" s="1126">
        <f>'Rozdělení IRP'!E37+1000</f>
        <v>2303.917761521628</v>
      </c>
      <c r="R91" s="124"/>
      <c r="S91" s="285"/>
      <c r="W91" s="557"/>
      <c r="X91" s="49"/>
    </row>
    <row r="92" spans="1:24" s="672" customFormat="1" ht="12.75">
      <c r="A92" s="314">
        <v>61</v>
      </c>
      <c r="B92" s="529">
        <v>51</v>
      </c>
      <c r="C92" s="55" t="s">
        <v>240</v>
      </c>
      <c r="D92" s="993">
        <f t="shared" si="20"/>
        <v>70988.34915661463</v>
      </c>
      <c r="E92" s="883">
        <f>'pom1 - Přerozdělení IP'!Q17</f>
        <v>2896</v>
      </c>
      <c r="F92" s="530">
        <f t="shared" si="21"/>
        <v>68092.34915661463</v>
      </c>
      <c r="G92" s="647">
        <f>'pom1 - Přerozdělení IP'!H17+'pom1 - Přerozdělení IP'!N17</f>
        <v>67792.34915661463</v>
      </c>
      <c r="H92" s="481">
        <f>'pom1 - Přerozdělení IP'!M17</f>
        <v>300</v>
      </c>
      <c r="I92" s="649"/>
      <c r="J92" s="533"/>
      <c r="K92" s="527">
        <f t="shared" si="22"/>
        <v>70519.03551886384</v>
      </c>
      <c r="L92" s="530">
        <v>3366</v>
      </c>
      <c r="M92" s="647">
        <v>67153.03551886384</v>
      </c>
      <c r="N92" s="903"/>
      <c r="O92" s="124"/>
      <c r="P92" s="1125">
        <f>'Rozdělení IRP'!E14</f>
        <v>1693</v>
      </c>
      <c r="Q92" s="1126">
        <f>'Rozdělení IRP'!E38</f>
        <v>501.4476794097984</v>
      </c>
      <c r="R92" s="124"/>
      <c r="S92" s="285"/>
      <c r="W92" s="557"/>
      <c r="X92" s="49"/>
    </row>
    <row r="93" spans="1:24" s="672" customFormat="1" ht="12.75">
      <c r="A93" s="51">
        <v>62</v>
      </c>
      <c r="B93" s="536">
        <v>56</v>
      </c>
      <c r="C93" s="537" t="s">
        <v>15</v>
      </c>
      <c r="D93" s="992">
        <f>SUM(E93:F93)</f>
        <v>103094.54783824449</v>
      </c>
      <c r="E93" s="883">
        <f>'pom1 - Přerozdělení IP'!Q18</f>
        <v>10080</v>
      </c>
      <c r="F93" s="522">
        <f t="shared" si="21"/>
        <v>93014.54783824449</v>
      </c>
      <c r="G93" s="817">
        <f>'pom1 - Přerozdělení IP'!H18+'pom1 - Přerozdělení IP'!N18</f>
        <v>93014.54783824449</v>
      </c>
      <c r="H93" s="818">
        <f>'pom1 - Přerozdělení IP'!M18</f>
        <v>0</v>
      </c>
      <c r="I93" s="793"/>
      <c r="J93" s="553"/>
      <c r="K93" s="819">
        <f t="shared" si="22"/>
        <v>95456.67301677106</v>
      </c>
      <c r="L93" s="540">
        <v>8536</v>
      </c>
      <c r="M93" s="817">
        <v>86920.67301677106</v>
      </c>
      <c r="N93" s="904"/>
      <c r="O93" s="124"/>
      <c r="P93" s="1125">
        <f>'Rozdělení IRP'!E15</f>
        <v>3059</v>
      </c>
      <c r="Q93" s="1126">
        <f>'Rozdělení IRP'!E39</f>
        <v>881.6947392299463</v>
      </c>
      <c r="R93" s="124"/>
      <c r="S93" s="285"/>
      <c r="W93" s="557"/>
      <c r="X93" s="49"/>
    </row>
    <row r="94" spans="1:24" s="672" customFormat="1" ht="12.75">
      <c r="A94" s="752">
        <v>63</v>
      </c>
      <c r="B94" s="542" t="s">
        <v>39</v>
      </c>
      <c r="C94" s="543"/>
      <c r="D94" s="994">
        <f>SUM(D85:D93)</f>
        <v>1792047.3825986024</v>
      </c>
      <c r="E94" s="884">
        <f aca="true" t="shared" si="23" ref="E94:M94">SUM(E85:E93)</f>
        <v>396232</v>
      </c>
      <c r="F94" s="794">
        <f t="shared" si="23"/>
        <v>1395815.3825986024</v>
      </c>
      <c r="G94" s="820">
        <f t="shared" si="23"/>
        <v>1354715.3825986027</v>
      </c>
      <c r="H94" s="795">
        <f t="shared" si="23"/>
        <v>41100</v>
      </c>
      <c r="I94" s="1001">
        <f t="shared" si="23"/>
        <v>0</v>
      </c>
      <c r="J94" s="1000">
        <f t="shared" si="23"/>
        <v>0</v>
      </c>
      <c r="K94" s="721">
        <f t="shared" si="23"/>
        <v>1759229.9678538232</v>
      </c>
      <c r="L94" s="558">
        <f t="shared" si="23"/>
        <v>419581</v>
      </c>
      <c r="M94" s="915">
        <f t="shared" si="23"/>
        <v>1339648.9678538232</v>
      </c>
      <c r="N94" s="922">
        <v>0</v>
      </c>
      <c r="O94" s="124"/>
      <c r="P94" s="1127">
        <f>SUM(P85:P93)</f>
        <v>52267</v>
      </c>
      <c r="Q94" s="1128">
        <f>SUM(Q85:Q93)</f>
        <v>42325</v>
      </c>
      <c r="R94" s="124"/>
      <c r="S94" s="285"/>
      <c r="W94" s="557"/>
      <c r="X94" s="49"/>
    </row>
    <row r="95" spans="1:24" s="672" customFormat="1" ht="12.75">
      <c r="A95" s="51">
        <v>64</v>
      </c>
      <c r="B95" s="476">
        <v>71</v>
      </c>
      <c r="C95" s="55" t="s">
        <v>236</v>
      </c>
      <c r="D95" s="995">
        <f>SUM(E95:F95)</f>
        <v>49612.637401397325</v>
      </c>
      <c r="E95" s="883">
        <f>'pom1 - Přerozdělení IP'!Q20</f>
        <v>41057</v>
      </c>
      <c r="F95" s="546">
        <f>SUM(G95:I95)</f>
        <v>8555.637401397324</v>
      </c>
      <c r="G95" s="812">
        <f>'pom1 - Přerozdělení IP'!H20+'pom1 - Přerozdělení IP'!N20</f>
        <v>6555.637401397324</v>
      </c>
      <c r="H95" s="556">
        <f>'pom1 - Přerozdělení IP'!M20</f>
        <v>2000</v>
      </c>
      <c r="I95" s="525"/>
      <c r="J95" s="526"/>
      <c r="K95" s="527">
        <f>SUM(L95:N95)</f>
        <v>46209.43214617672</v>
      </c>
      <c r="L95" s="891">
        <v>40953</v>
      </c>
      <c r="M95" s="920">
        <v>5256.432146176716</v>
      </c>
      <c r="N95" s="548"/>
      <c r="O95" s="124"/>
      <c r="P95" s="1129">
        <f>'Rozdělení IRP'!E17</f>
        <v>4999</v>
      </c>
      <c r="Q95" s="1130"/>
      <c r="R95" s="124"/>
      <c r="S95" s="285"/>
      <c r="W95" s="557"/>
      <c r="X95" s="49"/>
    </row>
    <row r="96" spans="1:24" s="672" customFormat="1" ht="12.75">
      <c r="A96" s="314">
        <v>65</v>
      </c>
      <c r="B96" s="476">
        <v>79</v>
      </c>
      <c r="C96" s="55" t="s">
        <v>308</v>
      </c>
      <c r="D96" s="993">
        <f aca="true" t="shared" si="24" ref="D96:D105">SUM(E96:F96)</f>
        <v>1800</v>
      </c>
      <c r="E96" s="883">
        <f>'pom1 - Přerozdělení IP'!Q21</f>
        <v>0</v>
      </c>
      <c r="F96" s="546">
        <f aca="true" t="shared" si="25" ref="F96:F105">SUM(G96:I96)</f>
        <v>1800</v>
      </c>
      <c r="G96" s="647">
        <f>'pom1 - Přerozdělení IP'!H21+'pom1 - Přerozdělení IP'!N21</f>
        <v>0</v>
      </c>
      <c r="H96" s="652">
        <f>'pom1 - Přerozdělení IP'!M21</f>
        <v>1800</v>
      </c>
      <c r="I96" s="532"/>
      <c r="J96" s="533"/>
      <c r="K96" s="527">
        <f aca="true" t="shared" si="26" ref="K96:K106">SUM(L96:N96)</f>
        <v>1500</v>
      </c>
      <c r="L96" s="546">
        <v>0</v>
      </c>
      <c r="M96" s="648">
        <v>1500</v>
      </c>
      <c r="N96" s="549"/>
      <c r="O96" s="124"/>
      <c r="P96" s="1131"/>
      <c r="Q96" s="1132"/>
      <c r="R96" s="124"/>
      <c r="S96" s="285"/>
      <c r="W96" s="557"/>
      <c r="X96" s="49"/>
    </row>
    <row r="97" spans="1:24" s="672" customFormat="1" ht="12.75">
      <c r="A97" s="314">
        <v>66</v>
      </c>
      <c r="B97" s="476">
        <v>81</v>
      </c>
      <c r="C97" s="55" t="s">
        <v>71</v>
      </c>
      <c r="D97" s="993">
        <f t="shared" si="24"/>
        <v>0</v>
      </c>
      <c r="E97" s="883">
        <f>'pom1 - Přerozdělení IP'!Q22</f>
        <v>0</v>
      </c>
      <c r="F97" s="546">
        <f t="shared" si="25"/>
        <v>0</v>
      </c>
      <c r="G97" s="647">
        <f>'pom1 - Přerozdělení IP'!H22+'pom1 - Přerozdělení IP'!N22</f>
        <v>0</v>
      </c>
      <c r="H97" s="652">
        <f>'pom1 - Přerozdělení IP'!M22</f>
        <v>0</v>
      </c>
      <c r="I97" s="649"/>
      <c r="J97" s="533"/>
      <c r="K97" s="527">
        <f t="shared" si="26"/>
        <v>0</v>
      </c>
      <c r="L97" s="546">
        <v>0</v>
      </c>
      <c r="M97" s="648">
        <v>0</v>
      </c>
      <c r="N97" s="549"/>
      <c r="O97" s="124"/>
      <c r="P97" s="1125"/>
      <c r="Q97" s="1126"/>
      <c r="R97" s="124"/>
      <c r="S97" s="285"/>
      <c r="W97" s="557"/>
      <c r="X97" s="49"/>
    </row>
    <row r="98" spans="1:24" s="672" customFormat="1" ht="12.75">
      <c r="A98" s="314">
        <v>67</v>
      </c>
      <c r="B98" s="476">
        <v>82</v>
      </c>
      <c r="C98" s="55" t="s">
        <v>1</v>
      </c>
      <c r="D98" s="993">
        <f t="shared" si="24"/>
        <v>10648</v>
      </c>
      <c r="E98" s="883">
        <f>'pom1 - Přerozdělení IP'!Q23</f>
        <v>0</v>
      </c>
      <c r="F98" s="546">
        <f t="shared" si="25"/>
        <v>10648</v>
      </c>
      <c r="G98" s="647">
        <f>'pom1 - Přerozdělení IP'!H23+'pom1 - Přerozdělení IP'!N23</f>
        <v>0</v>
      </c>
      <c r="H98" s="652">
        <f>'pom1 - Přerozdělení IP'!M23</f>
        <v>10648</v>
      </c>
      <c r="I98" s="649"/>
      <c r="J98" s="533"/>
      <c r="K98" s="527">
        <f t="shared" si="26"/>
        <v>10966</v>
      </c>
      <c r="L98" s="546">
        <v>0</v>
      </c>
      <c r="M98" s="648">
        <v>10966</v>
      </c>
      <c r="N98" s="549"/>
      <c r="O98" s="124"/>
      <c r="P98" s="1125"/>
      <c r="Q98" s="1126"/>
      <c r="R98" s="124"/>
      <c r="S98" s="285"/>
      <c r="W98" s="557"/>
      <c r="X98" s="49"/>
    </row>
    <row r="99" spans="1:24" s="672" customFormat="1" ht="12.75">
      <c r="A99" s="314">
        <v>68</v>
      </c>
      <c r="B99" s="476">
        <v>83</v>
      </c>
      <c r="C99" s="55" t="s">
        <v>83</v>
      </c>
      <c r="D99" s="993">
        <f t="shared" si="24"/>
        <v>8804</v>
      </c>
      <c r="E99" s="883">
        <f>'pom1 - Přerozdělení IP'!Q24</f>
        <v>0</v>
      </c>
      <c r="F99" s="546">
        <f t="shared" si="25"/>
        <v>8804</v>
      </c>
      <c r="G99" s="647">
        <f>'pom1 - Přerozdělení IP'!H24+'pom1 - Přerozdělení IP'!N24</f>
        <v>6700</v>
      </c>
      <c r="H99" s="652">
        <f>'pom1 - Přerozdělení IP'!M24</f>
        <v>2104</v>
      </c>
      <c r="I99" s="649"/>
      <c r="J99" s="533"/>
      <c r="K99" s="527">
        <f t="shared" si="26"/>
        <v>8804</v>
      </c>
      <c r="L99" s="546">
        <v>0</v>
      </c>
      <c r="M99" s="648">
        <v>8804</v>
      </c>
      <c r="N99" s="549"/>
      <c r="O99" s="124"/>
      <c r="P99" s="1125"/>
      <c r="Q99" s="1126"/>
      <c r="R99" s="124"/>
      <c r="S99" s="285"/>
      <c r="W99" s="557"/>
      <c r="X99" s="49"/>
    </row>
    <row r="100" spans="1:24" s="672" customFormat="1" ht="12.75">
      <c r="A100" s="314">
        <v>69</v>
      </c>
      <c r="B100" s="476">
        <v>84</v>
      </c>
      <c r="C100" s="55" t="s">
        <v>82</v>
      </c>
      <c r="D100" s="993">
        <f t="shared" si="24"/>
        <v>3363</v>
      </c>
      <c r="E100" s="883">
        <f>'pom1 - Přerozdělení IP'!Q25</f>
        <v>353</v>
      </c>
      <c r="F100" s="546">
        <f t="shared" si="25"/>
        <v>3010</v>
      </c>
      <c r="G100" s="647">
        <f>'pom1 - Přerozdělení IP'!H25+'pom1 - Přerozdělení IP'!N25</f>
        <v>3000</v>
      </c>
      <c r="H100" s="652">
        <f>'pom1 - Přerozdělení IP'!M25</f>
        <v>10</v>
      </c>
      <c r="I100" s="649"/>
      <c r="J100" s="533"/>
      <c r="K100" s="527">
        <f t="shared" si="26"/>
        <v>2623</v>
      </c>
      <c r="L100" s="546">
        <v>297</v>
      </c>
      <c r="M100" s="648">
        <v>2326</v>
      </c>
      <c r="N100" s="549"/>
      <c r="O100" s="124"/>
      <c r="P100" s="1125">
        <v>3525</v>
      </c>
      <c r="Q100" s="1126">
        <v>3900</v>
      </c>
      <c r="R100" s="124"/>
      <c r="S100" s="285"/>
      <c r="W100" s="557"/>
      <c r="X100" s="49"/>
    </row>
    <row r="101" spans="1:24" s="672" customFormat="1" ht="12.75">
      <c r="A101" s="314">
        <v>70</v>
      </c>
      <c r="B101" s="476">
        <v>85</v>
      </c>
      <c r="C101" s="55" t="s">
        <v>106</v>
      </c>
      <c r="D101" s="993">
        <f>SUM(E101:F101)</f>
        <v>612</v>
      </c>
      <c r="E101" s="883">
        <f>'pom1 - Přerozdělení IP'!Q26</f>
        <v>612</v>
      </c>
      <c r="F101" s="546">
        <f t="shared" si="25"/>
        <v>0</v>
      </c>
      <c r="G101" s="647">
        <f>'pom1 - Přerozdělení IP'!H26+'pom1 - Přerozdělení IP'!N26</f>
        <v>0</v>
      </c>
      <c r="H101" s="652">
        <f>'pom1 - Přerozdělení IP'!M26</f>
        <v>0</v>
      </c>
      <c r="I101" s="649"/>
      <c r="J101" s="533"/>
      <c r="K101" s="527">
        <f t="shared" si="26"/>
        <v>271</v>
      </c>
      <c r="L101" s="546">
        <v>271</v>
      </c>
      <c r="M101" s="648">
        <v>0</v>
      </c>
      <c r="N101" s="549"/>
      <c r="O101" s="124"/>
      <c r="P101" s="1125"/>
      <c r="Q101" s="1126"/>
      <c r="R101" s="124"/>
      <c r="S101" s="285"/>
      <c r="W101" s="557"/>
      <c r="X101" s="49"/>
    </row>
    <row r="102" spans="1:24" s="672" customFormat="1" ht="12.75">
      <c r="A102" s="314">
        <v>71</v>
      </c>
      <c r="B102" s="476">
        <v>87</v>
      </c>
      <c r="C102" s="55" t="s">
        <v>135</v>
      </c>
      <c r="D102" s="993">
        <f t="shared" si="24"/>
        <v>9118.84</v>
      </c>
      <c r="E102" s="883">
        <f>'pom1 - Přerozdělení IP'!Q27</f>
        <v>3981</v>
      </c>
      <c r="F102" s="546">
        <f t="shared" si="25"/>
        <v>5137.84</v>
      </c>
      <c r="G102" s="647">
        <f>'pom1 - Přerozdělení IP'!H27+'pom1 - Přerozdělení IP'!N27</f>
        <v>5097.84</v>
      </c>
      <c r="H102" s="652">
        <f>'pom1 - Přerozdělení IP'!M27</f>
        <v>40</v>
      </c>
      <c r="I102" s="649"/>
      <c r="J102" s="533"/>
      <c r="K102" s="527">
        <f t="shared" si="26"/>
        <v>1999</v>
      </c>
      <c r="L102" s="546">
        <v>608</v>
      </c>
      <c r="M102" s="648">
        <v>1391</v>
      </c>
      <c r="N102" s="549"/>
      <c r="O102" s="124"/>
      <c r="P102" s="1125">
        <v>1000</v>
      </c>
      <c r="Q102" s="1126">
        <v>1000</v>
      </c>
      <c r="R102" s="124"/>
      <c r="S102" s="285"/>
      <c r="W102" s="557"/>
      <c r="X102" s="49"/>
    </row>
    <row r="103" spans="1:24" s="672" customFormat="1" ht="12.75">
      <c r="A103" s="314">
        <v>72</v>
      </c>
      <c r="B103" s="476">
        <v>92</v>
      </c>
      <c r="C103" s="55" t="s">
        <v>17</v>
      </c>
      <c r="D103" s="993">
        <f t="shared" si="24"/>
        <v>140067</v>
      </c>
      <c r="E103" s="883">
        <f>'pom1 - Přerozdělení IP'!Q28</f>
        <v>45480</v>
      </c>
      <c r="F103" s="546">
        <f t="shared" si="25"/>
        <v>94587</v>
      </c>
      <c r="G103" s="647">
        <f>'pom1 - Přerozdělení IP'!H28+'pom1 - Přerozdělení IP'!N28</f>
        <v>64018.02</v>
      </c>
      <c r="H103" s="652">
        <f>'pom1 - Přerozdělení IP'!M28</f>
        <v>30568.98</v>
      </c>
      <c r="I103" s="649"/>
      <c r="J103" s="533"/>
      <c r="K103" s="527">
        <f t="shared" si="26"/>
        <v>133535.76</v>
      </c>
      <c r="L103" s="546">
        <v>38684</v>
      </c>
      <c r="M103" s="648">
        <v>94851.76</v>
      </c>
      <c r="N103" s="549"/>
      <c r="O103" s="124"/>
      <c r="P103" s="1125">
        <f>'Rozdělení IRP'!E18</f>
        <v>311</v>
      </c>
      <c r="Q103" s="1126">
        <v>1000</v>
      </c>
      <c r="R103" s="124"/>
      <c r="S103" s="285"/>
      <c r="W103" s="557"/>
      <c r="X103" s="49"/>
    </row>
    <row r="104" spans="1:24" s="672" customFormat="1" ht="12.75">
      <c r="A104" s="314">
        <v>73</v>
      </c>
      <c r="B104" s="476">
        <v>96</v>
      </c>
      <c r="C104" s="55" t="s">
        <v>24</v>
      </c>
      <c r="D104" s="993">
        <f t="shared" si="24"/>
        <v>32495</v>
      </c>
      <c r="E104" s="883">
        <f>'pom1 - Přerozdělení IP'!Q29</f>
        <v>469</v>
      </c>
      <c r="F104" s="546">
        <f t="shared" si="25"/>
        <v>32026</v>
      </c>
      <c r="G104" s="647">
        <f>'pom1 - Přerozdělení IP'!H29+'pom1 - Přerozdělení IP'!N29</f>
        <v>32000</v>
      </c>
      <c r="H104" s="652">
        <f>'pom1 - Přerozdělení IP'!M29</f>
        <v>26</v>
      </c>
      <c r="I104" s="649"/>
      <c r="J104" s="533"/>
      <c r="K104" s="527">
        <f t="shared" si="26"/>
        <v>32447</v>
      </c>
      <c r="L104" s="546">
        <v>406</v>
      </c>
      <c r="M104" s="648">
        <v>32041</v>
      </c>
      <c r="N104" s="549"/>
      <c r="O104" s="124"/>
      <c r="P104" s="1125"/>
      <c r="Q104" s="1126"/>
      <c r="R104" s="124"/>
      <c r="S104" s="285"/>
      <c r="W104" s="557"/>
      <c r="X104" s="49"/>
    </row>
    <row r="105" spans="1:24" s="672" customFormat="1" ht="12.75">
      <c r="A105" s="314">
        <v>74</v>
      </c>
      <c r="B105" s="476">
        <v>97</v>
      </c>
      <c r="C105" s="55" t="s">
        <v>25</v>
      </c>
      <c r="D105" s="996">
        <f t="shared" si="24"/>
        <v>9650</v>
      </c>
      <c r="E105" s="883">
        <f>'pom1 - Přerozdělení IP'!Q30</f>
        <v>0</v>
      </c>
      <c r="F105" s="546">
        <f t="shared" si="25"/>
        <v>9650</v>
      </c>
      <c r="G105" s="647">
        <f>'pom1 - Přerozdělení IP'!H30+'pom1 - Přerozdělení IP'!N30</f>
        <v>9450</v>
      </c>
      <c r="H105" s="652">
        <f>'pom1 - Přerozdělení IP'!M30</f>
        <v>200</v>
      </c>
      <c r="I105" s="649"/>
      <c r="J105" s="533"/>
      <c r="K105" s="527">
        <f t="shared" si="26"/>
        <v>9650</v>
      </c>
      <c r="L105" s="546">
        <v>0</v>
      </c>
      <c r="M105" s="648">
        <v>9650</v>
      </c>
      <c r="N105" s="549"/>
      <c r="O105" s="124"/>
      <c r="P105" s="1125">
        <v>23159</v>
      </c>
      <c r="Q105" s="1126">
        <v>19900</v>
      </c>
      <c r="R105" s="124"/>
      <c r="S105" s="285"/>
      <c r="W105" s="557"/>
      <c r="X105" s="49"/>
    </row>
    <row r="106" spans="1:24" s="672" customFormat="1" ht="12.75">
      <c r="A106" s="753">
        <v>75</v>
      </c>
      <c r="B106" s="551">
        <v>99</v>
      </c>
      <c r="C106" s="537" t="s">
        <v>85</v>
      </c>
      <c r="D106" s="997">
        <f>SUM(E106:F106,J106)</f>
        <v>206991.14000000004</v>
      </c>
      <c r="E106" s="883">
        <f>'pom1 - Přerozdělení IP'!Q31</f>
        <v>43553</v>
      </c>
      <c r="F106" s="546">
        <f>SUM(G106:I106)</f>
        <v>115497.13999999993</v>
      </c>
      <c r="G106" s="813">
        <f>'pom1 - Přerozdělení IP'!H31+'pom1 - Přerozdělení IP'!N31</f>
        <v>26174.939999999922</v>
      </c>
      <c r="H106" s="814">
        <f>'pom1 - Přerozdělení IP'!M31+'pom1 - Přerozdělení IP'!L35-I106</f>
        <v>71822.2</v>
      </c>
      <c r="I106" s="650">
        <f>'pom1 - Přerozdělení IP'!M35</f>
        <v>17500</v>
      </c>
      <c r="J106" s="539">
        <f>J69</f>
        <v>47941.00000000012</v>
      </c>
      <c r="K106" s="527">
        <f t="shared" si="26"/>
        <v>206308.84</v>
      </c>
      <c r="L106" s="547">
        <v>37325</v>
      </c>
      <c r="M106" s="921">
        <v>133806.84</v>
      </c>
      <c r="N106" s="923">
        <f>N69</f>
        <v>35177</v>
      </c>
      <c r="O106" s="124"/>
      <c r="P106" s="1129">
        <f>2500+13000+19548</f>
        <v>35048</v>
      </c>
      <c r="Q106" s="1130">
        <v>29796</v>
      </c>
      <c r="R106" s="124"/>
      <c r="S106" s="285"/>
      <c r="W106" s="557"/>
      <c r="X106" s="49"/>
    </row>
    <row r="107" spans="1:24" s="672" customFormat="1" ht="12.75">
      <c r="A107" s="752">
        <v>76</v>
      </c>
      <c r="B107" s="504" t="s">
        <v>639</v>
      </c>
      <c r="C107" s="804"/>
      <c r="D107" s="994">
        <f>SUM(D95:D106)</f>
        <v>473161.6174013973</v>
      </c>
      <c r="E107" s="885">
        <f aca="true" t="shared" si="27" ref="E107:N107">SUM(E95:E106)</f>
        <v>135505</v>
      </c>
      <c r="F107" s="831">
        <f t="shared" si="27"/>
        <v>289715.6174013972</v>
      </c>
      <c r="G107" s="830">
        <f t="shared" si="27"/>
        <v>152996.43740139724</v>
      </c>
      <c r="H107" s="805">
        <f>SUM(H95:H106)</f>
        <v>119219.18</v>
      </c>
      <c r="I107" s="886">
        <f t="shared" si="27"/>
        <v>17500</v>
      </c>
      <c r="J107" s="887">
        <f t="shared" si="27"/>
        <v>47941.00000000012</v>
      </c>
      <c r="K107" s="807">
        <f t="shared" si="27"/>
        <v>454314.03214617673</v>
      </c>
      <c r="L107" s="889">
        <f t="shared" si="27"/>
        <v>118544</v>
      </c>
      <c r="M107" s="888">
        <f t="shared" si="27"/>
        <v>300593.0321461767</v>
      </c>
      <c r="N107" s="924">
        <f t="shared" si="27"/>
        <v>35177</v>
      </c>
      <c r="O107" s="671"/>
      <c r="P107" s="1133">
        <f>SUM(P95:P106)</f>
        <v>68042</v>
      </c>
      <c r="Q107" s="1134">
        <f>SUM(Q95:Q106)</f>
        <v>55596</v>
      </c>
      <c r="R107" s="764"/>
      <c r="S107" s="285"/>
      <c r="W107" s="557"/>
      <c r="X107" s="557"/>
    </row>
    <row r="108" spans="1:24" s="672" customFormat="1" ht="13.5" thickBot="1">
      <c r="A108" s="927">
        <v>77</v>
      </c>
      <c r="B108" s="935" t="s">
        <v>694</v>
      </c>
      <c r="C108" s="798"/>
      <c r="D108" s="998">
        <f>SUM(E108:F108)</f>
        <v>147751</v>
      </c>
      <c r="E108" s="799">
        <v>0</v>
      </c>
      <c r="F108" s="547">
        <f>SUM(G108:I108)</f>
        <v>147751</v>
      </c>
      <c r="G108" s="800"/>
      <c r="H108" s="801">
        <f>H71</f>
        <v>147751</v>
      </c>
      <c r="I108" s="799">
        <v>0</v>
      </c>
      <c r="J108" s="802"/>
      <c r="K108" s="803">
        <f>K71</f>
        <v>179862</v>
      </c>
      <c r="L108" s="799">
        <v>0</v>
      </c>
      <c r="M108" s="800">
        <f>M71</f>
        <v>179862</v>
      </c>
      <c r="N108" s="925"/>
      <c r="O108" s="671"/>
      <c r="P108" s="1129"/>
      <c r="Q108" s="1130"/>
      <c r="R108" s="764"/>
      <c r="S108" s="285"/>
      <c r="W108" s="557"/>
      <c r="X108" s="557"/>
    </row>
    <row r="109" spans="1:25" s="672" customFormat="1" ht="13.5" thickBot="1">
      <c r="A109" s="318">
        <v>78</v>
      </c>
      <c r="B109" s="505" t="s">
        <v>35</v>
      </c>
      <c r="C109" s="494"/>
      <c r="D109" s="999">
        <f>D94+D107+D108</f>
        <v>2412960</v>
      </c>
      <c r="E109" s="580">
        <f aca="true" t="shared" si="28" ref="E109:N109">E94+E107+E108</f>
        <v>531737</v>
      </c>
      <c r="F109" s="890">
        <f>H109+I109+G109</f>
        <v>1833281.9999999998</v>
      </c>
      <c r="G109" s="796">
        <f t="shared" si="28"/>
        <v>1507711.8199999998</v>
      </c>
      <c r="H109" s="796">
        <f t="shared" si="28"/>
        <v>308070.18</v>
      </c>
      <c r="I109" s="796">
        <f t="shared" si="28"/>
        <v>17500</v>
      </c>
      <c r="J109" s="797">
        <f t="shared" si="28"/>
        <v>47941.00000000012</v>
      </c>
      <c r="K109" s="854">
        <f t="shared" si="28"/>
        <v>2393406</v>
      </c>
      <c r="L109" s="879">
        <f t="shared" si="28"/>
        <v>538125</v>
      </c>
      <c r="M109" s="580">
        <f t="shared" si="28"/>
        <v>1820104</v>
      </c>
      <c r="N109" s="855">
        <f t="shared" si="28"/>
        <v>35177</v>
      </c>
      <c r="O109" s="124"/>
      <c r="P109" s="1135">
        <f>P94+P107</f>
        <v>120309</v>
      </c>
      <c r="Q109" s="1136">
        <f>Q94+Q107</f>
        <v>97921</v>
      </c>
      <c r="R109" s="285"/>
      <c r="S109" s="285"/>
      <c r="W109" s="557"/>
      <c r="X109" s="557"/>
      <c r="Y109" s="49"/>
    </row>
    <row r="110" spans="1:24" s="1092" customFormat="1" ht="15">
      <c r="A110" s="1145"/>
      <c r="B110" s="1085"/>
      <c r="C110" s="1085"/>
      <c r="D110" s="1086"/>
      <c r="E110" s="1574">
        <f>E109+F109</f>
        <v>2365019</v>
      </c>
      <c r="F110" s="1587"/>
      <c r="G110" s="1569">
        <f>SUM(G109:I109)</f>
        <v>1833281.9999999998</v>
      </c>
      <c r="H110" s="1570"/>
      <c r="I110" s="1571"/>
      <c r="J110" s="1087"/>
      <c r="K110" s="1087"/>
      <c r="L110" s="1574">
        <f>SUM(L109:M109)</f>
        <v>2358229</v>
      </c>
      <c r="M110" s="1575"/>
      <c r="N110" s="1089"/>
      <c r="O110" s="1089"/>
      <c r="P110" s="1146"/>
      <c r="Q110" s="1146"/>
      <c r="R110" s="1089"/>
      <c r="S110" s="1089"/>
      <c r="W110" s="1085"/>
      <c r="X110" s="1090"/>
    </row>
    <row r="111" spans="1:21" ht="12.75">
      <c r="A111" s="557" t="s">
        <v>40</v>
      </c>
      <c r="D111" s="124"/>
      <c r="F111" s="124"/>
      <c r="G111" s="124"/>
      <c r="H111" s="671">
        <f>H94+H107+I107</f>
        <v>177819.18</v>
      </c>
      <c r="I111" s="1156">
        <f>G107+H109+I109</f>
        <v>478566.6174013972</v>
      </c>
      <c r="J111" s="124">
        <f>I111+J107</f>
        <v>526507.6174013973</v>
      </c>
      <c r="N111" s="124"/>
      <c r="O111" s="124"/>
      <c r="P111" s="124"/>
      <c r="Q111" s="124"/>
      <c r="R111" s="124"/>
      <c r="S111" s="1089"/>
      <c r="T111" s="124"/>
      <c r="U111" s="124"/>
    </row>
    <row r="112" spans="1:21" ht="12.75">
      <c r="A112" s="49" t="s">
        <v>41</v>
      </c>
      <c r="C112" s="49" t="s">
        <v>265</v>
      </c>
      <c r="G112" s="124"/>
      <c r="H112" s="124"/>
      <c r="N112" s="124"/>
      <c r="O112" s="124"/>
      <c r="P112" s="124"/>
      <c r="Q112" s="124"/>
      <c r="R112" s="124"/>
      <c r="S112" s="1089"/>
      <c r="T112" s="124"/>
      <c r="U112" s="124"/>
    </row>
    <row r="113" spans="1:19" ht="12.75">
      <c r="A113" s="49" t="s">
        <v>192</v>
      </c>
      <c r="C113" s="49" t="s">
        <v>174</v>
      </c>
      <c r="G113" s="124"/>
      <c r="J113" s="124"/>
      <c r="S113" s="1089"/>
    </row>
    <row r="114" spans="1:20" ht="12.75">
      <c r="A114" s="49" t="s">
        <v>72</v>
      </c>
      <c r="C114" s="49" t="s">
        <v>669</v>
      </c>
      <c r="R114" s="124"/>
      <c r="S114" s="1089"/>
      <c r="T114" s="124"/>
    </row>
    <row r="115" spans="3:20" ht="12.75">
      <c r="C115" s="457"/>
      <c r="R115" s="124"/>
      <c r="S115" s="1089"/>
      <c r="T115" s="124"/>
    </row>
    <row r="116" spans="1:20" ht="12.75">
      <c r="A116" s="60" t="s">
        <v>695</v>
      </c>
      <c r="B116" s="60"/>
      <c r="C116" s="60"/>
      <c r="D116" s="49" t="s">
        <v>137</v>
      </c>
      <c r="E116" s="49" t="s">
        <v>138</v>
      </c>
      <c r="H116" s="54"/>
      <c r="I116" s="54"/>
      <c r="J116" s="54"/>
      <c r="K116" s="54"/>
      <c r="L116" s="54"/>
      <c r="R116" s="124"/>
      <c r="S116" s="1089"/>
      <c r="T116" s="124"/>
    </row>
    <row r="117" spans="1:20" ht="12.75">
      <c r="A117" s="60"/>
      <c r="E117" s="676"/>
      <c r="F117" s="677"/>
      <c r="G117" s="559"/>
      <c r="J117" s="49" t="s">
        <v>140</v>
      </c>
      <c r="R117" s="124"/>
      <c r="S117" s="124"/>
      <c r="T117" s="124"/>
    </row>
    <row r="118" spans="5:20" ht="12.75">
      <c r="E118" s="559"/>
      <c r="G118" s="559"/>
      <c r="R118" s="124"/>
      <c r="S118" s="124"/>
      <c r="T118" s="124"/>
    </row>
    <row r="119" spans="5:20" ht="12.75">
      <c r="E119" s="559" t="s">
        <v>139</v>
      </c>
      <c r="G119" s="559"/>
      <c r="H119" s="54"/>
      <c r="I119" s="54"/>
      <c r="J119" s="54"/>
      <c r="K119" s="54"/>
      <c r="L119" s="54"/>
      <c r="R119" s="124"/>
      <c r="S119" s="124"/>
      <c r="T119" s="124"/>
    </row>
    <row r="120" spans="5:20" ht="12.75">
      <c r="E120" s="676"/>
      <c r="F120" s="677"/>
      <c r="G120" s="559"/>
      <c r="J120" s="49" t="s">
        <v>140</v>
      </c>
      <c r="R120" s="124"/>
      <c r="S120" s="124"/>
      <c r="T120" s="124"/>
    </row>
    <row r="121" spans="6:20" ht="12.75">
      <c r="F121" s="559"/>
      <c r="G121" s="559"/>
      <c r="R121" s="124"/>
      <c r="S121" s="124"/>
      <c r="T121" s="124"/>
    </row>
    <row r="122" spans="6:20" ht="12.75">
      <c r="F122" s="559"/>
      <c r="G122" s="559"/>
      <c r="R122" s="124"/>
      <c r="S122" s="124"/>
      <c r="T122" s="124"/>
    </row>
    <row r="123" spans="18:20" ht="12.75">
      <c r="R123" s="124"/>
      <c r="S123" s="124"/>
      <c r="T123" s="124"/>
    </row>
    <row r="124" spans="18:20" ht="12.75">
      <c r="R124" s="124"/>
      <c r="S124" s="124"/>
      <c r="T124" s="124"/>
    </row>
    <row r="125" spans="18:20" ht="12.75">
      <c r="R125" s="124"/>
      <c r="S125" s="124"/>
      <c r="T125" s="124"/>
    </row>
    <row r="126" spans="18:20" ht="12.75">
      <c r="R126" s="124"/>
      <c r="S126" s="124"/>
      <c r="T126" s="124"/>
    </row>
    <row r="127" spans="18:20" ht="12.75">
      <c r="R127" s="124"/>
      <c r="S127" s="124"/>
      <c r="T127" s="124"/>
    </row>
    <row r="128" spans="18:20" ht="12.75">
      <c r="R128" s="124"/>
      <c r="S128" s="124"/>
      <c r="T128" s="124"/>
    </row>
    <row r="129" spans="18:20" ht="12.75">
      <c r="R129" s="124"/>
      <c r="S129" s="124"/>
      <c r="T129" s="124"/>
    </row>
    <row r="130" spans="18:20" ht="12.75">
      <c r="R130" s="124"/>
      <c r="S130" s="124"/>
      <c r="T130" s="124"/>
    </row>
    <row r="131" spans="18:20" ht="12.75">
      <c r="R131" s="124"/>
      <c r="S131" s="124"/>
      <c r="T131" s="124"/>
    </row>
    <row r="132" spans="18:20" ht="12.75">
      <c r="R132" s="124"/>
      <c r="S132" s="124"/>
      <c r="T132" s="124"/>
    </row>
  </sheetData>
  <sheetProtection/>
  <mergeCells count="24">
    <mergeCell ref="L110:M110"/>
    <mergeCell ref="I5:J5"/>
    <mergeCell ref="D43:J43"/>
    <mergeCell ref="I40:J40"/>
    <mergeCell ref="L73:M73"/>
    <mergeCell ref="E110:F110"/>
    <mergeCell ref="G110:I110"/>
    <mergeCell ref="G82:I82"/>
    <mergeCell ref="K80:N80"/>
    <mergeCell ref="D80:J80"/>
    <mergeCell ref="H75:I75"/>
    <mergeCell ref="E74:H74"/>
    <mergeCell ref="L44:N44"/>
    <mergeCell ref="L81:N81"/>
    <mergeCell ref="E40:F40"/>
    <mergeCell ref="E81:I81"/>
    <mergeCell ref="D4:G4"/>
    <mergeCell ref="H4:K4"/>
    <mergeCell ref="E5:F5"/>
    <mergeCell ref="G73:I73"/>
    <mergeCell ref="G45:I45"/>
    <mergeCell ref="E73:F73"/>
    <mergeCell ref="E44:I44"/>
    <mergeCell ref="K43:N43"/>
  </mergeCells>
  <printOptions/>
  <pageMargins left="0.5511811023622047" right="0.31496062992125984" top="0.5905511811023623" bottom="0.1968503937007874" header="0.5118110236220472" footer="0.1968503937007874"/>
  <pageSetup horizontalDpi="600" verticalDpi="600" orientation="landscape" paperSize="9" scale="85" r:id="rId1"/>
  <headerFooter alignWithMargins="0">
    <oddFooter>&amp;C&amp;9 6 - 8&amp;10
</oddFooter>
  </headerFooter>
  <rowBreaks count="2" manualBreakCount="2">
    <brk id="41" max="255" man="1"/>
    <brk id="7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K41"/>
  <sheetViews>
    <sheetView showGridLines="0" zoomScalePageLayoutView="0" workbookViewId="0" topLeftCell="A1">
      <selection activeCell="F31" sqref="F31"/>
    </sheetView>
  </sheetViews>
  <sheetFormatPr defaultColWidth="9.00390625" defaultRowHeight="12.75"/>
  <cols>
    <col min="1" max="1" width="20.25390625" style="0" customWidth="1"/>
    <col min="2" max="2" width="10.875" style="0" customWidth="1"/>
    <col min="3" max="3" width="10.375" style="0" customWidth="1"/>
    <col min="4" max="4" width="12.00390625" style="0" customWidth="1"/>
    <col min="5" max="5" width="10.25390625" style="0" customWidth="1"/>
    <col min="6" max="6" width="10.75390625" style="0" customWidth="1"/>
    <col min="7" max="7" width="11.00390625" style="0" customWidth="1"/>
    <col min="8" max="8" width="3.625" style="0" customWidth="1"/>
    <col min="9" max="9" width="13.25390625" style="0" hidden="1" customWidth="1"/>
    <col min="10" max="10" width="11.25390625" style="0" hidden="1" customWidth="1"/>
    <col min="11" max="11" width="9.875" style="0" hidden="1" customWidth="1"/>
  </cols>
  <sheetData>
    <row r="1" spans="1:3" ht="15.75">
      <c r="A1" s="836" t="s">
        <v>435</v>
      </c>
      <c r="C1" s="985">
        <f>C2+B32+C32</f>
        <v>1833281.94</v>
      </c>
    </row>
    <row r="2" spans="1:3" ht="12.75">
      <c r="A2" t="s">
        <v>693</v>
      </c>
      <c r="C2" s="838">
        <v>147751</v>
      </c>
    </row>
    <row r="3" spans="1:3" ht="12.75">
      <c r="A3" s="982"/>
      <c r="C3" s="983"/>
    </row>
    <row r="4" spans="1:3" ht="12.75">
      <c r="A4" s="982" t="s">
        <v>436</v>
      </c>
      <c r="C4" s="984">
        <f>F32+G32</f>
        <v>120308</v>
      </c>
    </row>
    <row r="5" spans="1:3" ht="12.75">
      <c r="A5" s="982" t="s">
        <v>437</v>
      </c>
      <c r="C5" s="984">
        <f>E32</f>
        <v>47941</v>
      </c>
    </row>
    <row r="6" spans="1:3" ht="12.75">
      <c r="A6" s="808" t="s">
        <v>184</v>
      </c>
      <c r="C6" s="842">
        <f>D32</f>
        <v>531737</v>
      </c>
    </row>
    <row r="7" spans="1:3" ht="12.75">
      <c r="A7" s="808"/>
      <c r="B7" s="1015"/>
      <c r="C7" s="810"/>
    </row>
    <row r="8" spans="1:3" ht="13.5" thickBot="1">
      <c r="A8" s="808"/>
      <c r="B8" s="1015"/>
      <c r="C8" s="810"/>
    </row>
    <row r="9" spans="1:11" ht="12.75">
      <c r="A9" s="1017"/>
      <c r="B9" s="1588" t="s">
        <v>467</v>
      </c>
      <c r="C9" s="1589"/>
      <c r="D9" s="1018" t="s">
        <v>184</v>
      </c>
      <c r="E9" s="1018" t="s">
        <v>447</v>
      </c>
      <c r="F9" s="1018" t="s">
        <v>468</v>
      </c>
      <c r="G9" s="1019" t="s">
        <v>463</v>
      </c>
      <c r="I9" s="124" t="s">
        <v>671</v>
      </c>
      <c r="J9" s="124"/>
      <c r="K9" s="557"/>
    </row>
    <row r="10" spans="1:11" ht="15">
      <c r="A10" s="1020"/>
      <c r="B10" s="837" t="s">
        <v>438</v>
      </c>
      <c r="C10" s="837" t="s">
        <v>445</v>
      </c>
      <c r="D10" s="837" t="s">
        <v>446</v>
      </c>
      <c r="E10" s="837" t="s">
        <v>672</v>
      </c>
      <c r="F10" s="837" t="s">
        <v>444</v>
      </c>
      <c r="G10" s="1021" t="s">
        <v>464</v>
      </c>
      <c r="I10" s="820">
        <v>1111</v>
      </c>
      <c r="J10" s="1137">
        <v>1112</v>
      </c>
      <c r="K10" s="1141">
        <v>2112</v>
      </c>
    </row>
    <row r="11" spans="1:11" ht="12.75">
      <c r="A11" s="1022" t="s">
        <v>7</v>
      </c>
      <c r="B11" s="986">
        <v>243677</v>
      </c>
      <c r="C11" s="986"/>
      <c r="D11" s="986">
        <v>57039</v>
      </c>
      <c r="E11" s="986"/>
      <c r="F11" s="986">
        <v>9212</v>
      </c>
      <c r="G11" s="1023"/>
      <c r="I11" s="1138">
        <f>'rozpis pro rozpocet'!G85</f>
        <v>243677.369658556</v>
      </c>
      <c r="J11" s="1139">
        <f>'rozpis pro rozpocet'!H85</f>
        <v>0</v>
      </c>
      <c r="K11" s="1142">
        <f>'rozpis pro rozpocet'!E85</f>
        <v>57039</v>
      </c>
    </row>
    <row r="12" spans="1:11" ht="12.75">
      <c r="A12" s="1022" t="s">
        <v>8</v>
      </c>
      <c r="B12" s="986">
        <v>259088</v>
      </c>
      <c r="C12" s="986">
        <v>100</v>
      </c>
      <c r="D12" s="986">
        <v>52409</v>
      </c>
      <c r="E12" s="986"/>
      <c r="F12" s="986">
        <v>8631</v>
      </c>
      <c r="G12" s="1023"/>
      <c r="I12" s="1138">
        <f>'rozpis pro rozpocet'!G86</f>
        <v>259088.13421428445</v>
      </c>
      <c r="J12" s="1139">
        <f>'rozpis pro rozpocet'!H86</f>
        <v>100</v>
      </c>
      <c r="K12" s="1142">
        <f>'rozpis pro rozpocet'!E86</f>
        <v>52409</v>
      </c>
    </row>
    <row r="13" spans="1:11" ht="12.75">
      <c r="A13" s="1022" t="s">
        <v>9</v>
      </c>
      <c r="B13" s="986">
        <v>91629</v>
      </c>
      <c r="C13" s="986"/>
      <c r="D13" s="986">
        <v>20186</v>
      </c>
      <c r="E13" s="986"/>
      <c r="F13" s="986">
        <v>2905</v>
      </c>
      <c r="G13" s="1023"/>
      <c r="I13" s="1140">
        <f>'rozpis pro rozpocet'!G87</f>
        <v>91629.08856676349</v>
      </c>
      <c r="J13" s="1139">
        <f>'rozpis pro rozpocet'!H87</f>
        <v>0</v>
      </c>
      <c r="K13" s="1142">
        <f>'rozpis pro rozpocet'!E87</f>
        <v>20186</v>
      </c>
    </row>
    <row r="14" spans="1:11" ht="12.75">
      <c r="A14" s="1022" t="s">
        <v>10</v>
      </c>
      <c r="B14" s="986">
        <v>102923</v>
      </c>
      <c r="C14" s="986">
        <v>200</v>
      </c>
      <c r="D14" s="986">
        <v>23836</v>
      </c>
      <c r="E14" s="986"/>
      <c r="F14" s="986">
        <v>4601</v>
      </c>
      <c r="G14" s="1023"/>
      <c r="I14" s="1138">
        <f>'rozpis pro rozpocet'!G88</f>
        <v>102922.91286097126</v>
      </c>
      <c r="J14" s="1139">
        <f>'rozpis pro rozpocet'!H88</f>
        <v>200</v>
      </c>
      <c r="K14" s="1142">
        <f>'rozpis pro rozpocet'!E88</f>
        <v>23836</v>
      </c>
    </row>
    <row r="15" spans="1:11" ht="12.75">
      <c r="A15" s="1022" t="s">
        <v>11</v>
      </c>
      <c r="B15" s="986">
        <v>257352</v>
      </c>
      <c r="C15" s="986">
        <v>3700</v>
      </c>
      <c r="D15" s="986">
        <v>176031</v>
      </c>
      <c r="E15" s="986"/>
      <c r="F15" s="986">
        <v>14605</v>
      </c>
      <c r="G15" s="1023"/>
      <c r="I15" s="1138">
        <f>'rozpis pro rozpocet'!G89</f>
        <v>257351.9184434177</v>
      </c>
      <c r="J15" s="1139">
        <f>'rozpis pro rozpocet'!H89</f>
        <v>3700</v>
      </c>
      <c r="K15" s="1142">
        <f>'rozpis pro rozpocet'!E89</f>
        <v>176031</v>
      </c>
    </row>
    <row r="16" spans="1:11" ht="12.75">
      <c r="A16" s="1022" t="s">
        <v>12</v>
      </c>
      <c r="B16" s="986">
        <v>93023</v>
      </c>
      <c r="C16" s="986">
        <v>36000</v>
      </c>
      <c r="D16" s="986">
        <v>27729</v>
      </c>
      <c r="E16" s="986"/>
      <c r="F16" s="986">
        <v>3140</v>
      </c>
      <c r="G16" s="1023"/>
      <c r="I16" s="1138">
        <f>'rozpis pro rozpocet'!G90</f>
        <v>93023.4268850804</v>
      </c>
      <c r="J16" s="1139">
        <f>'rozpis pro rozpocet'!H90</f>
        <v>36000</v>
      </c>
      <c r="K16" s="1142">
        <f>'rozpis pro rozpocet'!E90</f>
        <v>27729</v>
      </c>
    </row>
    <row r="17" spans="1:11" ht="12.75">
      <c r="A17" s="1022" t="s">
        <v>13</v>
      </c>
      <c r="B17" s="986">
        <v>146216</v>
      </c>
      <c r="C17" s="986">
        <v>800</v>
      </c>
      <c r="D17" s="986">
        <v>26026</v>
      </c>
      <c r="E17" s="986"/>
      <c r="F17" s="986">
        <v>4421</v>
      </c>
      <c r="G17" s="1023"/>
      <c r="I17" s="1138">
        <f>'rozpis pro rozpocet'!G91</f>
        <v>146215.63497467025</v>
      </c>
      <c r="J17" s="1139">
        <f>'rozpis pro rozpocet'!H91</f>
        <v>800</v>
      </c>
      <c r="K17" s="1142">
        <f>'rozpis pro rozpocet'!E91</f>
        <v>26026</v>
      </c>
    </row>
    <row r="18" spans="1:11" ht="12.75">
      <c r="A18" s="1022" t="s">
        <v>14</v>
      </c>
      <c r="B18" s="986">
        <v>67792</v>
      </c>
      <c r="C18" s="986">
        <v>300</v>
      </c>
      <c r="D18" s="986">
        <v>2896</v>
      </c>
      <c r="E18" s="986"/>
      <c r="F18" s="986">
        <v>1693</v>
      </c>
      <c r="G18" s="1023"/>
      <c r="I18" s="1138">
        <f>'rozpis pro rozpocet'!G92</f>
        <v>67792.34915661463</v>
      </c>
      <c r="J18" s="1139">
        <f>'rozpis pro rozpocet'!H92</f>
        <v>300</v>
      </c>
      <c r="K18" s="1142">
        <f>'rozpis pro rozpocet'!E92</f>
        <v>2896</v>
      </c>
    </row>
    <row r="19" spans="1:11" ht="12.75">
      <c r="A19" s="1022" t="s">
        <v>15</v>
      </c>
      <c r="B19" s="986">
        <v>93015</v>
      </c>
      <c r="C19" s="986"/>
      <c r="D19" s="986">
        <v>10080</v>
      </c>
      <c r="E19" s="986"/>
      <c r="F19" s="986">
        <v>3059</v>
      </c>
      <c r="G19" s="1023"/>
      <c r="I19" s="1138">
        <f>'rozpis pro rozpocet'!G93</f>
        <v>93014.54783824449</v>
      </c>
      <c r="J19" s="1139">
        <f>'rozpis pro rozpocet'!H93</f>
        <v>0</v>
      </c>
      <c r="K19" s="1142">
        <f>'rozpis pro rozpocet'!E93</f>
        <v>10080</v>
      </c>
    </row>
    <row r="20" spans="1:11" ht="12.75">
      <c r="A20" s="1022" t="s">
        <v>236</v>
      </c>
      <c r="B20" s="986">
        <v>6556</v>
      </c>
      <c r="C20" s="986">
        <v>2000</v>
      </c>
      <c r="D20" s="986">
        <v>41057</v>
      </c>
      <c r="E20" s="986"/>
      <c r="F20" s="986">
        <v>4999</v>
      </c>
      <c r="G20" s="1023"/>
      <c r="I20" s="1138">
        <f>'rozpis pro rozpocet'!G95</f>
        <v>6555.637401397324</v>
      </c>
      <c r="J20" s="1139">
        <f>'rozpis pro rozpocet'!H95</f>
        <v>2000</v>
      </c>
      <c r="K20" s="1142">
        <f>'rozpis pro rozpocet'!E95</f>
        <v>41057</v>
      </c>
    </row>
    <row r="21" spans="1:11" ht="12.75">
      <c r="A21" s="1022" t="s">
        <v>308</v>
      </c>
      <c r="B21" s="986"/>
      <c r="C21" s="986">
        <v>1800</v>
      </c>
      <c r="D21" s="986"/>
      <c r="E21" s="986"/>
      <c r="F21" s="986"/>
      <c r="G21" s="1023"/>
      <c r="I21" s="1138">
        <f>'rozpis pro rozpocet'!G96</f>
        <v>0</v>
      </c>
      <c r="J21" s="1139">
        <f>'rozpis pro rozpocet'!H96</f>
        <v>1800</v>
      </c>
      <c r="K21" s="1142">
        <f>'rozpis pro rozpocet'!E96</f>
        <v>0</v>
      </c>
    </row>
    <row r="22" spans="1:11" ht="12.75">
      <c r="A22" s="1022" t="s">
        <v>71</v>
      </c>
      <c r="B22" s="986"/>
      <c r="C22" s="986"/>
      <c r="D22" s="986"/>
      <c r="E22" s="986"/>
      <c r="F22" s="986"/>
      <c r="G22" s="1023"/>
      <c r="I22" s="1138">
        <f>'rozpis pro rozpocet'!G97</f>
        <v>0</v>
      </c>
      <c r="J22" s="1139">
        <f>'rozpis pro rozpocet'!H97</f>
        <v>0</v>
      </c>
      <c r="K22" s="1142">
        <f>'rozpis pro rozpocet'!E97</f>
        <v>0</v>
      </c>
    </row>
    <row r="23" spans="1:11" ht="12.75">
      <c r="A23" s="1022" t="s">
        <v>1</v>
      </c>
      <c r="B23" s="986"/>
      <c r="C23" s="986">
        <v>10648</v>
      </c>
      <c r="D23" s="986"/>
      <c r="E23" s="986"/>
      <c r="F23" s="986"/>
      <c r="G23" s="1023"/>
      <c r="I23" s="1138">
        <f>'rozpis pro rozpocet'!G98</f>
        <v>0</v>
      </c>
      <c r="J23" s="1139">
        <f>'rozpis pro rozpocet'!H98</f>
        <v>10648</v>
      </c>
      <c r="K23" s="1142">
        <f>'rozpis pro rozpocet'!E98</f>
        <v>0</v>
      </c>
    </row>
    <row r="24" spans="1:11" ht="12.75">
      <c r="A24" s="1022" t="s">
        <v>83</v>
      </c>
      <c r="B24" s="986">
        <v>6700</v>
      </c>
      <c r="C24" s="986">
        <v>2104</v>
      </c>
      <c r="D24" s="986"/>
      <c r="E24" s="986"/>
      <c r="F24" s="986"/>
      <c r="G24" s="1023"/>
      <c r="I24" s="1138">
        <f>'rozpis pro rozpocet'!G99</f>
        <v>6700</v>
      </c>
      <c r="J24" s="1139">
        <f>'rozpis pro rozpocet'!H99</f>
        <v>2104</v>
      </c>
      <c r="K24" s="1142">
        <f>'rozpis pro rozpocet'!E99</f>
        <v>0</v>
      </c>
    </row>
    <row r="25" spans="1:11" ht="12.75">
      <c r="A25" s="1022" t="s">
        <v>82</v>
      </c>
      <c r="B25" s="986">
        <v>3000</v>
      </c>
      <c r="C25" s="986">
        <v>10</v>
      </c>
      <c r="D25" s="986">
        <v>353</v>
      </c>
      <c r="E25" s="986"/>
      <c r="F25" s="986">
        <v>3525</v>
      </c>
      <c r="G25" s="1023"/>
      <c r="I25" s="1138">
        <f>'rozpis pro rozpocet'!G100</f>
        <v>3000</v>
      </c>
      <c r="J25" s="1139">
        <f>'rozpis pro rozpocet'!H100</f>
        <v>10</v>
      </c>
      <c r="K25" s="1142">
        <f>'rozpis pro rozpocet'!E100</f>
        <v>353</v>
      </c>
    </row>
    <row r="26" spans="1:11" ht="12.75">
      <c r="A26" s="1022" t="s">
        <v>106</v>
      </c>
      <c r="B26" s="986"/>
      <c r="C26" s="986"/>
      <c r="D26" s="986">
        <v>612</v>
      </c>
      <c r="E26" s="986"/>
      <c r="F26" s="986"/>
      <c r="G26" s="1023"/>
      <c r="I26" s="1138">
        <f>'rozpis pro rozpocet'!G101</f>
        <v>0</v>
      </c>
      <c r="J26" s="1139">
        <f>'rozpis pro rozpocet'!H101</f>
        <v>0</v>
      </c>
      <c r="K26" s="1142">
        <f>'rozpis pro rozpocet'!E101</f>
        <v>612</v>
      </c>
    </row>
    <row r="27" spans="1:11" ht="12.75">
      <c r="A27" s="1022" t="s">
        <v>135</v>
      </c>
      <c r="B27" s="986">
        <v>5098</v>
      </c>
      <c r="C27" s="986">
        <v>40</v>
      </c>
      <c r="D27" s="986">
        <v>3981</v>
      </c>
      <c r="E27" s="986"/>
      <c r="F27" s="986">
        <v>1000</v>
      </c>
      <c r="G27" s="1023"/>
      <c r="I27" s="1138">
        <f>'rozpis pro rozpocet'!G102</f>
        <v>5097.84</v>
      </c>
      <c r="J27" s="1139">
        <f>'rozpis pro rozpocet'!H102</f>
        <v>40</v>
      </c>
      <c r="K27" s="1142">
        <f>'rozpis pro rozpocet'!E102</f>
        <v>3981</v>
      </c>
    </row>
    <row r="28" spans="1:11" ht="12.75">
      <c r="A28" s="1022" t="s">
        <v>17</v>
      </c>
      <c r="B28" s="986">
        <v>64018</v>
      </c>
      <c r="C28" s="986">
        <v>30569</v>
      </c>
      <c r="D28" s="986">
        <v>45480</v>
      </c>
      <c r="E28" s="986"/>
      <c r="F28" s="986">
        <v>311</v>
      </c>
      <c r="G28" s="1023"/>
      <c r="I28" s="1138">
        <f>'rozpis pro rozpocet'!G103</f>
        <v>64018.02</v>
      </c>
      <c r="J28" s="1139">
        <f>'rozpis pro rozpocet'!H103</f>
        <v>30568.98</v>
      </c>
      <c r="K28" s="1142">
        <f>'rozpis pro rozpocet'!E103</f>
        <v>45480</v>
      </c>
    </row>
    <row r="29" spans="1:11" ht="12.75">
      <c r="A29" s="1022" t="s">
        <v>24</v>
      </c>
      <c r="B29" s="986">
        <v>32000</v>
      </c>
      <c r="C29" s="986">
        <v>26</v>
      </c>
      <c r="D29" s="986">
        <v>469</v>
      </c>
      <c r="E29" s="986"/>
      <c r="F29" s="986"/>
      <c r="G29" s="1023"/>
      <c r="I29" s="1138">
        <f>'rozpis pro rozpocet'!G104</f>
        <v>32000</v>
      </c>
      <c r="J29" s="1139">
        <f>'rozpis pro rozpocet'!H104</f>
        <v>26</v>
      </c>
      <c r="K29" s="1142">
        <f>'rozpis pro rozpocet'!E104</f>
        <v>469</v>
      </c>
    </row>
    <row r="30" spans="1:11" ht="12.75">
      <c r="A30" s="1022" t="s">
        <v>25</v>
      </c>
      <c r="B30" s="986">
        <v>9450</v>
      </c>
      <c r="C30" s="986">
        <v>200</v>
      </c>
      <c r="D30" s="986"/>
      <c r="E30" s="986"/>
      <c r="F30" s="986">
        <v>23159</v>
      </c>
      <c r="G30" s="1023"/>
      <c r="I30" s="1138">
        <f>'rozpis pro rozpocet'!G105</f>
        <v>9450</v>
      </c>
      <c r="J30" s="1139">
        <f>'rozpis pro rozpocet'!H105</f>
        <v>200</v>
      </c>
      <c r="K30" s="1142">
        <f>'rozpis pro rozpocet'!E105</f>
        <v>0</v>
      </c>
    </row>
    <row r="31" spans="1:11" ht="12.75">
      <c r="A31" s="1022" t="s">
        <v>18</v>
      </c>
      <c r="B31" s="986">
        <v>26174.939999999922</v>
      </c>
      <c r="C31" s="986">
        <v>89322</v>
      </c>
      <c r="D31" s="986">
        <v>43553</v>
      </c>
      <c r="E31" s="987">
        <v>47941</v>
      </c>
      <c r="F31" s="986">
        <f>35048-G31-1</f>
        <v>22047</v>
      </c>
      <c r="G31" s="1023">
        <v>13000</v>
      </c>
      <c r="I31" s="1138">
        <f>'rozpis pro rozpocet'!G106</f>
        <v>26174.939999999922</v>
      </c>
      <c r="J31" s="1139">
        <f>'rozpis pro rozpocet'!H106+'rozpis pro rozpocet'!I106</f>
        <v>89322.2</v>
      </c>
      <c r="K31" s="1142">
        <f>'rozpis pro rozpocet'!E106</f>
        <v>43553</v>
      </c>
    </row>
    <row r="32" spans="1:11" ht="13.5" thickBot="1">
      <c r="A32" s="1024" t="s">
        <v>206</v>
      </c>
      <c r="B32" s="1025">
        <f aca="true" t="shared" si="0" ref="B32:G32">SUM(B11:B31)</f>
        <v>1507711.94</v>
      </c>
      <c r="C32" s="1025">
        <f>SUM(C11:C31)</f>
        <v>177819</v>
      </c>
      <c r="D32" s="1025">
        <f t="shared" si="0"/>
        <v>531737</v>
      </c>
      <c r="E32" s="1025">
        <f t="shared" si="0"/>
        <v>47941</v>
      </c>
      <c r="F32" s="1025">
        <f t="shared" si="0"/>
        <v>107308</v>
      </c>
      <c r="G32" s="1026">
        <f t="shared" si="0"/>
        <v>13000</v>
      </c>
      <c r="I32" s="1525">
        <f>SUM(I11:I31)</f>
        <v>1507711.82</v>
      </c>
      <c r="J32" s="1525">
        <f>SUM(J11:J31)</f>
        <v>177819.18</v>
      </c>
      <c r="K32" s="1525">
        <f>SUM(K11:K31)</f>
        <v>531737</v>
      </c>
    </row>
    <row r="34" spans="1:7" ht="12.75">
      <c r="A34" s="1002" t="s">
        <v>448</v>
      </c>
      <c r="B34" s="986">
        <f>SUM(B35:B38)</f>
        <v>26174.939999999922</v>
      </c>
      <c r="C34" s="986">
        <f>SUM(C35:C38)</f>
        <v>89322</v>
      </c>
      <c r="D34" s="986">
        <f>SUM(D35:D38)</f>
        <v>43553</v>
      </c>
      <c r="E34" s="986">
        <f>SUM(E35:E38)</f>
        <v>47941</v>
      </c>
      <c r="F34" s="986">
        <f>SUM(F35:F38)</f>
        <v>22047</v>
      </c>
      <c r="G34" s="986">
        <f>G31</f>
        <v>13000</v>
      </c>
    </row>
    <row r="35" spans="1:9" ht="12.75">
      <c r="A35" s="1003" t="s">
        <v>465</v>
      </c>
      <c r="B35" s="1004"/>
      <c r="C35" s="1004"/>
      <c r="D35" s="1004">
        <v>16000</v>
      </c>
      <c r="E35" s="1004"/>
      <c r="F35" s="1004"/>
      <c r="G35" s="1004"/>
      <c r="I35" s="124"/>
    </row>
    <row r="36" spans="1:7" ht="12.75">
      <c r="A36" s="1003" t="s">
        <v>466</v>
      </c>
      <c r="B36" s="1004"/>
      <c r="C36" s="1004"/>
      <c r="D36" s="1004"/>
      <c r="E36" s="1004"/>
      <c r="F36" s="1004"/>
      <c r="G36" s="1004">
        <f>G31</f>
        <v>13000</v>
      </c>
    </row>
    <row r="37" spans="1:7" ht="12.75">
      <c r="A37" s="1003" t="s">
        <v>674</v>
      </c>
      <c r="B37" s="1004"/>
      <c r="C37" s="1004">
        <v>17500</v>
      </c>
      <c r="D37" s="1004"/>
      <c r="E37" s="1004"/>
      <c r="F37" s="1004"/>
      <c r="G37" s="1004"/>
    </row>
    <row r="38" spans="1:7" ht="12.75">
      <c r="A38" s="1003" t="s">
        <v>675</v>
      </c>
      <c r="B38" s="1004">
        <f>B31</f>
        <v>26174.939999999922</v>
      </c>
      <c r="C38" s="1004">
        <f>C31-C37</f>
        <v>71822</v>
      </c>
      <c r="D38" s="1004">
        <f>D31-D35</f>
        <v>27553</v>
      </c>
      <c r="E38" s="1004">
        <f>E31-E35</f>
        <v>47941</v>
      </c>
      <c r="F38" s="1004">
        <f>F31-F35</f>
        <v>22047</v>
      </c>
      <c r="G38" s="1004">
        <f>G34-G36</f>
        <v>0</v>
      </c>
    </row>
    <row r="41" ht="12.75">
      <c r="A41" s="1016" t="s">
        <v>670</v>
      </c>
    </row>
  </sheetData>
  <sheetProtection/>
  <mergeCells count="1">
    <mergeCell ref="B9:C9"/>
  </mergeCells>
  <printOptions/>
  <pageMargins left="0.7" right="0.7" top="0.787401575" bottom="0.787401575" header="0.3" footer="0.3"/>
  <pageSetup horizontalDpi="600" verticalDpi="600" orientation="landscape" paperSize="9" scale="91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89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D26" sqref="D26"/>
    </sheetView>
  </sheetViews>
  <sheetFormatPr defaultColWidth="11.375" defaultRowHeight="12" customHeight="1" outlineLevelRow="1" outlineLevelCol="1"/>
  <cols>
    <col min="1" max="2" width="5.25390625" style="1185" customWidth="1"/>
    <col min="3" max="3" width="9.625" style="1186" customWidth="1"/>
    <col min="4" max="4" width="43.375" style="1173" customWidth="1"/>
    <col min="5" max="8" width="9.375" style="1445" hidden="1" customWidth="1" outlineLevel="1"/>
    <col min="9" max="9" width="10.625" style="1445" customWidth="1" collapsed="1"/>
    <col min="10" max="10" width="8.75390625" style="1485" hidden="1" customWidth="1"/>
    <col min="11" max="12" width="8.625" style="1486" hidden="1" customWidth="1"/>
    <col min="13" max="13" width="6.75390625" style="1185" hidden="1" customWidth="1"/>
    <col min="14" max="14" width="7.375" style="1484" hidden="1" customWidth="1"/>
    <col min="15" max="15" width="40.25390625" style="1179" hidden="1" customWidth="1"/>
    <col min="16" max="16384" width="11.375" style="1173" customWidth="1"/>
  </cols>
  <sheetData>
    <row r="1" spans="1:14" ht="15.75">
      <c r="A1" s="1170" t="s">
        <v>573</v>
      </c>
      <c r="B1" s="1171"/>
      <c r="C1" s="1172"/>
      <c r="E1" s="1174"/>
      <c r="F1" s="1174"/>
      <c r="G1" s="1174"/>
      <c r="H1" s="1174"/>
      <c r="I1" s="1174"/>
      <c r="J1" s="1175"/>
      <c r="K1" s="1176"/>
      <c r="L1" s="1176"/>
      <c r="M1" s="1177"/>
      <c r="N1" s="1178"/>
    </row>
    <row r="2" spans="1:14" ht="12" customHeight="1">
      <c r="A2" s="1180" t="s">
        <v>679</v>
      </c>
      <c r="B2" s="1181"/>
      <c r="C2" s="1182"/>
      <c r="D2" s="1176"/>
      <c r="E2" s="1183"/>
      <c r="F2" s="1183"/>
      <c r="G2" s="1183"/>
      <c r="H2" s="1183"/>
      <c r="I2" s="1183"/>
      <c r="J2" s="1175"/>
      <c r="K2" s="1176"/>
      <c r="L2" s="1176"/>
      <c r="M2" s="1176"/>
      <c r="N2" s="1184"/>
    </row>
    <row r="3" spans="5:14" ht="12" customHeight="1" thickBot="1">
      <c r="E3" s="1187"/>
      <c r="F3" s="1187"/>
      <c r="G3" s="1187"/>
      <c r="H3" s="1187"/>
      <c r="I3" s="1188"/>
      <c r="J3" s="1175"/>
      <c r="K3" s="1176"/>
      <c r="L3" s="1176"/>
      <c r="M3" s="1189"/>
      <c r="N3" s="1189"/>
    </row>
    <row r="4" spans="1:14" ht="12" customHeight="1">
      <c r="A4" s="1190"/>
      <c r="B4" s="1191"/>
      <c r="C4" s="1192"/>
      <c r="D4" s="1193"/>
      <c r="E4" s="1194" t="s">
        <v>26</v>
      </c>
      <c r="F4" s="1194" t="s">
        <v>26</v>
      </c>
      <c r="G4" s="1195" t="s">
        <v>26</v>
      </c>
      <c r="H4" s="1196" t="s">
        <v>219</v>
      </c>
      <c r="I4" s="1197" t="s">
        <v>26</v>
      </c>
      <c r="J4" s="1198" t="s">
        <v>555</v>
      </c>
      <c r="K4" s="1191" t="s">
        <v>552</v>
      </c>
      <c r="L4" s="1199" t="s">
        <v>553</v>
      </c>
      <c r="M4" s="1200"/>
      <c r="N4" s="1201"/>
    </row>
    <row r="5" spans="1:14" ht="12" customHeight="1" thickBot="1">
      <c r="A5" s="1202" t="s">
        <v>27</v>
      </c>
      <c r="B5" s="1203" t="s">
        <v>558</v>
      </c>
      <c r="C5" s="1204" t="s">
        <v>559</v>
      </c>
      <c r="D5" s="1205" t="s">
        <v>28</v>
      </c>
      <c r="E5" s="1206">
        <v>2012</v>
      </c>
      <c r="F5" s="1206">
        <v>2013</v>
      </c>
      <c r="G5" s="1207">
        <v>2014</v>
      </c>
      <c r="H5" s="1208">
        <v>2015</v>
      </c>
      <c r="I5" s="1209">
        <v>2015</v>
      </c>
      <c r="J5" s="1264">
        <f>'pom2 - Poměr VaV'!K31</f>
        <v>0.34</v>
      </c>
      <c r="K5" s="1210">
        <v>2112</v>
      </c>
      <c r="L5" s="1211">
        <v>1112</v>
      </c>
      <c r="M5" s="1212" t="s">
        <v>535</v>
      </c>
      <c r="N5" s="1213" t="s">
        <v>554</v>
      </c>
    </row>
    <row r="6" spans="1:14" ht="12" customHeight="1">
      <c r="A6" s="1214" t="s">
        <v>561</v>
      </c>
      <c r="B6" s="1215" t="s">
        <v>274</v>
      </c>
      <c r="C6" s="1216" t="s">
        <v>16</v>
      </c>
      <c r="D6" s="1217" t="s">
        <v>169</v>
      </c>
      <c r="E6" s="1218">
        <f>E7+E12+E13+E26</f>
        <v>245687</v>
      </c>
      <c r="F6" s="1218">
        <f>F7+F12+F13+F26</f>
        <v>208965</v>
      </c>
      <c r="G6" s="1219">
        <f>G7+G12+G13+G26</f>
        <v>185010</v>
      </c>
      <c r="H6" s="1220">
        <f>H7+H12+H13+H26</f>
        <v>140514</v>
      </c>
      <c r="I6" s="1219">
        <f>I7+I12+I13+I26</f>
        <v>152894</v>
      </c>
      <c r="J6" s="1221"/>
      <c r="K6" s="1222">
        <f>K7+K12+K13+K26</f>
        <v>1250.52</v>
      </c>
      <c r="L6" s="1219">
        <f>L7+L12+L13+L26</f>
        <v>151643.48</v>
      </c>
      <c r="M6" s="1220"/>
      <c r="N6" s="1219"/>
    </row>
    <row r="7" spans="1:14" ht="12" customHeight="1">
      <c r="A7" s="1223">
        <v>1</v>
      </c>
      <c r="B7" s="1224" t="s">
        <v>274</v>
      </c>
      <c r="C7" s="1225"/>
      <c r="D7" s="1226" t="s">
        <v>156</v>
      </c>
      <c r="E7" s="1227">
        <f>SUM(E9:E11)</f>
        <v>234531</v>
      </c>
      <c r="F7" s="1227">
        <f>SUM(F9:F11)</f>
        <v>204450</v>
      </c>
      <c r="G7" s="1228">
        <f aca="true" t="shared" si="0" ref="G7:L7">SUM(G8:G11)</f>
        <v>179862</v>
      </c>
      <c r="H7" s="1229">
        <f t="shared" si="0"/>
        <v>135356</v>
      </c>
      <c r="I7" s="1228">
        <f>SUM(I8:I11)</f>
        <v>144151</v>
      </c>
      <c r="J7" s="1230">
        <f t="shared" si="0"/>
        <v>0</v>
      </c>
      <c r="K7" s="1231">
        <f t="shared" si="0"/>
        <v>0</v>
      </c>
      <c r="L7" s="1228">
        <f t="shared" si="0"/>
        <v>144151</v>
      </c>
      <c r="M7" s="1229"/>
      <c r="N7" s="1231"/>
    </row>
    <row r="8" spans="1:15" ht="12" customHeight="1" outlineLevel="1">
      <c r="A8" s="1232" t="s">
        <v>147</v>
      </c>
      <c r="B8" s="1233" t="s">
        <v>274</v>
      </c>
      <c r="C8" s="1234" t="s">
        <v>560</v>
      </c>
      <c r="D8" s="1235" t="s">
        <v>99</v>
      </c>
      <c r="E8" s="1236"/>
      <c r="F8" s="1236"/>
      <c r="G8" s="1237">
        <v>0</v>
      </c>
      <c r="H8" s="1238"/>
      <c r="I8" s="1239"/>
      <c r="J8" s="1240"/>
      <c r="K8" s="1241"/>
      <c r="L8" s="1242">
        <f>I8-K8</f>
        <v>0</v>
      </c>
      <c r="M8" s="1243"/>
      <c r="N8" s="1244"/>
      <c r="O8" s="1502"/>
    </row>
    <row r="9" spans="1:15" ht="12" customHeight="1" outlineLevel="1">
      <c r="A9" s="1232" t="s">
        <v>148</v>
      </c>
      <c r="B9" s="1233" t="s">
        <v>274</v>
      </c>
      <c r="C9" s="1234" t="s">
        <v>560</v>
      </c>
      <c r="D9" s="1235" t="s">
        <v>157</v>
      </c>
      <c r="E9" s="1236">
        <v>122531</v>
      </c>
      <c r="F9" s="1236">
        <v>91450</v>
      </c>
      <c r="G9" s="1237">
        <v>41862</v>
      </c>
      <c r="H9" s="1238">
        <v>14751</v>
      </c>
      <c r="I9" s="1239">
        <v>14751</v>
      </c>
      <c r="J9" s="1240"/>
      <c r="K9" s="1241"/>
      <c r="L9" s="1242">
        <f>I9-K9</f>
        <v>14751</v>
      </c>
      <c r="M9" s="1243"/>
      <c r="N9" s="1244"/>
      <c r="O9" s="1245"/>
    </row>
    <row r="10" spans="1:15" ht="12" customHeight="1" outlineLevel="1">
      <c r="A10" s="1232" t="s">
        <v>158</v>
      </c>
      <c r="B10" s="1233" t="s">
        <v>274</v>
      </c>
      <c r="C10" s="1234" t="s">
        <v>560</v>
      </c>
      <c r="D10" s="1235" t="s">
        <v>310</v>
      </c>
      <c r="E10" s="1236">
        <v>87000</v>
      </c>
      <c r="F10" s="1236">
        <v>88000</v>
      </c>
      <c r="G10" s="1237">
        <v>88000</v>
      </c>
      <c r="H10" s="1238">
        <v>88000</v>
      </c>
      <c r="I10" s="1239">
        <v>88000</v>
      </c>
      <c r="J10" s="1240"/>
      <c r="K10" s="1241"/>
      <c r="L10" s="1242">
        <f>I10-K10</f>
        <v>88000</v>
      </c>
      <c r="M10" s="1243"/>
      <c r="N10" s="1244"/>
      <c r="O10" s="1245"/>
    </row>
    <row r="11" spans="1:15" ht="12" customHeight="1" outlineLevel="1">
      <c r="A11" s="1232" t="s">
        <v>159</v>
      </c>
      <c r="B11" s="1233" t="s">
        <v>274</v>
      </c>
      <c r="C11" s="1234" t="s">
        <v>560</v>
      </c>
      <c r="D11" s="1235" t="s">
        <v>218</v>
      </c>
      <c r="E11" s="1246">
        <v>25000</v>
      </c>
      <c r="F11" s="1246">
        <v>25000</v>
      </c>
      <c r="G11" s="1247">
        <v>50000</v>
      </c>
      <c r="H11" s="1238">
        <v>32605</v>
      </c>
      <c r="I11" s="1239">
        <v>41400</v>
      </c>
      <c r="J11" s="1240"/>
      <c r="K11" s="1241"/>
      <c r="L11" s="1242">
        <f>I11-K11</f>
        <v>41400</v>
      </c>
      <c r="M11" s="1243"/>
      <c r="N11" s="1244"/>
      <c r="O11" s="1245"/>
    </row>
    <row r="12" spans="1:15" ht="12" customHeight="1">
      <c r="A12" s="1223">
        <v>2</v>
      </c>
      <c r="B12" s="1224" t="s">
        <v>274</v>
      </c>
      <c r="C12" s="1225"/>
      <c r="D12" s="1226" t="s">
        <v>100</v>
      </c>
      <c r="E12" s="1227"/>
      <c r="F12" s="1227"/>
      <c r="G12" s="1228"/>
      <c r="H12" s="1229"/>
      <c r="I12" s="1228">
        <v>0</v>
      </c>
      <c r="J12" s="1248"/>
      <c r="K12" s="1231"/>
      <c r="L12" s="1228">
        <v>0</v>
      </c>
      <c r="M12" s="1229"/>
      <c r="N12" s="1231"/>
      <c r="O12" s="1245"/>
    </row>
    <row r="13" spans="1:15" ht="12" customHeight="1">
      <c r="A13" s="1223">
        <v>3</v>
      </c>
      <c r="B13" s="1224" t="s">
        <v>274</v>
      </c>
      <c r="C13" s="1225"/>
      <c r="D13" s="1226" t="s">
        <v>242</v>
      </c>
      <c r="E13" s="1249">
        <f>SUM(E15:E25)</f>
        <v>10156</v>
      </c>
      <c r="F13" s="1249">
        <f>SUM(F15:F25)</f>
        <v>4515</v>
      </c>
      <c r="G13" s="1250">
        <f>SUM(G14:G25)</f>
        <v>5148</v>
      </c>
      <c r="H13" s="1251">
        <f>SUM(H14:H25)</f>
        <v>5158</v>
      </c>
      <c r="I13" s="1250">
        <f>SUM(I14:I25)</f>
        <v>5143</v>
      </c>
      <c r="J13" s="1252"/>
      <c r="K13" s="1252">
        <f>SUM(K14:K25)</f>
        <v>1250.52</v>
      </c>
      <c r="L13" s="1250">
        <f>SUM(L14:L25)</f>
        <v>3892.48</v>
      </c>
      <c r="M13" s="1251"/>
      <c r="N13" s="1252"/>
      <c r="O13" s="1245"/>
    </row>
    <row r="14" spans="1:15" ht="12" customHeight="1" outlineLevel="1">
      <c r="A14" s="1253" t="s">
        <v>449</v>
      </c>
      <c r="B14" s="1233" t="s">
        <v>274</v>
      </c>
      <c r="C14" s="1234" t="s">
        <v>562</v>
      </c>
      <c r="D14" s="1254" t="s">
        <v>580</v>
      </c>
      <c r="E14" s="1255"/>
      <c r="F14" s="1255"/>
      <c r="G14" s="1256"/>
      <c r="H14" s="1257"/>
      <c r="I14" s="1258"/>
      <c r="J14" s="1240"/>
      <c r="K14" s="1241">
        <f aca="true" t="shared" si="1" ref="K14:K26">I14*J14</f>
        <v>0</v>
      </c>
      <c r="L14" s="1242">
        <f aca="true" t="shared" si="2" ref="L14:L25">I14-K14</f>
        <v>0</v>
      </c>
      <c r="M14" s="1259"/>
      <c r="N14" s="1260"/>
      <c r="O14" s="1245"/>
    </row>
    <row r="15" spans="1:15" ht="12" customHeight="1" outlineLevel="1">
      <c r="A15" s="1253" t="s">
        <v>450</v>
      </c>
      <c r="B15" s="1233" t="s">
        <v>274</v>
      </c>
      <c r="C15" s="1234" t="s">
        <v>571</v>
      </c>
      <c r="D15" s="1254" t="s">
        <v>580</v>
      </c>
      <c r="E15" s="1255"/>
      <c r="F15" s="1255"/>
      <c r="G15" s="1256"/>
      <c r="H15" s="1257"/>
      <c r="I15" s="1258"/>
      <c r="J15" s="1240"/>
      <c r="K15" s="1241">
        <f t="shared" si="1"/>
        <v>0</v>
      </c>
      <c r="L15" s="1242">
        <f t="shared" si="2"/>
        <v>0</v>
      </c>
      <c r="M15" s="1259"/>
      <c r="N15" s="1260"/>
      <c r="O15" s="1245"/>
    </row>
    <row r="16" spans="1:15" ht="12" customHeight="1" outlineLevel="1">
      <c r="A16" s="1253" t="s">
        <v>451</v>
      </c>
      <c r="B16" s="1233" t="s">
        <v>274</v>
      </c>
      <c r="C16" s="1234" t="s">
        <v>563</v>
      </c>
      <c r="D16" s="1254" t="s">
        <v>580</v>
      </c>
      <c r="E16" s="1255"/>
      <c r="F16" s="1255"/>
      <c r="G16" s="1256"/>
      <c r="H16" s="1257"/>
      <c r="I16" s="1258"/>
      <c r="J16" s="1240"/>
      <c r="K16" s="1241">
        <f t="shared" si="1"/>
        <v>0</v>
      </c>
      <c r="L16" s="1242">
        <f t="shared" si="2"/>
        <v>0</v>
      </c>
      <c r="M16" s="1259"/>
      <c r="N16" s="1260"/>
      <c r="O16" s="1245"/>
    </row>
    <row r="17" spans="1:15" ht="12" customHeight="1" outlineLevel="1">
      <c r="A17" s="1253" t="s">
        <v>452</v>
      </c>
      <c r="B17" s="1233" t="s">
        <v>274</v>
      </c>
      <c r="C17" s="1234" t="s">
        <v>572</v>
      </c>
      <c r="D17" s="1254" t="s">
        <v>580</v>
      </c>
      <c r="E17" s="1255"/>
      <c r="F17" s="1255"/>
      <c r="G17" s="1256"/>
      <c r="H17" s="1257"/>
      <c r="I17" s="1258"/>
      <c r="J17" s="1240"/>
      <c r="K17" s="1241">
        <f t="shared" si="1"/>
        <v>0</v>
      </c>
      <c r="L17" s="1242">
        <f t="shared" si="2"/>
        <v>0</v>
      </c>
      <c r="M17" s="1259"/>
      <c r="N17" s="1260"/>
      <c r="O17" s="1245"/>
    </row>
    <row r="18" spans="1:15" ht="12" customHeight="1" outlineLevel="1">
      <c r="A18" s="1253" t="s">
        <v>453</v>
      </c>
      <c r="B18" s="1233" t="s">
        <v>274</v>
      </c>
      <c r="C18" s="1234" t="s">
        <v>564</v>
      </c>
      <c r="D18" s="1254" t="s">
        <v>580</v>
      </c>
      <c r="E18" s="1255">
        <v>627</v>
      </c>
      <c r="F18" s="1255">
        <v>745</v>
      </c>
      <c r="G18" s="1256">
        <v>704</v>
      </c>
      <c r="H18" s="1261">
        <v>704</v>
      </c>
      <c r="I18" s="1258">
        <v>704</v>
      </c>
      <c r="J18" s="1240"/>
      <c r="K18" s="1241">
        <f t="shared" si="1"/>
        <v>0</v>
      </c>
      <c r="L18" s="1242">
        <f t="shared" si="2"/>
        <v>704</v>
      </c>
      <c r="M18" s="1262"/>
      <c r="N18" s="1263"/>
      <c r="O18" s="1245"/>
    </row>
    <row r="19" spans="1:15" ht="12" customHeight="1" outlineLevel="1">
      <c r="A19" s="1253" t="s">
        <v>454</v>
      </c>
      <c r="B19" s="1233" t="s">
        <v>274</v>
      </c>
      <c r="C19" s="1234" t="s">
        <v>565</v>
      </c>
      <c r="D19" s="1254" t="s">
        <v>580</v>
      </c>
      <c r="E19" s="1255">
        <v>28</v>
      </c>
      <c r="F19" s="1255">
        <v>28</v>
      </c>
      <c r="G19" s="1256">
        <v>26</v>
      </c>
      <c r="H19" s="1257">
        <v>10</v>
      </c>
      <c r="I19" s="1258">
        <v>10</v>
      </c>
      <c r="J19" s="1240"/>
      <c r="K19" s="1241">
        <f t="shared" si="1"/>
        <v>0</v>
      </c>
      <c r="L19" s="1242">
        <f t="shared" si="2"/>
        <v>10</v>
      </c>
      <c r="M19" s="1259"/>
      <c r="N19" s="1260"/>
      <c r="O19" s="1245"/>
    </row>
    <row r="20" spans="1:15" ht="12" customHeight="1" outlineLevel="1">
      <c r="A20" s="1253" t="s">
        <v>455</v>
      </c>
      <c r="B20" s="1233" t="s">
        <v>274</v>
      </c>
      <c r="C20" s="1234" t="s">
        <v>566</v>
      </c>
      <c r="D20" s="1254" t="s">
        <v>580</v>
      </c>
      <c r="E20" s="1255"/>
      <c r="F20" s="1255"/>
      <c r="G20" s="1256">
        <v>0</v>
      </c>
      <c r="H20" s="1257"/>
      <c r="I20" s="1258"/>
      <c r="J20" s="1240"/>
      <c r="K20" s="1241">
        <f t="shared" si="1"/>
        <v>0</v>
      </c>
      <c r="L20" s="1242">
        <f t="shared" si="2"/>
        <v>0</v>
      </c>
      <c r="M20" s="1259"/>
      <c r="N20" s="1260"/>
      <c r="O20" s="1245"/>
    </row>
    <row r="21" spans="1:15" ht="12" customHeight="1" outlineLevel="1">
      <c r="A21" s="1253" t="s">
        <v>456</v>
      </c>
      <c r="B21" s="1233" t="s">
        <v>274</v>
      </c>
      <c r="C21" s="1234" t="s">
        <v>567</v>
      </c>
      <c r="D21" s="1254" t="s">
        <v>580</v>
      </c>
      <c r="E21" s="1255"/>
      <c r="F21" s="1255">
        <v>97</v>
      </c>
      <c r="G21" s="1256">
        <v>99</v>
      </c>
      <c r="H21" s="1257">
        <v>125</v>
      </c>
      <c r="I21" s="1258">
        <v>125</v>
      </c>
      <c r="J21" s="1264">
        <f>J154</f>
        <v>0.68</v>
      </c>
      <c r="K21" s="1241">
        <f t="shared" si="1"/>
        <v>85</v>
      </c>
      <c r="L21" s="1242">
        <f t="shared" si="2"/>
        <v>40</v>
      </c>
      <c r="M21" s="1259"/>
      <c r="N21" s="1260"/>
      <c r="O21" s="1245" t="s">
        <v>686</v>
      </c>
    </row>
    <row r="22" spans="1:15" ht="12" customHeight="1" outlineLevel="1">
      <c r="A22" s="1253" t="s">
        <v>457</v>
      </c>
      <c r="B22" s="1233" t="s">
        <v>274</v>
      </c>
      <c r="C22" s="1234" t="s">
        <v>568</v>
      </c>
      <c r="D22" s="1254" t="s">
        <v>580</v>
      </c>
      <c r="E22" s="1255">
        <v>8457</v>
      </c>
      <c r="F22" s="1255">
        <v>2861</v>
      </c>
      <c r="G22" s="1256">
        <v>3428</v>
      </c>
      <c r="H22" s="1257">
        <v>3428</v>
      </c>
      <c r="I22" s="1258">
        <v>3428</v>
      </c>
      <c r="J22" s="1264">
        <f>$J$5</f>
        <v>0.34</v>
      </c>
      <c r="K22" s="1241">
        <f t="shared" si="1"/>
        <v>1165.52</v>
      </c>
      <c r="L22" s="1242">
        <f t="shared" si="2"/>
        <v>2262.48</v>
      </c>
      <c r="M22" s="1259"/>
      <c r="N22" s="1260"/>
      <c r="O22" s="1245" t="s">
        <v>17</v>
      </c>
    </row>
    <row r="23" spans="1:15" ht="12" customHeight="1" outlineLevel="1">
      <c r="A23" s="1253" t="s">
        <v>458</v>
      </c>
      <c r="B23" s="1233" t="s">
        <v>274</v>
      </c>
      <c r="C23" s="1234" t="s">
        <v>569</v>
      </c>
      <c r="D23" s="1254" t="s">
        <v>580</v>
      </c>
      <c r="E23" s="1265">
        <v>155</v>
      </c>
      <c r="F23" s="1265">
        <v>332</v>
      </c>
      <c r="G23" s="1266">
        <v>41</v>
      </c>
      <c r="H23" s="1261">
        <v>41</v>
      </c>
      <c r="I23" s="1258">
        <v>26</v>
      </c>
      <c r="J23" s="1240"/>
      <c r="K23" s="1241">
        <f t="shared" si="1"/>
        <v>0</v>
      </c>
      <c r="L23" s="1242">
        <f t="shared" si="2"/>
        <v>26</v>
      </c>
      <c r="M23" s="1262"/>
      <c r="N23" s="1263"/>
      <c r="O23" s="1245"/>
    </row>
    <row r="24" spans="1:15" ht="12" customHeight="1" outlineLevel="1">
      <c r="A24" s="1253" t="s">
        <v>459</v>
      </c>
      <c r="B24" s="1233" t="s">
        <v>274</v>
      </c>
      <c r="C24" s="1234" t="s">
        <v>570</v>
      </c>
      <c r="D24" s="1254" t="s">
        <v>580</v>
      </c>
      <c r="E24" s="1255">
        <v>59</v>
      </c>
      <c r="F24" s="1255">
        <v>8</v>
      </c>
      <c r="G24" s="1256">
        <v>0</v>
      </c>
      <c r="H24" s="1257"/>
      <c r="I24" s="1258"/>
      <c r="J24" s="1240"/>
      <c r="K24" s="1241">
        <f t="shared" si="1"/>
        <v>0</v>
      </c>
      <c r="L24" s="1242">
        <f t="shared" si="2"/>
        <v>0</v>
      </c>
      <c r="M24" s="1259"/>
      <c r="N24" s="1260"/>
      <c r="O24" s="1245"/>
    </row>
    <row r="25" spans="1:15" ht="12" customHeight="1" outlineLevel="1">
      <c r="A25" s="1253" t="s">
        <v>460</v>
      </c>
      <c r="B25" s="1233" t="s">
        <v>274</v>
      </c>
      <c r="C25" s="1234" t="s">
        <v>560</v>
      </c>
      <c r="D25" s="1254" t="s">
        <v>580</v>
      </c>
      <c r="E25" s="1255">
        <v>830</v>
      </c>
      <c r="F25" s="1255">
        <v>444</v>
      </c>
      <c r="G25" s="1256">
        <v>850</v>
      </c>
      <c r="H25" s="1257">
        <v>850</v>
      </c>
      <c r="I25" s="1258">
        <v>850</v>
      </c>
      <c r="J25" s="1240"/>
      <c r="K25" s="1241">
        <f t="shared" si="1"/>
        <v>0</v>
      </c>
      <c r="L25" s="1242">
        <f t="shared" si="2"/>
        <v>850</v>
      </c>
      <c r="M25" s="1259"/>
      <c r="N25" s="1260"/>
      <c r="O25" s="1245"/>
    </row>
    <row r="26" spans="1:15" s="1421" customFormat="1" ht="12" customHeight="1" thickBot="1">
      <c r="A26" s="1267">
        <v>4</v>
      </c>
      <c r="B26" s="1268" t="s">
        <v>274</v>
      </c>
      <c r="C26" s="1269" t="s">
        <v>560</v>
      </c>
      <c r="D26" s="1269" t="s">
        <v>243</v>
      </c>
      <c r="E26" s="1270">
        <v>1000</v>
      </c>
      <c r="F26" s="1270"/>
      <c r="G26" s="1271">
        <v>0</v>
      </c>
      <c r="H26" s="1272">
        <v>0</v>
      </c>
      <c r="I26" s="1273">
        <v>3600</v>
      </c>
      <c r="J26" s="1274"/>
      <c r="K26" s="1274">
        <f t="shared" si="1"/>
        <v>0</v>
      </c>
      <c r="L26" s="1271">
        <f>I26-K26</f>
        <v>3600</v>
      </c>
      <c r="M26" s="1272"/>
      <c r="N26" s="1274"/>
      <c r="O26" s="1419" t="s">
        <v>673</v>
      </c>
    </row>
    <row r="27" spans="1:14" ht="12" customHeight="1">
      <c r="A27" s="1275" t="s">
        <v>561</v>
      </c>
      <c r="B27" s="1276" t="s">
        <v>346</v>
      </c>
      <c r="C27" s="1277" t="s">
        <v>16</v>
      </c>
      <c r="D27" s="1278" t="s">
        <v>680</v>
      </c>
      <c r="E27" s="1279">
        <f>E87+E89+E92+E96+E99+E103+E105+E108+E110+E112+E119+E121+E123+E125+E143+E145</f>
        <v>143195</v>
      </c>
      <c r="F27" s="1279">
        <f>F87+F89+F92+F96+F99+F103+F105+F108+F110+F112+F119+F121+F123+F125+F143+F145</f>
        <v>157838</v>
      </c>
      <c r="G27" s="1280">
        <f>G87+G89+G92+G96+G99+G103+G105+G108+G110+G112+G119+G121+G123+G125+G143+G145</f>
        <v>160930</v>
      </c>
      <c r="H27" s="1281">
        <f>H87+H89+H92+H96+H99+H103+H105+H108+H110+H112+H119+H121+H123+H125+H143+H145</f>
        <v>205755</v>
      </c>
      <c r="I27" s="1280">
        <f>I87+I89+I92+I96+I99+I103+I105+I108+I110+I112+I119+I121+I123+I125+I143+I145</f>
        <v>193409</v>
      </c>
      <c r="J27" s="1282"/>
      <c r="K27" s="1283">
        <f>K87+K89+K92+K96+K99+K103+K105+K108+K110+K112+K119+K121+K123+K125+K143+K145</f>
        <v>19482.3</v>
      </c>
      <c r="L27" s="1284">
        <f>L87+L89+L92+L96+L99+L103+L105+L108+L110+L112+L119+L121+L123+L125+L143+L145</f>
        <v>173926.7</v>
      </c>
      <c r="M27" s="1285"/>
      <c r="N27" s="1286"/>
    </row>
    <row r="28" spans="1:15" ht="12" customHeight="1">
      <c r="A28" s="1287">
        <v>1</v>
      </c>
      <c r="B28" s="1288" t="s">
        <v>346</v>
      </c>
      <c r="C28" s="1234" t="s">
        <v>560</v>
      </c>
      <c r="D28" s="1235" t="s">
        <v>87</v>
      </c>
      <c r="E28" s="1289">
        <v>2900</v>
      </c>
      <c r="F28" s="1289">
        <v>4100</v>
      </c>
      <c r="G28" s="1237">
        <v>3800</v>
      </c>
      <c r="H28" s="1238">
        <v>4000</v>
      </c>
      <c r="I28" s="1239">
        <v>4000</v>
      </c>
      <c r="J28" s="1264">
        <f>$J$5</f>
        <v>0.34</v>
      </c>
      <c r="K28" s="1241">
        <f aca="true" t="shared" si="3" ref="K28:K80">I28*J28</f>
        <v>1360</v>
      </c>
      <c r="L28" s="1242">
        <f aca="true" t="shared" si="4" ref="L28:L68">I28-K28</f>
        <v>2640</v>
      </c>
      <c r="M28" s="1290" t="s">
        <v>651</v>
      </c>
      <c r="N28" s="1291" t="s">
        <v>220</v>
      </c>
      <c r="O28" s="1503"/>
    </row>
    <row r="29" spans="1:15" s="1187" customFormat="1" ht="12" customHeight="1">
      <c r="A29" s="1287">
        <f>A28+1</f>
        <v>2</v>
      </c>
      <c r="B29" s="1288" t="s">
        <v>346</v>
      </c>
      <c r="C29" s="1234" t="s">
        <v>560</v>
      </c>
      <c r="D29" s="1292" t="s">
        <v>86</v>
      </c>
      <c r="E29" s="1289">
        <v>800</v>
      </c>
      <c r="F29" s="1289">
        <v>1200</v>
      </c>
      <c r="G29" s="1237">
        <v>1200</v>
      </c>
      <c r="H29" s="1238">
        <v>1200</v>
      </c>
      <c r="I29" s="1239">
        <v>1500</v>
      </c>
      <c r="J29" s="1264">
        <f>$J$5</f>
        <v>0.34</v>
      </c>
      <c r="K29" s="1241">
        <f t="shared" si="3"/>
        <v>510.00000000000006</v>
      </c>
      <c r="L29" s="1242">
        <f t="shared" si="4"/>
        <v>990</v>
      </c>
      <c r="M29" s="1290" t="s">
        <v>652</v>
      </c>
      <c r="N29" s="1291" t="s">
        <v>536</v>
      </c>
      <c r="O29" s="1504" t="s">
        <v>690</v>
      </c>
    </row>
    <row r="30" spans="1:15" ht="12" customHeight="1">
      <c r="A30" s="1287">
        <f aca="true" t="shared" si="5" ref="A30:A35">A29+1</f>
        <v>3</v>
      </c>
      <c r="B30" s="1288" t="s">
        <v>346</v>
      </c>
      <c r="C30" s="1234" t="s">
        <v>560</v>
      </c>
      <c r="D30" s="1292" t="s">
        <v>649</v>
      </c>
      <c r="E30" s="1293">
        <v>1000</v>
      </c>
      <c r="F30" s="1293"/>
      <c r="G30" s="1247"/>
      <c r="H30" s="1238"/>
      <c r="I30" s="1239"/>
      <c r="J30" s="1240"/>
      <c r="K30" s="1241">
        <f>I30*J30</f>
        <v>0</v>
      </c>
      <c r="L30" s="1242">
        <f>I30-K30</f>
        <v>0</v>
      </c>
      <c r="M30" s="1290" t="s">
        <v>650</v>
      </c>
      <c r="N30" s="1291" t="s">
        <v>220</v>
      </c>
      <c r="O30" s="1505"/>
    </row>
    <row r="31" spans="1:15" ht="12" customHeight="1">
      <c r="A31" s="1287">
        <f t="shared" si="5"/>
        <v>4</v>
      </c>
      <c r="B31" s="1288" t="s">
        <v>346</v>
      </c>
      <c r="C31" s="1234" t="s">
        <v>560</v>
      </c>
      <c r="D31" s="1292" t="s">
        <v>77</v>
      </c>
      <c r="E31" s="1293">
        <v>864</v>
      </c>
      <c r="F31" s="1293">
        <v>550</v>
      </c>
      <c r="G31" s="1247">
        <v>600</v>
      </c>
      <c r="H31" s="1238">
        <v>1000</v>
      </c>
      <c r="I31" s="1239">
        <v>1000</v>
      </c>
      <c r="J31" s="1240"/>
      <c r="K31" s="1241">
        <f t="shared" si="3"/>
        <v>0</v>
      </c>
      <c r="L31" s="1242">
        <f t="shared" si="4"/>
        <v>1000</v>
      </c>
      <c r="M31" s="1290" t="s">
        <v>469</v>
      </c>
      <c r="N31" s="1291" t="s">
        <v>220</v>
      </c>
      <c r="O31" s="1505"/>
    </row>
    <row r="32" spans="1:15" ht="12" customHeight="1">
      <c r="A32" s="1287">
        <f t="shared" si="5"/>
        <v>5</v>
      </c>
      <c r="B32" s="1288" t="s">
        <v>346</v>
      </c>
      <c r="C32" s="1234" t="s">
        <v>560</v>
      </c>
      <c r="D32" s="1235" t="s">
        <v>144</v>
      </c>
      <c r="E32" s="1293">
        <v>10000</v>
      </c>
      <c r="F32" s="1293">
        <v>10000</v>
      </c>
      <c r="G32" s="1247">
        <v>10000</v>
      </c>
      <c r="H32" s="1238">
        <v>10000</v>
      </c>
      <c r="I32" s="1239">
        <v>6400</v>
      </c>
      <c r="J32" s="1264">
        <f>$J$5</f>
        <v>0.34</v>
      </c>
      <c r="K32" s="1241">
        <f t="shared" si="3"/>
        <v>2176</v>
      </c>
      <c r="L32" s="1242">
        <f t="shared" si="4"/>
        <v>4224</v>
      </c>
      <c r="M32" s="1290" t="s">
        <v>470</v>
      </c>
      <c r="N32" s="1291" t="s">
        <v>221</v>
      </c>
      <c r="O32" s="1505"/>
    </row>
    <row r="33" spans="1:15" ht="12" customHeight="1">
      <c r="A33" s="1287">
        <f t="shared" si="5"/>
        <v>6</v>
      </c>
      <c r="B33" s="1288" t="s">
        <v>346</v>
      </c>
      <c r="C33" s="1234" t="s">
        <v>560</v>
      </c>
      <c r="D33" s="1235" t="s">
        <v>653</v>
      </c>
      <c r="E33" s="1293">
        <v>250</v>
      </c>
      <c r="F33" s="1293"/>
      <c r="G33" s="1247"/>
      <c r="H33" s="1238"/>
      <c r="I33" s="1239"/>
      <c r="J33" s="1240"/>
      <c r="K33" s="1241">
        <f t="shared" si="3"/>
        <v>0</v>
      </c>
      <c r="L33" s="1242">
        <f t="shared" si="4"/>
        <v>0</v>
      </c>
      <c r="M33" s="1290" t="s">
        <v>654</v>
      </c>
      <c r="N33" s="1291" t="s">
        <v>220</v>
      </c>
      <c r="O33" s="1506"/>
    </row>
    <row r="34" spans="1:15" ht="12" customHeight="1">
      <c r="A34" s="1287">
        <f t="shared" si="5"/>
        <v>7</v>
      </c>
      <c r="B34" s="1288" t="s">
        <v>346</v>
      </c>
      <c r="C34" s="1234" t="s">
        <v>560</v>
      </c>
      <c r="D34" s="1292" t="s">
        <v>78</v>
      </c>
      <c r="E34" s="1293">
        <v>2430</v>
      </c>
      <c r="F34" s="1236">
        <v>2430</v>
      </c>
      <c r="G34" s="1237">
        <v>2430</v>
      </c>
      <c r="H34" s="1238">
        <v>2430</v>
      </c>
      <c r="I34" s="1239">
        <v>2430</v>
      </c>
      <c r="J34" s="1240"/>
      <c r="K34" s="1241">
        <f t="shared" si="3"/>
        <v>0</v>
      </c>
      <c r="L34" s="1242">
        <f t="shared" si="4"/>
        <v>2430</v>
      </c>
      <c r="M34" s="1290" t="s">
        <v>471</v>
      </c>
      <c r="N34" s="1291" t="s">
        <v>536</v>
      </c>
      <c r="O34" s="1505"/>
    </row>
    <row r="35" spans="1:15" ht="12" customHeight="1">
      <c r="A35" s="1287">
        <f t="shared" si="5"/>
        <v>8</v>
      </c>
      <c r="B35" s="1288" t="s">
        <v>346</v>
      </c>
      <c r="C35" s="1234" t="s">
        <v>560</v>
      </c>
      <c r="D35" s="1235" t="s">
        <v>311</v>
      </c>
      <c r="E35" s="1293">
        <v>200</v>
      </c>
      <c r="F35" s="1236">
        <v>750</v>
      </c>
      <c r="G35" s="1237">
        <v>550</v>
      </c>
      <c r="H35" s="1238">
        <v>500</v>
      </c>
      <c r="I35" s="1239">
        <v>500</v>
      </c>
      <c r="J35" s="1240"/>
      <c r="K35" s="1241">
        <f t="shared" si="3"/>
        <v>0</v>
      </c>
      <c r="L35" s="1242">
        <f t="shared" si="4"/>
        <v>500</v>
      </c>
      <c r="M35" s="1290" t="s">
        <v>472</v>
      </c>
      <c r="N35" s="1291" t="s">
        <v>223</v>
      </c>
      <c r="O35" s="1505"/>
    </row>
    <row r="36" spans="1:15" ht="12" customHeight="1">
      <c r="A36" s="1287">
        <f aca="true" t="shared" si="6" ref="A36:A47">A35+1</f>
        <v>9</v>
      </c>
      <c r="B36" s="1288" t="s">
        <v>346</v>
      </c>
      <c r="C36" s="1234" t="s">
        <v>560</v>
      </c>
      <c r="D36" s="1292" t="s">
        <v>88</v>
      </c>
      <c r="E36" s="1293">
        <v>200</v>
      </c>
      <c r="F36" s="1236">
        <v>300</v>
      </c>
      <c r="G36" s="1237">
        <v>300</v>
      </c>
      <c r="H36" s="1238">
        <v>300</v>
      </c>
      <c r="I36" s="1239">
        <v>300</v>
      </c>
      <c r="J36" s="1240"/>
      <c r="K36" s="1241">
        <f t="shared" si="3"/>
        <v>0</v>
      </c>
      <c r="L36" s="1242">
        <f t="shared" si="4"/>
        <v>300</v>
      </c>
      <c r="M36" s="1290" t="s">
        <v>473</v>
      </c>
      <c r="N36" s="1291" t="s">
        <v>223</v>
      </c>
      <c r="O36" s="1505"/>
    </row>
    <row r="37" spans="1:15" ht="12" customHeight="1">
      <c r="A37" s="1287">
        <f t="shared" si="6"/>
        <v>10</v>
      </c>
      <c r="B37" s="1288" t="s">
        <v>346</v>
      </c>
      <c r="C37" s="1234" t="s">
        <v>560</v>
      </c>
      <c r="D37" s="1292" t="s">
        <v>79</v>
      </c>
      <c r="E37" s="1293">
        <v>330</v>
      </c>
      <c r="F37" s="1236">
        <v>450</v>
      </c>
      <c r="G37" s="1237">
        <v>750</v>
      </c>
      <c r="H37" s="1238">
        <v>750</v>
      </c>
      <c r="I37" s="1239">
        <v>750</v>
      </c>
      <c r="J37" s="1240"/>
      <c r="K37" s="1241">
        <f t="shared" si="3"/>
        <v>0</v>
      </c>
      <c r="L37" s="1242">
        <f t="shared" si="4"/>
        <v>750</v>
      </c>
      <c r="M37" s="1290" t="s">
        <v>474</v>
      </c>
      <c r="N37" s="1291" t="s">
        <v>536</v>
      </c>
      <c r="O37" s="1505"/>
    </row>
    <row r="38" spans="1:15" ht="12" customHeight="1">
      <c r="A38" s="1287">
        <f t="shared" si="6"/>
        <v>11</v>
      </c>
      <c r="B38" s="1288" t="s">
        <v>346</v>
      </c>
      <c r="C38" s="1234" t="s">
        <v>560</v>
      </c>
      <c r="D38" s="1235" t="s">
        <v>89</v>
      </c>
      <c r="E38" s="1293">
        <v>300</v>
      </c>
      <c r="F38" s="1236">
        <v>300</v>
      </c>
      <c r="G38" s="1237">
        <v>400</v>
      </c>
      <c r="H38" s="1238">
        <v>400</v>
      </c>
      <c r="I38" s="1239">
        <v>550</v>
      </c>
      <c r="J38" s="1240"/>
      <c r="K38" s="1241">
        <f t="shared" si="3"/>
        <v>0</v>
      </c>
      <c r="L38" s="1242">
        <f t="shared" si="4"/>
        <v>550</v>
      </c>
      <c r="M38" s="1290" t="s">
        <v>475</v>
      </c>
      <c r="N38" s="1291" t="s">
        <v>537</v>
      </c>
      <c r="O38" s="1505"/>
    </row>
    <row r="39" spans="1:15" ht="12" customHeight="1">
      <c r="A39" s="1287">
        <f t="shared" si="6"/>
        <v>12</v>
      </c>
      <c r="B39" s="1288" t="s">
        <v>346</v>
      </c>
      <c r="C39" s="1234" t="s">
        <v>560</v>
      </c>
      <c r="D39" s="1294" t="s">
        <v>145</v>
      </c>
      <c r="E39" s="1293">
        <v>500</v>
      </c>
      <c r="F39" s="1236">
        <v>700</v>
      </c>
      <c r="G39" s="1237">
        <v>822</v>
      </c>
      <c r="H39" s="1238">
        <v>971</v>
      </c>
      <c r="I39" s="1239">
        <v>971</v>
      </c>
      <c r="J39" s="1240"/>
      <c r="K39" s="1241">
        <f t="shared" si="3"/>
        <v>0</v>
      </c>
      <c r="L39" s="1242">
        <f t="shared" si="4"/>
        <v>971</v>
      </c>
      <c r="M39" s="1290" t="s">
        <v>476</v>
      </c>
      <c r="N39" s="1291" t="s">
        <v>224</v>
      </c>
      <c r="O39" s="1505"/>
    </row>
    <row r="40" spans="1:15" ht="12" customHeight="1">
      <c r="A40" s="1287">
        <f t="shared" si="6"/>
        <v>13</v>
      </c>
      <c r="B40" s="1288" t="s">
        <v>346</v>
      </c>
      <c r="C40" s="1234" t="s">
        <v>560</v>
      </c>
      <c r="D40" s="1235" t="s">
        <v>146</v>
      </c>
      <c r="E40" s="1293">
        <v>810</v>
      </c>
      <c r="F40" s="1236">
        <v>900</v>
      </c>
      <c r="G40" s="1237">
        <v>600</v>
      </c>
      <c r="H40" s="1238">
        <v>600</v>
      </c>
      <c r="I40" s="1239">
        <v>600</v>
      </c>
      <c r="J40" s="1240"/>
      <c r="K40" s="1241">
        <f t="shared" si="3"/>
        <v>0</v>
      </c>
      <c r="L40" s="1242">
        <f t="shared" si="4"/>
        <v>600</v>
      </c>
      <c r="M40" s="1290" t="s">
        <v>477</v>
      </c>
      <c r="N40" s="1291" t="s">
        <v>224</v>
      </c>
      <c r="O40" s="1295"/>
    </row>
    <row r="41" spans="1:15" ht="12" customHeight="1">
      <c r="A41" s="1287">
        <f t="shared" si="6"/>
        <v>14</v>
      </c>
      <c r="B41" s="1288" t="s">
        <v>346</v>
      </c>
      <c r="C41" s="1234" t="s">
        <v>560</v>
      </c>
      <c r="D41" s="1294" t="s">
        <v>108</v>
      </c>
      <c r="E41" s="1293">
        <v>720</v>
      </c>
      <c r="F41" s="1236">
        <v>800</v>
      </c>
      <c r="G41" s="1237">
        <v>1881</v>
      </c>
      <c r="H41" s="1238">
        <v>1881</v>
      </c>
      <c r="I41" s="1239">
        <v>1881</v>
      </c>
      <c r="J41" s="1240"/>
      <c r="K41" s="1241">
        <f t="shared" si="3"/>
        <v>0</v>
      </c>
      <c r="L41" s="1242">
        <f t="shared" si="4"/>
        <v>1881</v>
      </c>
      <c r="M41" s="1290" t="s">
        <v>478</v>
      </c>
      <c r="N41" s="1291" t="s">
        <v>542</v>
      </c>
      <c r="O41" s="1295"/>
    </row>
    <row r="42" spans="1:15" ht="12" customHeight="1">
      <c r="A42" s="1287">
        <f t="shared" si="6"/>
        <v>15</v>
      </c>
      <c r="B42" s="1288" t="s">
        <v>346</v>
      </c>
      <c r="C42" s="1234" t="s">
        <v>560</v>
      </c>
      <c r="D42" s="1294" t="s">
        <v>90</v>
      </c>
      <c r="E42" s="1293">
        <v>108</v>
      </c>
      <c r="F42" s="1236">
        <v>150</v>
      </c>
      <c r="G42" s="1237">
        <v>350</v>
      </c>
      <c r="H42" s="1238">
        <v>180</v>
      </c>
      <c r="I42" s="1239">
        <v>180</v>
      </c>
      <c r="J42" s="1240"/>
      <c r="K42" s="1241">
        <f t="shared" si="3"/>
        <v>0</v>
      </c>
      <c r="L42" s="1242">
        <f t="shared" si="4"/>
        <v>180</v>
      </c>
      <c r="M42" s="1290" t="s">
        <v>479</v>
      </c>
      <c r="N42" s="1291" t="s">
        <v>224</v>
      </c>
      <c r="O42" s="1505"/>
    </row>
    <row r="43" spans="1:15" ht="12" customHeight="1">
      <c r="A43" s="1287">
        <f t="shared" si="6"/>
        <v>16</v>
      </c>
      <c r="B43" s="1288" t="s">
        <v>346</v>
      </c>
      <c r="C43" s="1234" t="s">
        <v>560</v>
      </c>
      <c r="D43" s="1235" t="s">
        <v>91</v>
      </c>
      <c r="E43" s="1293">
        <v>180</v>
      </c>
      <c r="F43" s="1236">
        <v>180</v>
      </c>
      <c r="G43" s="1237">
        <v>1200</v>
      </c>
      <c r="H43" s="1238">
        <v>1200</v>
      </c>
      <c r="I43" s="1239">
        <v>1795</v>
      </c>
      <c r="J43" s="1240"/>
      <c r="K43" s="1241">
        <f t="shared" si="3"/>
        <v>0</v>
      </c>
      <c r="L43" s="1242">
        <f t="shared" si="4"/>
        <v>1795</v>
      </c>
      <c r="M43" s="1290" t="s">
        <v>480</v>
      </c>
      <c r="N43" s="1291" t="s">
        <v>225</v>
      </c>
      <c r="O43" s="1505"/>
    </row>
    <row r="44" spans="1:15" ht="12" customHeight="1">
      <c r="A44" s="1287">
        <f t="shared" si="6"/>
        <v>17</v>
      </c>
      <c r="B44" s="1288" t="s">
        <v>346</v>
      </c>
      <c r="C44" s="1234" t="s">
        <v>560</v>
      </c>
      <c r="D44" s="1235" t="s">
        <v>92</v>
      </c>
      <c r="E44" s="1293">
        <v>70</v>
      </c>
      <c r="F44" s="1236">
        <v>70</v>
      </c>
      <c r="G44" s="1237">
        <v>70</v>
      </c>
      <c r="H44" s="1238">
        <v>70</v>
      </c>
      <c r="I44" s="1239">
        <v>70</v>
      </c>
      <c r="J44" s="1240"/>
      <c r="K44" s="1241">
        <f t="shared" si="3"/>
        <v>0</v>
      </c>
      <c r="L44" s="1242">
        <f t="shared" si="4"/>
        <v>70</v>
      </c>
      <c r="M44" s="1290" t="s">
        <v>481</v>
      </c>
      <c r="N44" s="1291" t="s">
        <v>225</v>
      </c>
      <c r="O44" s="1505"/>
    </row>
    <row r="45" spans="1:15" ht="12" customHeight="1">
      <c r="A45" s="1287">
        <f t="shared" si="6"/>
        <v>18</v>
      </c>
      <c r="B45" s="1288" t="s">
        <v>346</v>
      </c>
      <c r="C45" s="1234" t="s">
        <v>560</v>
      </c>
      <c r="D45" s="1235" t="s">
        <v>101</v>
      </c>
      <c r="E45" s="1293">
        <v>405</v>
      </c>
      <c r="F45" s="1236">
        <v>600</v>
      </c>
      <c r="G45" s="1237">
        <v>600</v>
      </c>
      <c r="H45" s="1238">
        <v>600</v>
      </c>
      <c r="I45" s="1239">
        <v>600</v>
      </c>
      <c r="J45" s="1240"/>
      <c r="K45" s="1241">
        <f t="shared" si="3"/>
        <v>0</v>
      </c>
      <c r="L45" s="1242">
        <f t="shared" si="4"/>
        <v>600</v>
      </c>
      <c r="M45" s="1290" t="s">
        <v>482</v>
      </c>
      <c r="N45" s="1291" t="s">
        <v>538</v>
      </c>
      <c r="O45" s="1505"/>
    </row>
    <row r="46" spans="1:15" ht="12" customHeight="1">
      <c r="A46" s="1287">
        <f t="shared" si="6"/>
        <v>19</v>
      </c>
      <c r="B46" s="1288" t="s">
        <v>346</v>
      </c>
      <c r="C46" s="1234" t="s">
        <v>560</v>
      </c>
      <c r="D46" s="1235" t="s">
        <v>102</v>
      </c>
      <c r="E46" s="1293">
        <v>405</v>
      </c>
      <c r="F46" s="1236">
        <v>452</v>
      </c>
      <c r="G46" s="1237">
        <v>450</v>
      </c>
      <c r="H46" s="1238">
        <v>1100</v>
      </c>
      <c r="I46" s="1239">
        <v>1000</v>
      </c>
      <c r="J46" s="1240"/>
      <c r="K46" s="1241">
        <f t="shared" si="3"/>
        <v>0</v>
      </c>
      <c r="L46" s="1242">
        <f t="shared" si="4"/>
        <v>1000</v>
      </c>
      <c r="M46" s="1290" t="s">
        <v>484</v>
      </c>
      <c r="N46" s="1291" t="s">
        <v>538</v>
      </c>
      <c r="O46" s="1505"/>
    </row>
    <row r="47" spans="1:15" ht="12" customHeight="1">
      <c r="A47" s="1287">
        <f t="shared" si="6"/>
        <v>20</v>
      </c>
      <c r="B47" s="1288" t="s">
        <v>346</v>
      </c>
      <c r="C47" s="1234" t="s">
        <v>560</v>
      </c>
      <c r="D47" s="1235" t="s">
        <v>312</v>
      </c>
      <c r="E47" s="1293"/>
      <c r="F47" s="1236">
        <v>278</v>
      </c>
      <c r="G47" s="1237">
        <v>485</v>
      </c>
      <c r="H47" s="1238">
        <v>1100</v>
      </c>
      <c r="I47" s="1239">
        <v>1000</v>
      </c>
      <c r="J47" s="1240"/>
      <c r="K47" s="1241">
        <f t="shared" si="3"/>
        <v>0</v>
      </c>
      <c r="L47" s="1242">
        <f t="shared" si="4"/>
        <v>1000</v>
      </c>
      <c r="M47" s="1290" t="s">
        <v>483</v>
      </c>
      <c r="N47" s="1291" t="s">
        <v>538</v>
      </c>
      <c r="O47" s="1505"/>
    </row>
    <row r="48" spans="1:15" ht="12" customHeight="1">
      <c r="A48" s="1296">
        <f>A47+1</f>
        <v>21</v>
      </c>
      <c r="B48" s="1297" t="s">
        <v>346</v>
      </c>
      <c r="C48" s="1298" t="s">
        <v>560</v>
      </c>
      <c r="D48" s="1298" t="s">
        <v>691</v>
      </c>
      <c r="E48" s="1299">
        <v>40130</v>
      </c>
      <c r="F48" s="1299">
        <v>17500</v>
      </c>
      <c r="G48" s="1300">
        <v>17500</v>
      </c>
      <c r="H48" s="1301">
        <v>17500</v>
      </c>
      <c r="I48" s="1300">
        <v>17500</v>
      </c>
      <c r="J48" s="1264"/>
      <c r="K48" s="1302">
        <f t="shared" si="3"/>
        <v>0</v>
      </c>
      <c r="L48" s="1303">
        <f t="shared" si="4"/>
        <v>17500</v>
      </c>
      <c r="M48" s="1304" t="s">
        <v>485</v>
      </c>
      <c r="N48" s="1305" t="s">
        <v>537</v>
      </c>
      <c r="O48" s="1505"/>
    </row>
    <row r="49" spans="1:15" ht="12" customHeight="1">
      <c r="A49" s="1287">
        <f>A48+1</f>
        <v>22</v>
      </c>
      <c r="B49" s="1288" t="s">
        <v>346</v>
      </c>
      <c r="C49" s="1234" t="s">
        <v>560</v>
      </c>
      <c r="D49" s="1235" t="s">
        <v>94</v>
      </c>
      <c r="E49" s="1293">
        <v>6742</v>
      </c>
      <c r="F49" s="1236">
        <v>5650</v>
      </c>
      <c r="G49" s="1237">
        <v>5650</v>
      </c>
      <c r="H49" s="1238">
        <v>0</v>
      </c>
      <c r="I49" s="1239">
        <v>0</v>
      </c>
      <c r="J49" s="1240"/>
      <c r="K49" s="1241">
        <f t="shared" si="3"/>
        <v>0</v>
      </c>
      <c r="L49" s="1242">
        <f t="shared" si="4"/>
        <v>0</v>
      </c>
      <c r="M49" s="1290" t="s">
        <v>486</v>
      </c>
      <c r="N49" s="1291" t="s">
        <v>220</v>
      </c>
      <c r="O49" s="1505"/>
    </row>
    <row r="50" spans="1:15" ht="12" customHeight="1">
      <c r="A50" s="1287">
        <f aca="true" t="shared" si="7" ref="A50:A84">A49+1</f>
        <v>23</v>
      </c>
      <c r="B50" s="1288" t="s">
        <v>346</v>
      </c>
      <c r="C50" s="1234" t="s">
        <v>560</v>
      </c>
      <c r="D50" s="1235" t="s">
        <v>95</v>
      </c>
      <c r="E50" s="1293">
        <v>60</v>
      </c>
      <c r="F50" s="1236">
        <v>120</v>
      </c>
      <c r="G50" s="1237">
        <v>150</v>
      </c>
      <c r="H50" s="1238">
        <v>150</v>
      </c>
      <c r="I50" s="1239">
        <v>55</v>
      </c>
      <c r="J50" s="1240"/>
      <c r="K50" s="1241">
        <f t="shared" si="3"/>
        <v>0</v>
      </c>
      <c r="L50" s="1242">
        <f t="shared" si="4"/>
        <v>55</v>
      </c>
      <c r="M50" s="1290" t="s">
        <v>487</v>
      </c>
      <c r="N50" s="1291" t="s">
        <v>536</v>
      </c>
      <c r="O50" s="1505"/>
    </row>
    <row r="51" spans="1:15" ht="12" customHeight="1">
      <c r="A51" s="1287">
        <f t="shared" si="7"/>
        <v>24</v>
      </c>
      <c r="B51" s="1288" t="s">
        <v>346</v>
      </c>
      <c r="C51" s="1234" t="s">
        <v>560</v>
      </c>
      <c r="D51" s="1235" t="s">
        <v>103</v>
      </c>
      <c r="E51" s="1293">
        <v>630</v>
      </c>
      <c r="F51" s="1236">
        <v>1000</v>
      </c>
      <c r="G51" s="1237">
        <v>1000</v>
      </c>
      <c r="H51" s="1238">
        <v>1000</v>
      </c>
      <c r="I51" s="1239">
        <v>1000</v>
      </c>
      <c r="J51" s="1240"/>
      <c r="K51" s="1241">
        <f t="shared" si="3"/>
        <v>0</v>
      </c>
      <c r="L51" s="1242">
        <f t="shared" si="4"/>
        <v>1000</v>
      </c>
      <c r="M51" s="1290" t="s">
        <v>488</v>
      </c>
      <c r="N51" s="1291" t="s">
        <v>217</v>
      </c>
      <c r="O51" s="1505"/>
    </row>
    <row r="52" spans="1:15" ht="12" customHeight="1">
      <c r="A52" s="1287">
        <f t="shared" si="7"/>
        <v>25</v>
      </c>
      <c r="B52" s="1288" t="s">
        <v>346</v>
      </c>
      <c r="C52" s="1234" t="s">
        <v>560</v>
      </c>
      <c r="D52" s="1235" t="s">
        <v>149</v>
      </c>
      <c r="E52" s="1293">
        <v>3800</v>
      </c>
      <c r="F52" s="1236">
        <v>4500</v>
      </c>
      <c r="G52" s="1237">
        <v>1800</v>
      </c>
      <c r="H52" s="1306"/>
      <c r="I52" s="1239">
        <v>1800</v>
      </c>
      <c r="J52" s="1264">
        <f>$J$5</f>
        <v>0.34</v>
      </c>
      <c r="K52" s="1241">
        <f t="shared" si="3"/>
        <v>612</v>
      </c>
      <c r="L52" s="1242">
        <f t="shared" si="4"/>
        <v>1188</v>
      </c>
      <c r="M52" s="1290" t="s">
        <v>489</v>
      </c>
      <c r="N52" s="1291" t="s">
        <v>539</v>
      </c>
      <c r="O52" s="1504" t="s">
        <v>677</v>
      </c>
    </row>
    <row r="53" spans="1:15" ht="12" customHeight="1">
      <c r="A53" s="1287">
        <f t="shared" si="7"/>
        <v>26</v>
      </c>
      <c r="B53" s="1288" t="s">
        <v>346</v>
      </c>
      <c r="C53" s="1234" t="s">
        <v>560</v>
      </c>
      <c r="D53" s="1235" t="s">
        <v>313</v>
      </c>
      <c r="E53" s="1293"/>
      <c r="F53" s="1236">
        <v>2000</v>
      </c>
      <c r="G53" s="1237">
        <v>1000</v>
      </c>
      <c r="H53" s="1238">
        <v>2000</v>
      </c>
      <c r="I53" s="1239">
        <v>2000</v>
      </c>
      <c r="J53" s="1264">
        <f>$J$5*2</f>
        <v>0.68</v>
      </c>
      <c r="K53" s="1241">
        <f t="shared" si="3"/>
        <v>1360</v>
      </c>
      <c r="L53" s="1242">
        <f t="shared" si="4"/>
        <v>640</v>
      </c>
      <c r="M53" s="1290" t="s">
        <v>490</v>
      </c>
      <c r="N53" s="1291" t="s">
        <v>217</v>
      </c>
      <c r="O53" s="1505" t="s">
        <v>689</v>
      </c>
    </row>
    <row r="54" spans="1:15" ht="12" customHeight="1">
      <c r="A54" s="1287">
        <f t="shared" si="7"/>
        <v>27</v>
      </c>
      <c r="B54" s="1288" t="s">
        <v>346</v>
      </c>
      <c r="C54" s="1234" t="s">
        <v>560</v>
      </c>
      <c r="D54" s="1235" t="s">
        <v>181</v>
      </c>
      <c r="E54" s="1293">
        <v>360</v>
      </c>
      <c r="F54" s="1236">
        <v>100</v>
      </c>
      <c r="G54" s="1237">
        <v>100</v>
      </c>
      <c r="H54" s="1238">
        <v>600</v>
      </c>
      <c r="I54" s="1239">
        <v>100</v>
      </c>
      <c r="J54" s="1264">
        <f>$J$5</f>
        <v>0.34</v>
      </c>
      <c r="K54" s="1241">
        <f t="shared" si="3"/>
        <v>34</v>
      </c>
      <c r="L54" s="1242">
        <f t="shared" si="4"/>
        <v>66</v>
      </c>
      <c r="M54" s="1290" t="s">
        <v>511</v>
      </c>
      <c r="N54" s="1291" t="s">
        <v>224</v>
      </c>
      <c r="O54" s="1507"/>
    </row>
    <row r="55" spans="1:15" ht="12" customHeight="1">
      <c r="A55" s="1287">
        <f t="shared" si="7"/>
        <v>28</v>
      </c>
      <c r="B55" s="1288" t="s">
        <v>346</v>
      </c>
      <c r="C55" s="1234" t="s">
        <v>560</v>
      </c>
      <c r="D55" s="1235" t="s">
        <v>150</v>
      </c>
      <c r="E55" s="1293">
        <v>200</v>
      </c>
      <c r="F55" s="1236">
        <v>200</v>
      </c>
      <c r="G55" s="1237">
        <v>200</v>
      </c>
      <c r="H55" s="1238">
        <v>200</v>
      </c>
      <c r="I55" s="1239">
        <v>150</v>
      </c>
      <c r="J55" s="1240"/>
      <c r="K55" s="1241">
        <f t="shared" si="3"/>
        <v>0</v>
      </c>
      <c r="L55" s="1242">
        <f t="shared" si="4"/>
        <v>150</v>
      </c>
      <c r="M55" s="1290" t="s">
        <v>497</v>
      </c>
      <c r="N55" s="1291" t="s">
        <v>537</v>
      </c>
      <c r="O55" s="1506" t="s">
        <v>314</v>
      </c>
    </row>
    <row r="56" spans="1:15" ht="12" customHeight="1">
      <c r="A56" s="1287">
        <f t="shared" si="7"/>
        <v>29</v>
      </c>
      <c r="B56" s="1288" t="s">
        <v>346</v>
      </c>
      <c r="C56" s="1234" t="s">
        <v>560</v>
      </c>
      <c r="D56" s="1235" t="s">
        <v>645</v>
      </c>
      <c r="E56" s="1293"/>
      <c r="F56" s="1236"/>
      <c r="G56" s="1237"/>
      <c r="H56" s="1238"/>
      <c r="I56" s="1239"/>
      <c r="J56" s="1240"/>
      <c r="K56" s="1241"/>
      <c r="L56" s="1242">
        <f t="shared" si="4"/>
        <v>0</v>
      </c>
      <c r="M56" s="1290" t="s">
        <v>644</v>
      </c>
      <c r="N56" s="1291" t="s">
        <v>537</v>
      </c>
      <c r="O56" s="1506" t="s">
        <v>314</v>
      </c>
    </row>
    <row r="57" spans="1:15" ht="12" customHeight="1">
      <c r="A57" s="1287">
        <f t="shared" si="7"/>
        <v>30</v>
      </c>
      <c r="B57" s="1288" t="s">
        <v>346</v>
      </c>
      <c r="C57" s="1234" t="s">
        <v>560</v>
      </c>
      <c r="D57" s="1294" t="s">
        <v>133</v>
      </c>
      <c r="E57" s="1293">
        <v>351</v>
      </c>
      <c r="F57" s="1236">
        <v>380</v>
      </c>
      <c r="G57" s="1237">
        <v>380</v>
      </c>
      <c r="H57" s="1238">
        <v>430</v>
      </c>
      <c r="I57" s="1239">
        <v>430</v>
      </c>
      <c r="J57" s="1240"/>
      <c r="K57" s="1241">
        <f t="shared" si="3"/>
        <v>0</v>
      </c>
      <c r="L57" s="1242">
        <f t="shared" si="4"/>
        <v>430</v>
      </c>
      <c r="M57" s="1290" t="s">
        <v>491</v>
      </c>
      <c r="N57" s="1291" t="s">
        <v>224</v>
      </c>
      <c r="O57" s="1505"/>
    </row>
    <row r="58" spans="1:15" s="1422" customFormat="1" ht="12" customHeight="1">
      <c r="A58" s="1287">
        <f t="shared" si="7"/>
        <v>31</v>
      </c>
      <c r="B58" s="1288" t="s">
        <v>346</v>
      </c>
      <c r="C58" s="1234" t="s">
        <v>560</v>
      </c>
      <c r="D58" s="1292" t="s">
        <v>132</v>
      </c>
      <c r="E58" s="1293">
        <v>225</v>
      </c>
      <c r="F58" s="1293">
        <v>250</v>
      </c>
      <c r="G58" s="1247">
        <v>330</v>
      </c>
      <c r="H58" s="1238">
        <v>250</v>
      </c>
      <c r="I58" s="1239">
        <v>250</v>
      </c>
      <c r="J58" s="1240"/>
      <c r="K58" s="1241">
        <f t="shared" si="3"/>
        <v>0</v>
      </c>
      <c r="L58" s="1242">
        <f t="shared" si="4"/>
        <v>250</v>
      </c>
      <c r="M58" s="1290" t="s">
        <v>492</v>
      </c>
      <c r="N58" s="1291" t="s">
        <v>220</v>
      </c>
      <c r="O58" s="1505"/>
    </row>
    <row r="59" spans="1:15" ht="12" customHeight="1">
      <c r="A59" s="1287">
        <f t="shared" si="7"/>
        <v>32</v>
      </c>
      <c r="B59" s="1288" t="s">
        <v>346</v>
      </c>
      <c r="C59" s="1234" t="s">
        <v>560</v>
      </c>
      <c r="D59" s="1292" t="s">
        <v>162</v>
      </c>
      <c r="E59" s="1293">
        <v>5500</v>
      </c>
      <c r="F59" s="1293">
        <v>6465</v>
      </c>
      <c r="G59" s="1247">
        <v>6465</v>
      </c>
      <c r="H59" s="1238">
        <v>6770</v>
      </c>
      <c r="I59" s="1239">
        <v>6770</v>
      </c>
      <c r="J59" s="1264">
        <f>$J$5</f>
        <v>0.34</v>
      </c>
      <c r="K59" s="1241">
        <f t="shared" si="3"/>
        <v>2301.8</v>
      </c>
      <c r="L59" s="1242">
        <f t="shared" si="4"/>
        <v>4468.2</v>
      </c>
      <c r="M59" s="1290" t="s">
        <v>493</v>
      </c>
      <c r="N59" s="1291" t="s">
        <v>222</v>
      </c>
      <c r="O59" s="1503"/>
    </row>
    <row r="60" spans="1:15" ht="12" customHeight="1">
      <c r="A60" s="1287">
        <f t="shared" si="7"/>
        <v>33</v>
      </c>
      <c r="B60" s="1288" t="s">
        <v>346</v>
      </c>
      <c r="C60" s="1234" t="s">
        <v>560</v>
      </c>
      <c r="D60" s="1294" t="s">
        <v>315</v>
      </c>
      <c r="E60" s="1293">
        <v>9040</v>
      </c>
      <c r="F60" s="1236">
        <v>8820</v>
      </c>
      <c r="G60" s="1237">
        <v>8650</v>
      </c>
      <c r="H60" s="1238">
        <v>8850</v>
      </c>
      <c r="I60" s="1239">
        <v>8850</v>
      </c>
      <c r="J60" s="1240"/>
      <c r="K60" s="1241">
        <f t="shared" si="3"/>
        <v>0</v>
      </c>
      <c r="L60" s="1242">
        <f t="shared" si="4"/>
        <v>8850</v>
      </c>
      <c r="M60" s="1290" t="s">
        <v>494</v>
      </c>
      <c r="N60" s="1291" t="s">
        <v>220</v>
      </c>
      <c r="O60" s="1503"/>
    </row>
    <row r="61" spans="1:15" ht="12" customHeight="1">
      <c r="A61" s="1287">
        <f t="shared" si="7"/>
        <v>34</v>
      </c>
      <c r="B61" s="1288" t="s">
        <v>346</v>
      </c>
      <c r="C61" s="1234" t="s">
        <v>560</v>
      </c>
      <c r="D61" s="1294" t="s">
        <v>151</v>
      </c>
      <c r="E61" s="1293">
        <v>1900</v>
      </c>
      <c r="F61" s="1236">
        <v>1900</v>
      </c>
      <c r="G61" s="1237">
        <v>1900</v>
      </c>
      <c r="H61" s="1238">
        <v>1900</v>
      </c>
      <c r="I61" s="1239">
        <v>1900</v>
      </c>
      <c r="J61" s="1240"/>
      <c r="K61" s="1241">
        <f t="shared" si="3"/>
        <v>0</v>
      </c>
      <c r="L61" s="1242">
        <f t="shared" si="4"/>
        <v>1900</v>
      </c>
      <c r="M61" s="1290" t="s">
        <v>495</v>
      </c>
      <c r="N61" s="1291" t="s">
        <v>220</v>
      </c>
      <c r="O61" s="1505"/>
    </row>
    <row r="62" spans="1:15" ht="12" customHeight="1">
      <c r="A62" s="1287">
        <f t="shared" si="7"/>
        <v>35</v>
      </c>
      <c r="B62" s="1288" t="s">
        <v>346</v>
      </c>
      <c r="C62" s="1234" t="s">
        <v>560</v>
      </c>
      <c r="D62" s="1294" t="s">
        <v>182</v>
      </c>
      <c r="E62" s="1293">
        <v>1000</v>
      </c>
      <c r="F62" s="1236"/>
      <c r="G62" s="1237"/>
      <c r="H62" s="1238"/>
      <c r="I62" s="1239"/>
      <c r="J62" s="1240"/>
      <c r="K62" s="1241"/>
      <c r="L62" s="1242">
        <f t="shared" si="4"/>
        <v>0</v>
      </c>
      <c r="M62" s="1290" t="s">
        <v>641</v>
      </c>
      <c r="N62" s="1291" t="s">
        <v>537</v>
      </c>
      <c r="O62" s="1506" t="s">
        <v>314</v>
      </c>
    </row>
    <row r="63" spans="1:15" ht="12" customHeight="1">
      <c r="A63" s="1287">
        <f t="shared" si="7"/>
        <v>36</v>
      </c>
      <c r="B63" s="1288" t="s">
        <v>346</v>
      </c>
      <c r="C63" s="1234" t="s">
        <v>560</v>
      </c>
      <c r="D63" s="1235" t="s">
        <v>230</v>
      </c>
      <c r="E63" s="1293">
        <v>1080</v>
      </c>
      <c r="F63" s="1236">
        <v>1500</v>
      </c>
      <c r="G63" s="1237">
        <v>2600</v>
      </c>
      <c r="H63" s="1238">
        <v>1500</v>
      </c>
      <c r="I63" s="1239">
        <v>1500</v>
      </c>
      <c r="J63" s="1240"/>
      <c r="K63" s="1241">
        <f t="shared" si="3"/>
        <v>0</v>
      </c>
      <c r="L63" s="1242">
        <f t="shared" si="4"/>
        <v>1500</v>
      </c>
      <c r="M63" s="1290" t="s">
        <v>496</v>
      </c>
      <c r="N63" s="1291" t="s">
        <v>220</v>
      </c>
      <c r="O63" s="1505"/>
    </row>
    <row r="64" spans="1:15" ht="12" customHeight="1">
      <c r="A64" s="1287">
        <f t="shared" si="7"/>
        <v>37</v>
      </c>
      <c r="B64" s="1288" t="s">
        <v>346</v>
      </c>
      <c r="C64" s="1234" t="s">
        <v>560</v>
      </c>
      <c r="D64" s="1235" t="s">
        <v>621</v>
      </c>
      <c r="E64" s="1293">
        <v>1350</v>
      </c>
      <c r="F64" s="1236">
        <v>2165</v>
      </c>
      <c r="G64" s="1237">
        <v>2300</v>
      </c>
      <c r="H64" s="1238">
        <v>1354</v>
      </c>
      <c r="I64" s="1239">
        <v>1354</v>
      </c>
      <c r="J64" s="1240"/>
      <c r="K64" s="1241">
        <f t="shared" si="3"/>
        <v>0</v>
      </c>
      <c r="L64" s="1242">
        <f t="shared" si="4"/>
        <v>1354</v>
      </c>
      <c r="M64" s="1290" t="s">
        <v>498</v>
      </c>
      <c r="N64" s="1291" t="s">
        <v>540</v>
      </c>
      <c r="O64" s="1505"/>
    </row>
    <row r="65" spans="1:15" ht="12" customHeight="1">
      <c r="A65" s="1287"/>
      <c r="B65" s="1288"/>
      <c r="C65" s="1234"/>
      <c r="D65" s="1235" t="s">
        <v>183</v>
      </c>
      <c r="E65" s="1293">
        <v>30</v>
      </c>
      <c r="F65" s="1236"/>
      <c r="G65" s="1237"/>
      <c r="H65" s="1238"/>
      <c r="I65" s="1239"/>
      <c r="J65" s="1240"/>
      <c r="K65" s="1241"/>
      <c r="L65" s="1242">
        <f t="shared" si="4"/>
        <v>0</v>
      </c>
      <c r="M65" s="1290" t="s">
        <v>655</v>
      </c>
      <c r="N65" s="1291" t="s">
        <v>224</v>
      </c>
      <c r="O65" s="1505"/>
    </row>
    <row r="66" spans="1:15" s="1422" customFormat="1" ht="12" customHeight="1">
      <c r="A66" s="1287">
        <f>A64+1</f>
        <v>38</v>
      </c>
      <c r="B66" s="1288" t="s">
        <v>346</v>
      </c>
      <c r="C66" s="1234" t="s">
        <v>560</v>
      </c>
      <c r="D66" s="1235" t="s">
        <v>227</v>
      </c>
      <c r="E66" s="1293">
        <v>140</v>
      </c>
      <c r="F66" s="1236">
        <v>140</v>
      </c>
      <c r="G66" s="1237">
        <v>140</v>
      </c>
      <c r="H66" s="1238">
        <v>140</v>
      </c>
      <c r="I66" s="1239">
        <v>140</v>
      </c>
      <c r="J66" s="1240"/>
      <c r="K66" s="1241">
        <f t="shared" si="3"/>
        <v>0</v>
      </c>
      <c r="L66" s="1242">
        <f t="shared" si="4"/>
        <v>140</v>
      </c>
      <c r="M66" s="1290" t="s">
        <v>499</v>
      </c>
      <c r="N66" s="1291" t="s">
        <v>225</v>
      </c>
      <c r="O66" s="1505"/>
    </row>
    <row r="67" spans="1:15" s="1422" customFormat="1" ht="12" customHeight="1">
      <c r="A67" s="1287">
        <f t="shared" si="7"/>
        <v>39</v>
      </c>
      <c r="B67" s="1288" t="s">
        <v>346</v>
      </c>
      <c r="C67" s="1234" t="s">
        <v>560</v>
      </c>
      <c r="D67" s="1235" t="s">
        <v>231</v>
      </c>
      <c r="E67" s="1293">
        <v>5000</v>
      </c>
      <c r="F67" s="1293"/>
      <c r="G67" s="1247"/>
      <c r="H67" s="1238"/>
      <c r="I67" s="1239"/>
      <c r="J67" s="1240"/>
      <c r="K67" s="1241"/>
      <c r="L67" s="1242">
        <f t="shared" si="4"/>
        <v>0</v>
      </c>
      <c r="M67" s="1290" t="s">
        <v>640</v>
      </c>
      <c r="N67" s="1291" t="s">
        <v>220</v>
      </c>
      <c r="O67" s="1506" t="s">
        <v>314</v>
      </c>
    </row>
    <row r="68" spans="1:15" s="1422" customFormat="1" ht="12" customHeight="1">
      <c r="A68" s="1287">
        <f>A66+1</f>
        <v>39</v>
      </c>
      <c r="B68" s="1288" t="s">
        <v>346</v>
      </c>
      <c r="C68" s="1234" t="s">
        <v>560</v>
      </c>
      <c r="D68" s="1307" t="s">
        <v>411</v>
      </c>
      <c r="E68" s="1255"/>
      <c r="F68" s="1255">
        <v>1000</v>
      </c>
      <c r="G68" s="1256">
        <v>1000</v>
      </c>
      <c r="H68" s="1257">
        <v>0</v>
      </c>
      <c r="I68" s="1258">
        <v>0</v>
      </c>
      <c r="J68" s="1240"/>
      <c r="K68" s="1241">
        <f t="shared" si="3"/>
        <v>0</v>
      </c>
      <c r="L68" s="1242">
        <f t="shared" si="4"/>
        <v>0</v>
      </c>
      <c r="M68" s="1290" t="s">
        <v>513</v>
      </c>
      <c r="N68" s="1291" t="s">
        <v>537</v>
      </c>
      <c r="O68" s="1505"/>
    </row>
    <row r="69" spans="1:15" s="1422" customFormat="1" ht="12" customHeight="1">
      <c r="A69" s="1287">
        <f t="shared" si="7"/>
        <v>40</v>
      </c>
      <c r="B69" s="1288" t="s">
        <v>346</v>
      </c>
      <c r="C69" s="1234" t="s">
        <v>560</v>
      </c>
      <c r="D69" s="1235" t="s">
        <v>407</v>
      </c>
      <c r="E69" s="1236"/>
      <c r="F69" s="1236">
        <v>235</v>
      </c>
      <c r="G69" s="1237">
        <v>385</v>
      </c>
      <c r="H69" s="1238">
        <v>495</v>
      </c>
      <c r="I69" s="1239">
        <v>500</v>
      </c>
      <c r="J69" s="1264">
        <v>1</v>
      </c>
      <c r="K69" s="1241">
        <f t="shared" si="3"/>
        <v>500</v>
      </c>
      <c r="L69" s="1242">
        <f aca="true" t="shared" si="8" ref="L69:L86">I69-K69</f>
        <v>0</v>
      </c>
      <c r="M69" s="1290" t="s">
        <v>501</v>
      </c>
      <c r="N69" s="1291" t="s">
        <v>225</v>
      </c>
      <c r="O69" s="1504" t="s">
        <v>678</v>
      </c>
    </row>
    <row r="70" spans="1:15" s="1422" customFormat="1" ht="12" customHeight="1">
      <c r="A70" s="1287">
        <f t="shared" si="7"/>
        <v>41</v>
      </c>
      <c r="B70" s="1288" t="s">
        <v>346</v>
      </c>
      <c r="C70" s="1234" t="s">
        <v>560</v>
      </c>
      <c r="D70" s="1235" t="s">
        <v>643</v>
      </c>
      <c r="E70" s="1236"/>
      <c r="F70" s="1236"/>
      <c r="G70" s="1237">
        <v>600</v>
      </c>
      <c r="H70" s="1238"/>
      <c r="I70" s="1239"/>
      <c r="J70" s="1240"/>
      <c r="K70" s="1241">
        <f>I70*J70</f>
        <v>0</v>
      </c>
      <c r="L70" s="1242">
        <f>I70-K70</f>
        <v>0</v>
      </c>
      <c r="M70" s="1290" t="s">
        <v>642</v>
      </c>
      <c r="N70" s="1291" t="s">
        <v>224</v>
      </c>
      <c r="O70" s="1505"/>
    </row>
    <row r="71" spans="1:15" s="1422" customFormat="1" ht="12" customHeight="1">
      <c r="A71" s="1287">
        <f t="shared" si="7"/>
        <v>42</v>
      </c>
      <c r="B71" s="1288" t="s">
        <v>346</v>
      </c>
      <c r="C71" s="1234" t="s">
        <v>560</v>
      </c>
      <c r="D71" s="1235" t="s">
        <v>646</v>
      </c>
      <c r="E71" s="1236"/>
      <c r="F71" s="1236"/>
      <c r="G71" s="1237">
        <v>200</v>
      </c>
      <c r="H71" s="1238"/>
      <c r="I71" s="1239"/>
      <c r="J71" s="1264">
        <v>1</v>
      </c>
      <c r="K71" s="1241"/>
      <c r="L71" s="1242"/>
      <c r="M71" s="1290" t="s">
        <v>647</v>
      </c>
      <c r="N71" s="1291" t="s">
        <v>217</v>
      </c>
      <c r="O71" s="1505" t="s">
        <v>648</v>
      </c>
    </row>
    <row r="72" spans="1:15" s="1422" customFormat="1" ht="12" customHeight="1">
      <c r="A72" s="1287">
        <f t="shared" si="7"/>
        <v>43</v>
      </c>
      <c r="B72" s="1288" t="s">
        <v>346</v>
      </c>
      <c r="C72" s="1234" t="s">
        <v>560</v>
      </c>
      <c r="D72" s="1235" t="s">
        <v>410</v>
      </c>
      <c r="E72" s="1236"/>
      <c r="F72" s="1236"/>
      <c r="G72" s="1237"/>
      <c r="H72" s="1238">
        <v>350</v>
      </c>
      <c r="I72" s="1239">
        <v>350</v>
      </c>
      <c r="J72" s="1240"/>
      <c r="K72" s="1241">
        <f t="shared" si="3"/>
        <v>0</v>
      </c>
      <c r="L72" s="1242">
        <f t="shared" si="8"/>
        <v>350</v>
      </c>
      <c r="M72" s="1290" t="s">
        <v>502</v>
      </c>
      <c r="N72" s="1291" t="s">
        <v>220</v>
      </c>
      <c r="O72" s="1505"/>
    </row>
    <row r="73" spans="1:15" s="1422" customFormat="1" ht="12" customHeight="1">
      <c r="A73" s="1287">
        <f t="shared" si="7"/>
        <v>44</v>
      </c>
      <c r="B73" s="1288" t="s">
        <v>346</v>
      </c>
      <c r="C73" s="1234" t="s">
        <v>560</v>
      </c>
      <c r="D73" s="1294" t="s">
        <v>409</v>
      </c>
      <c r="E73" s="1293"/>
      <c r="F73" s="1236"/>
      <c r="G73" s="1237">
        <v>1000</v>
      </c>
      <c r="H73" s="1238">
        <v>1200</v>
      </c>
      <c r="I73" s="1239">
        <v>1200</v>
      </c>
      <c r="J73" s="1240"/>
      <c r="K73" s="1241">
        <f t="shared" si="3"/>
        <v>0</v>
      </c>
      <c r="L73" s="1242">
        <f t="shared" si="8"/>
        <v>1200</v>
      </c>
      <c r="M73" s="1290" t="s">
        <v>503</v>
      </c>
      <c r="N73" s="1291" t="s">
        <v>220</v>
      </c>
      <c r="O73" s="1503"/>
    </row>
    <row r="74" spans="1:15" s="1422" customFormat="1" ht="12" customHeight="1">
      <c r="A74" s="1287">
        <f t="shared" si="7"/>
        <v>45</v>
      </c>
      <c r="B74" s="1288" t="s">
        <v>346</v>
      </c>
      <c r="C74" s="1234" t="s">
        <v>560</v>
      </c>
      <c r="D74" s="1235" t="s">
        <v>412</v>
      </c>
      <c r="E74" s="1236"/>
      <c r="F74" s="1236"/>
      <c r="G74" s="1237">
        <v>230</v>
      </c>
      <c r="H74" s="1238">
        <v>230</v>
      </c>
      <c r="I74" s="1239">
        <v>230</v>
      </c>
      <c r="J74" s="1240"/>
      <c r="K74" s="1241">
        <f t="shared" si="3"/>
        <v>0</v>
      </c>
      <c r="L74" s="1242">
        <f t="shared" si="8"/>
        <v>230</v>
      </c>
      <c r="M74" s="1290" t="s">
        <v>507</v>
      </c>
      <c r="N74" s="1291" t="s">
        <v>537</v>
      </c>
      <c r="O74" s="1505"/>
    </row>
    <row r="75" spans="1:15" ht="12" customHeight="1">
      <c r="A75" s="1287">
        <f t="shared" si="7"/>
        <v>46</v>
      </c>
      <c r="B75" s="1288" t="s">
        <v>346</v>
      </c>
      <c r="C75" s="1234" t="s">
        <v>560</v>
      </c>
      <c r="D75" s="1308" t="s">
        <v>541</v>
      </c>
      <c r="E75" s="1236"/>
      <c r="F75" s="1236"/>
      <c r="G75" s="1237"/>
      <c r="H75" s="1238">
        <v>450</v>
      </c>
      <c r="I75" s="1239">
        <v>450</v>
      </c>
      <c r="J75" s="1240"/>
      <c r="K75" s="1241">
        <f t="shared" si="3"/>
        <v>0</v>
      </c>
      <c r="L75" s="1242">
        <f t="shared" si="8"/>
        <v>450</v>
      </c>
      <c r="M75" s="1524" t="s">
        <v>628</v>
      </c>
      <c r="N75" s="1291" t="s">
        <v>223</v>
      </c>
      <c r="O75" s="1508" t="s">
        <v>505</v>
      </c>
    </row>
    <row r="76" spans="1:15" s="1422" customFormat="1" ht="12" customHeight="1">
      <c r="A76" s="1287">
        <f t="shared" si="7"/>
        <v>47</v>
      </c>
      <c r="B76" s="1288" t="s">
        <v>346</v>
      </c>
      <c r="C76" s="1234" t="s">
        <v>560</v>
      </c>
      <c r="D76" s="1235" t="s">
        <v>316</v>
      </c>
      <c r="E76" s="1236"/>
      <c r="F76" s="1236">
        <v>1000</v>
      </c>
      <c r="G76" s="1237">
        <v>1500</v>
      </c>
      <c r="H76" s="1238">
        <v>1100</v>
      </c>
      <c r="I76" s="1239">
        <v>1100</v>
      </c>
      <c r="J76" s="1240"/>
      <c r="K76" s="1241">
        <f t="shared" si="3"/>
        <v>0</v>
      </c>
      <c r="L76" s="1242">
        <f t="shared" si="8"/>
        <v>1100</v>
      </c>
      <c r="M76" s="1290" t="s">
        <v>508</v>
      </c>
      <c r="N76" s="1291" t="s">
        <v>224</v>
      </c>
      <c r="O76" s="1505"/>
    </row>
    <row r="77" spans="1:15" s="1423" customFormat="1" ht="12" customHeight="1">
      <c r="A77" s="1287">
        <f t="shared" si="7"/>
        <v>48</v>
      </c>
      <c r="B77" s="1310" t="s">
        <v>346</v>
      </c>
      <c r="C77" s="1234" t="s">
        <v>560</v>
      </c>
      <c r="D77" s="1311" t="s">
        <v>627</v>
      </c>
      <c r="E77" s="1312"/>
      <c r="F77" s="1312"/>
      <c r="G77" s="1313"/>
      <c r="H77" s="1314">
        <v>660</v>
      </c>
      <c r="I77" s="1315">
        <v>160</v>
      </c>
      <c r="J77" s="1240"/>
      <c r="K77" s="1241">
        <f t="shared" si="3"/>
        <v>0</v>
      </c>
      <c r="L77" s="1242">
        <f t="shared" si="8"/>
        <v>160</v>
      </c>
      <c r="M77" s="1524" t="s">
        <v>629</v>
      </c>
      <c r="N77" s="1291" t="s">
        <v>220</v>
      </c>
      <c r="O77" s="1508" t="s">
        <v>505</v>
      </c>
    </row>
    <row r="78" spans="1:15" s="1422" customFormat="1" ht="12" customHeight="1">
      <c r="A78" s="1287">
        <f t="shared" si="7"/>
        <v>49</v>
      </c>
      <c r="B78" s="1288" t="s">
        <v>346</v>
      </c>
      <c r="C78" s="1234" t="s">
        <v>560</v>
      </c>
      <c r="D78" s="1235" t="s">
        <v>226</v>
      </c>
      <c r="E78" s="1293">
        <v>891</v>
      </c>
      <c r="F78" s="1236">
        <v>891</v>
      </c>
      <c r="G78" s="1237">
        <v>891</v>
      </c>
      <c r="H78" s="1238">
        <v>891</v>
      </c>
      <c r="I78" s="1239">
        <v>350</v>
      </c>
      <c r="J78" s="1240"/>
      <c r="K78" s="1241">
        <f t="shared" si="3"/>
        <v>0</v>
      </c>
      <c r="L78" s="1242">
        <f t="shared" si="8"/>
        <v>350</v>
      </c>
      <c r="M78" s="1290" t="s">
        <v>509</v>
      </c>
      <c r="N78" s="1291" t="s">
        <v>225</v>
      </c>
      <c r="O78" s="1505"/>
    </row>
    <row r="79" spans="1:15" s="1422" customFormat="1" ht="12" customHeight="1">
      <c r="A79" s="1287">
        <f t="shared" si="7"/>
        <v>50</v>
      </c>
      <c r="B79" s="1288" t="s">
        <v>346</v>
      </c>
      <c r="C79" s="1234" t="s">
        <v>560</v>
      </c>
      <c r="D79" s="1235" t="s">
        <v>134</v>
      </c>
      <c r="E79" s="1293">
        <v>1366</v>
      </c>
      <c r="F79" s="1293">
        <v>1366</v>
      </c>
      <c r="G79" s="1247">
        <v>1700</v>
      </c>
      <c r="H79" s="1238">
        <v>1910</v>
      </c>
      <c r="I79" s="1239">
        <v>1900</v>
      </c>
      <c r="J79" s="1240"/>
      <c r="K79" s="1241">
        <f t="shared" si="3"/>
        <v>0</v>
      </c>
      <c r="L79" s="1242">
        <f t="shared" si="8"/>
        <v>1900</v>
      </c>
      <c r="M79" s="1290" t="s">
        <v>510</v>
      </c>
      <c r="N79" s="1291" t="s">
        <v>229</v>
      </c>
      <c r="O79" s="1508"/>
    </row>
    <row r="80" spans="1:15" ht="12" customHeight="1">
      <c r="A80" s="1287">
        <f t="shared" si="7"/>
        <v>51</v>
      </c>
      <c r="B80" s="1288" t="s">
        <v>346</v>
      </c>
      <c r="C80" s="1234" t="s">
        <v>560</v>
      </c>
      <c r="D80" s="1235" t="s">
        <v>408</v>
      </c>
      <c r="E80" s="1293"/>
      <c r="F80" s="1293"/>
      <c r="G80" s="1247">
        <v>200</v>
      </c>
      <c r="H80" s="1238"/>
      <c r="I80" s="1239"/>
      <c r="J80" s="1240"/>
      <c r="K80" s="1241">
        <f t="shared" si="3"/>
        <v>0</v>
      </c>
      <c r="L80" s="1242">
        <f t="shared" si="8"/>
        <v>0</v>
      </c>
      <c r="M80" s="1290" t="s">
        <v>228</v>
      </c>
      <c r="N80" s="1291" t="s">
        <v>229</v>
      </c>
      <c r="O80" s="1505"/>
    </row>
    <row r="81" spans="1:15" ht="12" customHeight="1">
      <c r="A81" s="1287">
        <f t="shared" si="7"/>
        <v>52</v>
      </c>
      <c r="B81" s="1288" t="s">
        <v>346</v>
      </c>
      <c r="C81" s="1234" t="s">
        <v>560</v>
      </c>
      <c r="D81" s="1308" t="s">
        <v>630</v>
      </c>
      <c r="E81" s="1293"/>
      <c r="F81" s="1293"/>
      <c r="G81" s="1247"/>
      <c r="H81" s="1238"/>
      <c r="I81" s="1239">
        <v>2000</v>
      </c>
      <c r="J81" s="1240"/>
      <c r="K81" s="1241">
        <f>I81*J81</f>
        <v>0</v>
      </c>
      <c r="L81" s="1242">
        <f t="shared" si="8"/>
        <v>2000</v>
      </c>
      <c r="M81" s="1316"/>
      <c r="N81" s="1291" t="s">
        <v>539</v>
      </c>
      <c r="O81" s="1509" t="s">
        <v>682</v>
      </c>
    </row>
    <row r="82" spans="1:15" ht="12" customHeight="1">
      <c r="A82" s="1287">
        <f t="shared" si="7"/>
        <v>53</v>
      </c>
      <c r="B82" s="1288" t="s">
        <v>346</v>
      </c>
      <c r="C82" s="1234" t="s">
        <v>560</v>
      </c>
      <c r="D82" s="1308" t="s">
        <v>688</v>
      </c>
      <c r="E82" s="1293"/>
      <c r="F82" s="1293"/>
      <c r="G82" s="1247"/>
      <c r="H82" s="1238">
        <v>5000</v>
      </c>
      <c r="I82" s="1239">
        <v>1000</v>
      </c>
      <c r="J82" s="1240"/>
      <c r="K82" s="1241">
        <f>I82*J82</f>
        <v>0</v>
      </c>
      <c r="L82" s="1242">
        <f t="shared" si="8"/>
        <v>1000</v>
      </c>
      <c r="M82" s="1316"/>
      <c r="N82" s="1291" t="s">
        <v>229</v>
      </c>
      <c r="O82" s="1508" t="s">
        <v>505</v>
      </c>
    </row>
    <row r="83" spans="1:15" ht="12" customHeight="1">
      <c r="A83" s="1287">
        <f t="shared" si="7"/>
        <v>54</v>
      </c>
      <c r="B83" s="1310" t="s">
        <v>346</v>
      </c>
      <c r="C83" s="1234" t="s">
        <v>560</v>
      </c>
      <c r="D83" s="1311" t="s">
        <v>504</v>
      </c>
      <c r="E83" s="1317"/>
      <c r="F83" s="1317"/>
      <c r="G83" s="1318"/>
      <c r="H83" s="1314">
        <v>400</v>
      </c>
      <c r="I83" s="1315">
        <v>400</v>
      </c>
      <c r="J83" s="1240"/>
      <c r="K83" s="1241">
        <f>I83*J83</f>
        <v>0</v>
      </c>
      <c r="L83" s="1242">
        <f t="shared" si="8"/>
        <v>400</v>
      </c>
      <c r="M83" s="1309"/>
      <c r="N83" s="1291" t="s">
        <v>220</v>
      </c>
      <c r="O83" s="1508" t="s">
        <v>505</v>
      </c>
    </row>
    <row r="84" spans="1:15" ht="12" customHeight="1">
      <c r="A84" s="1287">
        <f t="shared" si="7"/>
        <v>55</v>
      </c>
      <c r="B84" s="1310" t="s">
        <v>346</v>
      </c>
      <c r="C84" s="1234" t="s">
        <v>560</v>
      </c>
      <c r="D84" s="1311" t="s">
        <v>506</v>
      </c>
      <c r="E84" s="1312"/>
      <c r="F84" s="1312"/>
      <c r="G84" s="1313"/>
      <c r="H84" s="1314">
        <v>660</v>
      </c>
      <c r="I84" s="1315">
        <v>660</v>
      </c>
      <c r="J84" s="1240"/>
      <c r="K84" s="1241">
        <f>I84*J84</f>
        <v>0</v>
      </c>
      <c r="L84" s="1242">
        <f t="shared" si="8"/>
        <v>660</v>
      </c>
      <c r="M84" s="1309"/>
      <c r="N84" s="1319" t="s">
        <v>220</v>
      </c>
      <c r="O84" s="1508" t="s">
        <v>505</v>
      </c>
    </row>
    <row r="85" spans="1:15" ht="12" customHeight="1" thickBot="1">
      <c r="A85" s="1287">
        <f>A84+1</f>
        <v>56</v>
      </c>
      <c r="B85" s="1288" t="s">
        <v>346</v>
      </c>
      <c r="C85" s="1234" t="s">
        <v>560</v>
      </c>
      <c r="D85" s="1308" t="s">
        <v>622</v>
      </c>
      <c r="E85" s="1236"/>
      <c r="F85" s="1236"/>
      <c r="G85" s="1237"/>
      <c r="H85" s="1238"/>
      <c r="I85" s="1239">
        <v>200</v>
      </c>
      <c r="J85" s="1240"/>
      <c r="K85" s="1241">
        <f>I85*J85</f>
        <v>0</v>
      </c>
      <c r="L85" s="1242">
        <f t="shared" si="8"/>
        <v>200</v>
      </c>
      <c r="M85" s="1309"/>
      <c r="N85" s="1291" t="s">
        <v>537</v>
      </c>
      <c r="O85" s="1508" t="s">
        <v>505</v>
      </c>
    </row>
    <row r="86" spans="1:15" ht="12" customHeight="1" thickBot="1">
      <c r="A86" s="1321">
        <f>A85+1</f>
        <v>57</v>
      </c>
      <c r="B86" s="1514" t="s">
        <v>346</v>
      </c>
      <c r="C86" s="1515" t="s">
        <v>560</v>
      </c>
      <c r="D86" s="1516" t="s">
        <v>692</v>
      </c>
      <c r="E86" s="1517">
        <v>16000</v>
      </c>
      <c r="F86" s="1517">
        <v>17500</v>
      </c>
      <c r="G86" s="1320">
        <v>17500</v>
      </c>
      <c r="H86" s="1518">
        <v>17500</v>
      </c>
      <c r="I86" s="1521">
        <v>17500</v>
      </c>
      <c r="J86" s="1522"/>
      <c r="K86" s="1523">
        <v>0</v>
      </c>
      <c r="L86" s="1521">
        <f t="shared" si="8"/>
        <v>17500</v>
      </c>
      <c r="M86" s="1321"/>
      <c r="N86" s="1519" t="s">
        <v>537</v>
      </c>
      <c r="O86" s="1520" t="s">
        <v>624</v>
      </c>
    </row>
    <row r="87" spans="1:15" ht="12" customHeight="1">
      <c r="A87" s="1322"/>
      <c r="B87" s="1323"/>
      <c r="C87" s="1324"/>
      <c r="D87" s="1325" t="s">
        <v>29</v>
      </c>
      <c r="E87" s="1326">
        <f>SUM(E28:E86)</f>
        <v>118267</v>
      </c>
      <c r="F87" s="1326">
        <f>SUM(F28:F86)</f>
        <v>98892</v>
      </c>
      <c r="G87" s="1327">
        <f>SUM(G28:G86)</f>
        <v>101859</v>
      </c>
      <c r="H87" s="1328">
        <f>SUM(H28:H86)</f>
        <v>101772</v>
      </c>
      <c r="I87" s="1327">
        <f>SUM(I28:I86)</f>
        <v>97326</v>
      </c>
      <c r="J87" s="1329"/>
      <c r="K87" s="1330">
        <f>SUM(K28:K86)</f>
        <v>8853.8</v>
      </c>
      <c r="L87" s="1331">
        <f>SUM(L28:L86)</f>
        <v>88472.2</v>
      </c>
      <c r="M87" s="1322"/>
      <c r="N87" s="1332"/>
      <c r="O87" s="1505"/>
    </row>
    <row r="88" spans="1:15" ht="12" customHeight="1">
      <c r="A88" s="1287">
        <f>A86+1</f>
        <v>58</v>
      </c>
      <c r="B88" s="1288" t="s">
        <v>346</v>
      </c>
      <c r="C88" s="1333" t="s">
        <v>579</v>
      </c>
      <c r="D88" s="1292" t="s">
        <v>424</v>
      </c>
      <c r="E88" s="1334"/>
      <c r="F88" s="1334"/>
      <c r="G88" s="1335">
        <v>100</v>
      </c>
      <c r="H88" s="1336"/>
      <c r="I88" s="1337">
        <v>100</v>
      </c>
      <c r="J88" s="1338"/>
      <c r="K88" s="1241">
        <f>I88*J88</f>
        <v>0</v>
      </c>
      <c r="L88" s="1242">
        <f>I88-K88</f>
        <v>100</v>
      </c>
      <c r="M88" s="1287"/>
      <c r="N88" s="1291"/>
      <c r="O88" s="1503"/>
    </row>
    <row r="89" spans="1:15" ht="12" customHeight="1">
      <c r="A89" s="1339"/>
      <c r="B89" s="1340"/>
      <c r="C89" s="1341"/>
      <c r="D89" s="1342" t="s">
        <v>425</v>
      </c>
      <c r="E89" s="1343">
        <f>SUM(E88:E88)</f>
        <v>0</v>
      </c>
      <c r="F89" s="1343">
        <f>SUM(F88:F88)</f>
        <v>0</v>
      </c>
      <c r="G89" s="1344">
        <f>SUM(G88:G88)</f>
        <v>100</v>
      </c>
      <c r="H89" s="1345">
        <f>SUM(H88:H88)</f>
        <v>0</v>
      </c>
      <c r="I89" s="1344">
        <f>SUM(I88:I88)</f>
        <v>100</v>
      </c>
      <c r="J89" s="1329"/>
      <c r="K89" s="1346">
        <f>SUM(K88)</f>
        <v>0</v>
      </c>
      <c r="L89" s="1347">
        <f>SUM(L88:L88)</f>
        <v>100</v>
      </c>
      <c r="M89" s="1348"/>
      <c r="N89" s="1349"/>
      <c r="O89" s="1505"/>
    </row>
    <row r="90" spans="1:15" ht="12" customHeight="1">
      <c r="A90" s="1350">
        <f>A88+1</f>
        <v>59</v>
      </c>
      <c r="B90" s="1351" t="s">
        <v>346</v>
      </c>
      <c r="C90" s="1352" t="s">
        <v>575</v>
      </c>
      <c r="D90" s="1353" t="s">
        <v>232</v>
      </c>
      <c r="E90" s="1354">
        <v>95</v>
      </c>
      <c r="F90" s="1354"/>
      <c r="G90" s="1355"/>
      <c r="H90" s="1356"/>
      <c r="I90" s="1357"/>
      <c r="J90" s="1358"/>
      <c r="K90" s="1359">
        <f>I90*J90</f>
        <v>0</v>
      </c>
      <c r="L90" s="1360">
        <f>I90-K90</f>
        <v>0</v>
      </c>
      <c r="M90" s="1350"/>
      <c r="N90" s="1361"/>
      <c r="O90" s="1508"/>
    </row>
    <row r="91" spans="1:15" ht="12" customHeight="1">
      <c r="A91" s="1350">
        <f>A90+1</f>
        <v>60</v>
      </c>
      <c r="B91" s="1351" t="s">
        <v>346</v>
      </c>
      <c r="C91" s="1352" t="s">
        <v>575</v>
      </c>
      <c r="D91" s="1420" t="s">
        <v>515</v>
      </c>
      <c r="E91" s="1354"/>
      <c r="F91" s="1354"/>
      <c r="G91" s="1355"/>
      <c r="H91" s="1356">
        <v>200</v>
      </c>
      <c r="I91" s="1357">
        <v>200</v>
      </c>
      <c r="J91" s="1358"/>
      <c r="K91" s="1359">
        <f>I91*J91</f>
        <v>0</v>
      </c>
      <c r="L91" s="1360">
        <f>I91-K91</f>
        <v>200</v>
      </c>
      <c r="M91" s="1350"/>
      <c r="N91" s="1361"/>
      <c r="O91" s="1508" t="s">
        <v>512</v>
      </c>
    </row>
    <row r="92" spans="1:15" ht="12" customHeight="1">
      <c r="A92" s="1339"/>
      <c r="B92" s="1340"/>
      <c r="C92" s="1341"/>
      <c r="D92" s="1342" t="s">
        <v>514</v>
      </c>
      <c r="E92" s="1326">
        <f>SUM(E90:E91)</f>
        <v>95</v>
      </c>
      <c r="F92" s="1326">
        <f aca="true" t="shared" si="9" ref="F92:K92">SUM(F90:F91)</f>
        <v>0</v>
      </c>
      <c r="G92" s="1362">
        <f t="shared" si="9"/>
        <v>0</v>
      </c>
      <c r="H92" s="1328">
        <f t="shared" si="9"/>
        <v>200</v>
      </c>
      <c r="I92" s="1362">
        <f t="shared" si="9"/>
        <v>200</v>
      </c>
      <c r="J92" s="1329">
        <f t="shared" si="9"/>
        <v>0</v>
      </c>
      <c r="K92" s="1363">
        <f t="shared" si="9"/>
        <v>0</v>
      </c>
      <c r="L92" s="1331">
        <f>SUM(L90:L91)</f>
        <v>200</v>
      </c>
      <c r="M92" s="1348"/>
      <c r="N92" s="1364"/>
      <c r="O92" s="1505"/>
    </row>
    <row r="93" spans="1:15" ht="12" customHeight="1">
      <c r="A93" s="1287">
        <f>A91+1</f>
        <v>61</v>
      </c>
      <c r="B93" s="1288" t="s">
        <v>346</v>
      </c>
      <c r="C93" s="1333" t="s">
        <v>576</v>
      </c>
      <c r="D93" s="1235" t="s">
        <v>163</v>
      </c>
      <c r="E93" s="1236">
        <v>2430</v>
      </c>
      <c r="F93" s="1236">
        <v>2700</v>
      </c>
      <c r="G93" s="1237">
        <v>2700</v>
      </c>
      <c r="H93" s="1238">
        <v>2700</v>
      </c>
      <c r="I93" s="1239">
        <v>2700</v>
      </c>
      <c r="J93" s="1240"/>
      <c r="K93" s="1241">
        <f>I93*J93</f>
        <v>0</v>
      </c>
      <c r="L93" s="1242">
        <f>I93-K93</f>
        <v>2700</v>
      </c>
      <c r="M93" s="1287"/>
      <c r="N93" s="1291"/>
      <c r="O93" s="1505"/>
    </row>
    <row r="94" spans="1:15" ht="12" customHeight="1">
      <c r="A94" s="1287">
        <f>A93+1</f>
        <v>62</v>
      </c>
      <c r="B94" s="1288" t="s">
        <v>346</v>
      </c>
      <c r="C94" s="1333" t="s">
        <v>576</v>
      </c>
      <c r="D94" s="1235" t="s">
        <v>415</v>
      </c>
      <c r="E94" s="1236"/>
      <c r="F94" s="1236"/>
      <c r="G94" s="1237">
        <v>1500</v>
      </c>
      <c r="H94" s="1238"/>
      <c r="I94" s="1239"/>
      <c r="J94" s="1240"/>
      <c r="K94" s="1241">
        <f>I94*J94</f>
        <v>0</v>
      </c>
      <c r="L94" s="1242">
        <f>I94-K94</f>
        <v>0</v>
      </c>
      <c r="M94" s="1287"/>
      <c r="N94" s="1291"/>
      <c r="O94" s="1505"/>
    </row>
    <row r="95" spans="1:15" ht="12" customHeight="1">
      <c r="A95" s="1287">
        <f>A94+1</f>
        <v>63</v>
      </c>
      <c r="B95" s="1288" t="s">
        <v>346</v>
      </c>
      <c r="C95" s="1333" t="s">
        <v>576</v>
      </c>
      <c r="D95" s="1235" t="s">
        <v>182</v>
      </c>
      <c r="E95" s="1365"/>
      <c r="F95" s="1365">
        <v>1000</v>
      </c>
      <c r="G95" s="1237">
        <v>1000</v>
      </c>
      <c r="H95" s="1238">
        <v>1000</v>
      </c>
      <c r="I95" s="1239">
        <v>1000</v>
      </c>
      <c r="J95" s="1240"/>
      <c r="K95" s="1241">
        <f>I95*J95</f>
        <v>0</v>
      </c>
      <c r="L95" s="1242">
        <f>I95-K95</f>
        <v>1000</v>
      </c>
      <c r="M95" s="1287"/>
      <c r="N95" s="1291"/>
      <c r="O95" s="1505"/>
    </row>
    <row r="96" spans="1:15" ht="12" customHeight="1">
      <c r="A96" s="1348"/>
      <c r="B96" s="1340"/>
      <c r="C96" s="1341"/>
      <c r="D96" s="1342" t="s">
        <v>176</v>
      </c>
      <c r="E96" s="1326">
        <f>SUM(E93:E95)</f>
        <v>2430</v>
      </c>
      <c r="F96" s="1326">
        <f>SUM(F93:F95)</f>
        <v>3700</v>
      </c>
      <c r="G96" s="1327">
        <f>SUM(G93:G95)</f>
        <v>5200</v>
      </c>
      <c r="H96" s="1328">
        <f>SUM(H93:H95)</f>
        <v>3700</v>
      </c>
      <c r="I96" s="1327">
        <f>SUM(I93:I95)</f>
        <v>3700</v>
      </c>
      <c r="J96" s="1329"/>
      <c r="K96" s="1363">
        <f>SUM(K93:K95)</f>
        <v>0</v>
      </c>
      <c r="L96" s="1331">
        <f>SUM(L93:L95)</f>
        <v>3700</v>
      </c>
      <c r="M96" s="1348"/>
      <c r="N96" s="1364"/>
      <c r="O96" s="1366"/>
    </row>
    <row r="97" spans="1:15" ht="12" customHeight="1">
      <c r="A97" s="1287">
        <f>A95+1</f>
        <v>64</v>
      </c>
      <c r="B97" s="1288" t="s">
        <v>346</v>
      </c>
      <c r="C97" s="1333" t="s">
        <v>577</v>
      </c>
      <c r="D97" s="1292" t="s">
        <v>152</v>
      </c>
      <c r="E97" s="1236">
        <v>5400</v>
      </c>
      <c r="F97" s="1236">
        <v>5400</v>
      </c>
      <c r="G97" s="1237">
        <v>1400</v>
      </c>
      <c r="H97" s="1238">
        <v>36000</v>
      </c>
      <c r="I97" s="1239">
        <f>1500+34500</f>
        <v>36000</v>
      </c>
      <c r="J97" s="1240"/>
      <c r="K97" s="1241">
        <f>I97*J97</f>
        <v>0</v>
      </c>
      <c r="L97" s="1242">
        <f>I97-K97</f>
        <v>36000</v>
      </c>
      <c r="M97" s="1287"/>
      <c r="N97" s="1291"/>
      <c r="O97" s="1366"/>
    </row>
    <row r="98" spans="1:15" ht="12" customHeight="1">
      <c r="A98" s="1287">
        <f>A97+1</f>
        <v>65</v>
      </c>
      <c r="B98" s="1288" t="s">
        <v>346</v>
      </c>
      <c r="C98" s="1333" t="s">
        <v>577</v>
      </c>
      <c r="D98" s="1292" t="s">
        <v>231</v>
      </c>
      <c r="E98" s="1365"/>
      <c r="F98" s="1365">
        <v>5000</v>
      </c>
      <c r="G98" s="1237">
        <v>3000</v>
      </c>
      <c r="H98" s="1238"/>
      <c r="I98" s="1239"/>
      <c r="J98" s="1240"/>
      <c r="K98" s="1241">
        <f>I98*J98</f>
        <v>0</v>
      </c>
      <c r="L98" s="1242">
        <f>I98-K98</f>
        <v>0</v>
      </c>
      <c r="M98" s="1287"/>
      <c r="N98" s="1291"/>
      <c r="O98" s="1505"/>
    </row>
    <row r="99" spans="1:15" ht="12" customHeight="1">
      <c r="A99" s="1339"/>
      <c r="B99" s="1340"/>
      <c r="C99" s="1341"/>
      <c r="D99" s="1342" t="s">
        <v>30</v>
      </c>
      <c r="E99" s="1326">
        <f>SUM(E97:E98)</f>
        <v>5400</v>
      </c>
      <c r="F99" s="1326">
        <f>SUM(F97:F98)</f>
        <v>10400</v>
      </c>
      <c r="G99" s="1362">
        <f>SUM(G97:G98)</f>
        <v>4400</v>
      </c>
      <c r="H99" s="1328">
        <f>SUM(H97:H98)</f>
        <v>36000</v>
      </c>
      <c r="I99" s="1362">
        <f>SUM(I97:I98)</f>
        <v>36000</v>
      </c>
      <c r="J99" s="1329"/>
      <c r="K99" s="1363">
        <f>SUM(K97:K98)</f>
        <v>0</v>
      </c>
      <c r="L99" s="1331">
        <f>SUM(L97:L98)</f>
        <v>36000</v>
      </c>
      <c r="M99" s="1348"/>
      <c r="N99" s="1364"/>
      <c r="O99" s="1505"/>
    </row>
    <row r="100" spans="1:15" ht="12" customHeight="1">
      <c r="A100" s="1287">
        <f>A98+1</f>
        <v>66</v>
      </c>
      <c r="B100" s="1288" t="s">
        <v>346</v>
      </c>
      <c r="C100" s="1333" t="s">
        <v>574</v>
      </c>
      <c r="D100" s="1235" t="s">
        <v>93</v>
      </c>
      <c r="E100" s="1293">
        <v>250</v>
      </c>
      <c r="F100" s="1293">
        <v>250</v>
      </c>
      <c r="G100" s="1247">
        <v>250</v>
      </c>
      <c r="H100" s="1238">
        <v>250</v>
      </c>
      <c r="I100" s="1239">
        <v>250</v>
      </c>
      <c r="J100" s="1240"/>
      <c r="K100" s="1241">
        <f>I100*J100</f>
        <v>0</v>
      </c>
      <c r="L100" s="1242">
        <f>I100-K100</f>
        <v>250</v>
      </c>
      <c r="M100" s="1287"/>
      <c r="N100" s="1291"/>
      <c r="O100" s="1505"/>
    </row>
    <row r="101" spans="1:15" ht="12" customHeight="1">
      <c r="A101" s="1287">
        <f>A100+1</f>
        <v>67</v>
      </c>
      <c r="B101" s="1288" t="s">
        <v>346</v>
      </c>
      <c r="C101" s="1333" t="s">
        <v>574</v>
      </c>
      <c r="D101" s="1308" t="s">
        <v>687</v>
      </c>
      <c r="E101" s="1293"/>
      <c r="F101" s="1293"/>
      <c r="G101" s="1247"/>
      <c r="H101" s="1238">
        <v>300</v>
      </c>
      <c r="I101" s="1239">
        <v>300</v>
      </c>
      <c r="J101" s="1240"/>
      <c r="K101" s="1241">
        <f>I101*J101</f>
        <v>0</v>
      </c>
      <c r="L101" s="1242">
        <f>I101-K101</f>
        <v>300</v>
      </c>
      <c r="M101" s="1287"/>
      <c r="N101" s="1291"/>
      <c r="O101" s="1508" t="s">
        <v>512</v>
      </c>
    </row>
    <row r="102" spans="1:15" ht="12" customHeight="1">
      <c r="A102" s="1287">
        <f>A101+1</f>
        <v>68</v>
      </c>
      <c r="B102" s="1288" t="s">
        <v>346</v>
      </c>
      <c r="C102" s="1333" t="s">
        <v>574</v>
      </c>
      <c r="D102" s="1235" t="s">
        <v>414</v>
      </c>
      <c r="E102" s="1236"/>
      <c r="F102" s="1236"/>
      <c r="G102" s="1237">
        <v>250</v>
      </c>
      <c r="H102" s="1238">
        <v>250</v>
      </c>
      <c r="I102" s="1239">
        <v>250</v>
      </c>
      <c r="J102" s="1240"/>
      <c r="K102" s="1241">
        <f>I102*J102</f>
        <v>0</v>
      </c>
      <c r="L102" s="1242">
        <f>I102-K102</f>
        <v>250</v>
      </c>
      <c r="M102" s="1287"/>
      <c r="N102" s="1291"/>
      <c r="O102" s="1505"/>
    </row>
    <row r="103" spans="1:15" ht="12" customHeight="1">
      <c r="A103" s="1339"/>
      <c r="B103" s="1340"/>
      <c r="C103" s="1341"/>
      <c r="D103" s="1342" t="s">
        <v>175</v>
      </c>
      <c r="E103" s="1326">
        <f>SUM(E100:E102)</f>
        <v>250</v>
      </c>
      <c r="F103" s="1326">
        <f>SUM(F100:F102)</f>
        <v>250</v>
      </c>
      <c r="G103" s="1327">
        <f>SUM(G100:G102)</f>
        <v>500</v>
      </c>
      <c r="H103" s="1328">
        <f>SUM(H100:H102)</f>
        <v>800</v>
      </c>
      <c r="I103" s="1327">
        <f>SUM(I100:I102)</f>
        <v>800</v>
      </c>
      <c r="J103" s="1329"/>
      <c r="K103" s="1363">
        <f>SUM(K100:K102)</f>
        <v>0</v>
      </c>
      <c r="L103" s="1331">
        <f>SUM(L100:L102)</f>
        <v>800</v>
      </c>
      <c r="M103" s="1348"/>
      <c r="N103" s="1364"/>
      <c r="O103" s="1505"/>
    </row>
    <row r="104" spans="1:15" ht="12" customHeight="1">
      <c r="A104" s="1287">
        <f>A102+1</f>
        <v>69</v>
      </c>
      <c r="B104" s="1288" t="s">
        <v>346</v>
      </c>
      <c r="C104" s="1333" t="s">
        <v>578</v>
      </c>
      <c r="D104" s="1292" t="s">
        <v>153</v>
      </c>
      <c r="E104" s="1255">
        <v>270</v>
      </c>
      <c r="F104" s="1255">
        <v>300</v>
      </c>
      <c r="G104" s="1256">
        <v>300</v>
      </c>
      <c r="H104" s="1257">
        <v>300</v>
      </c>
      <c r="I104" s="1258">
        <v>300</v>
      </c>
      <c r="J104" s="1240"/>
      <c r="K104" s="1241">
        <f>I104*J104</f>
        <v>0</v>
      </c>
      <c r="L104" s="1242">
        <f>I104-K104</f>
        <v>300</v>
      </c>
      <c r="M104" s="1287"/>
      <c r="N104" s="1291"/>
      <c r="O104" s="1505"/>
    </row>
    <row r="105" spans="1:15" ht="12" customHeight="1">
      <c r="A105" s="1339"/>
      <c r="B105" s="1340"/>
      <c r="C105" s="1341"/>
      <c r="D105" s="1342" t="s">
        <v>97</v>
      </c>
      <c r="E105" s="1326">
        <f>SUM(E104)</f>
        <v>270</v>
      </c>
      <c r="F105" s="1326">
        <f>SUM(F104)</f>
        <v>300</v>
      </c>
      <c r="G105" s="1362">
        <f>SUM(G104:G104)</f>
        <v>300</v>
      </c>
      <c r="H105" s="1328">
        <f>SUM(H104:H104)</f>
        <v>300</v>
      </c>
      <c r="I105" s="1362">
        <f>SUM(I104:I104)</f>
        <v>300</v>
      </c>
      <c r="J105" s="1329"/>
      <c r="K105" s="1363">
        <f>SUM(K104:K104)</f>
        <v>0</v>
      </c>
      <c r="L105" s="1331">
        <f>SUM(L104:L104)</f>
        <v>300</v>
      </c>
      <c r="M105" s="1348"/>
      <c r="N105" s="1364"/>
      <c r="O105" s="1505"/>
    </row>
    <row r="106" spans="1:15" ht="12" customHeight="1">
      <c r="A106" s="1287">
        <f>A104+1</f>
        <v>70</v>
      </c>
      <c r="B106" s="1288" t="s">
        <v>346</v>
      </c>
      <c r="C106" s="1333" t="s">
        <v>562</v>
      </c>
      <c r="D106" s="1235" t="s">
        <v>517</v>
      </c>
      <c r="E106" s="1236"/>
      <c r="F106" s="1236"/>
      <c r="G106" s="1237"/>
      <c r="H106" s="1238">
        <v>2000</v>
      </c>
      <c r="I106" s="1239">
        <v>2000</v>
      </c>
      <c r="J106" s="1240"/>
      <c r="K106" s="1241">
        <f>I106*J106</f>
        <v>0</v>
      </c>
      <c r="L106" s="1242">
        <f>I106-K106</f>
        <v>2000</v>
      </c>
      <c r="M106" s="1287"/>
      <c r="N106" s="1291"/>
      <c r="O106" s="1419" t="s">
        <v>683</v>
      </c>
    </row>
    <row r="107" spans="1:15" ht="12" customHeight="1">
      <c r="A107" s="1287">
        <f>A106+1</f>
        <v>71</v>
      </c>
      <c r="B107" s="1288" t="s">
        <v>346</v>
      </c>
      <c r="C107" s="1333" t="s">
        <v>562</v>
      </c>
      <c r="D107" s="1292" t="s">
        <v>518</v>
      </c>
      <c r="E107" s="1265"/>
      <c r="F107" s="1265"/>
      <c r="G107" s="1266"/>
      <c r="H107" s="1257">
        <v>8000</v>
      </c>
      <c r="I107" s="1258"/>
      <c r="J107" s="1240"/>
      <c r="K107" s="1241">
        <f>I107*J107</f>
        <v>0</v>
      </c>
      <c r="L107" s="1242">
        <f>I107-K107</f>
        <v>0</v>
      </c>
      <c r="M107" s="1287"/>
      <c r="N107" s="1291"/>
      <c r="O107" s="1510"/>
    </row>
    <row r="108" spans="1:15" ht="12" customHeight="1">
      <c r="A108" s="1339"/>
      <c r="B108" s="1340"/>
      <c r="C108" s="1341"/>
      <c r="D108" s="1342" t="s">
        <v>516</v>
      </c>
      <c r="E108" s="1362">
        <f>SUM(E106:E107)</f>
        <v>0</v>
      </c>
      <c r="F108" s="1362">
        <f>SUM(F106:F107)</f>
        <v>0</v>
      </c>
      <c r="G108" s="1362">
        <f>SUM(G106:G107)</f>
        <v>0</v>
      </c>
      <c r="H108" s="1345">
        <f>SUM(H106:H107)</f>
        <v>10000</v>
      </c>
      <c r="I108" s="1344">
        <f>SUM(I106:I107)</f>
        <v>2000</v>
      </c>
      <c r="J108" s="1329"/>
      <c r="K108" s="1346">
        <f>SUM(K106:K107)</f>
        <v>0</v>
      </c>
      <c r="L108" s="1347">
        <f>SUM(L106:L107)</f>
        <v>2000</v>
      </c>
      <c r="M108" s="1348"/>
      <c r="N108" s="1364"/>
      <c r="O108" s="1510"/>
    </row>
    <row r="109" spans="1:15" ht="12" customHeight="1">
      <c r="A109" s="1287">
        <f>A107+1</f>
        <v>72</v>
      </c>
      <c r="B109" s="1288" t="s">
        <v>346</v>
      </c>
      <c r="C109" s="1333" t="s">
        <v>571</v>
      </c>
      <c r="D109" s="1235" t="s">
        <v>234</v>
      </c>
      <c r="E109" s="1236"/>
      <c r="F109" s="1236"/>
      <c r="G109" s="1237">
        <v>1500</v>
      </c>
      <c r="H109" s="1238">
        <v>1800</v>
      </c>
      <c r="I109" s="1239">
        <v>1800</v>
      </c>
      <c r="J109" s="1240"/>
      <c r="K109" s="1241">
        <f>I109*J109</f>
        <v>0</v>
      </c>
      <c r="L109" s="1242">
        <f>I109-K109</f>
        <v>1800</v>
      </c>
      <c r="M109" s="1287"/>
      <c r="N109" s="1291"/>
      <c r="O109" s="1505"/>
    </row>
    <row r="110" spans="1:15" ht="12" customHeight="1">
      <c r="A110" s="1339"/>
      <c r="B110" s="1340"/>
      <c r="C110" s="1341"/>
      <c r="D110" s="1342" t="s">
        <v>421</v>
      </c>
      <c r="E110" s="1362">
        <f>SUM(E109)</f>
        <v>0</v>
      </c>
      <c r="F110" s="1362">
        <f>SUM(F109)</f>
        <v>0</v>
      </c>
      <c r="G110" s="1362">
        <f>SUM(G109)</f>
        <v>1500</v>
      </c>
      <c r="H110" s="1328">
        <f>SUM(H109)</f>
        <v>1800</v>
      </c>
      <c r="I110" s="1362">
        <f>SUM(I109)</f>
        <v>1800</v>
      </c>
      <c r="J110" s="1329"/>
      <c r="K110" s="1363">
        <f>SUM(K109)</f>
        <v>0</v>
      </c>
      <c r="L110" s="1331">
        <f>SUM(L109)</f>
        <v>1800</v>
      </c>
      <c r="M110" s="1348"/>
      <c r="N110" s="1364"/>
      <c r="O110" s="1505"/>
    </row>
    <row r="111" spans="1:15" ht="12" customHeight="1">
      <c r="A111" s="1287">
        <f>A109+1</f>
        <v>73</v>
      </c>
      <c r="B111" s="1288" t="s">
        <v>346</v>
      </c>
      <c r="C111" s="1333" t="s">
        <v>563</v>
      </c>
      <c r="D111" s="1235"/>
      <c r="E111" s="1236"/>
      <c r="F111" s="1236"/>
      <c r="G111" s="1237"/>
      <c r="H111" s="1238"/>
      <c r="I111" s="1239"/>
      <c r="J111" s="1240"/>
      <c r="K111" s="1241">
        <f>I111*J111</f>
        <v>0</v>
      </c>
      <c r="L111" s="1242">
        <f>I111-K111</f>
        <v>0</v>
      </c>
      <c r="M111" s="1287"/>
      <c r="N111" s="1291"/>
      <c r="O111" s="1503"/>
    </row>
    <row r="112" spans="1:15" ht="12" customHeight="1">
      <c r="A112" s="1339"/>
      <c r="B112" s="1340"/>
      <c r="C112" s="1341"/>
      <c r="D112" s="1342" t="s">
        <v>519</v>
      </c>
      <c r="E112" s="1362">
        <f>SUM(E111)</f>
        <v>0</v>
      </c>
      <c r="F112" s="1362">
        <f>SUM(F111)</f>
        <v>0</v>
      </c>
      <c r="G112" s="1362">
        <f>SUM(G111)</f>
        <v>0</v>
      </c>
      <c r="H112" s="1328">
        <f>SUM(H111)</f>
        <v>0</v>
      </c>
      <c r="I112" s="1362">
        <f>SUM(I111)</f>
        <v>0</v>
      </c>
      <c r="J112" s="1329"/>
      <c r="K112" s="1363">
        <f>SUM(K111)</f>
        <v>0</v>
      </c>
      <c r="L112" s="1331">
        <f>SUM(L111)</f>
        <v>0</v>
      </c>
      <c r="M112" s="1348"/>
      <c r="N112" s="1364"/>
      <c r="O112" s="1505"/>
    </row>
    <row r="113" spans="1:15" ht="12" customHeight="1">
      <c r="A113" s="1287">
        <f>A111+1</f>
        <v>74</v>
      </c>
      <c r="B113" s="1288" t="s">
        <v>346</v>
      </c>
      <c r="C113" s="1333" t="s">
        <v>572</v>
      </c>
      <c r="D113" s="1235" t="s">
        <v>330</v>
      </c>
      <c r="E113" s="1293"/>
      <c r="F113" s="1293"/>
      <c r="G113" s="1247">
        <v>7516</v>
      </c>
      <c r="H113" s="1238">
        <v>9598</v>
      </c>
      <c r="I113" s="1239">
        <v>9598</v>
      </c>
      <c r="J113" s="1240"/>
      <c r="K113" s="1241">
        <f aca="true" t="shared" si="10" ref="K113:K118">I113*J113</f>
        <v>0</v>
      </c>
      <c r="L113" s="1242">
        <f aca="true" t="shared" si="11" ref="L113:L118">I113-K113</f>
        <v>9598</v>
      </c>
      <c r="M113" s="1287"/>
      <c r="N113" s="1291"/>
      <c r="O113" s="1505"/>
    </row>
    <row r="114" spans="1:15" ht="12" customHeight="1">
      <c r="A114" s="1287">
        <f>A113+1</f>
        <v>75</v>
      </c>
      <c r="B114" s="1288" t="s">
        <v>346</v>
      </c>
      <c r="C114" s="1333" t="s">
        <v>572</v>
      </c>
      <c r="D114" s="1235" t="s">
        <v>417</v>
      </c>
      <c r="E114" s="1293"/>
      <c r="F114" s="1293"/>
      <c r="G114" s="1247">
        <v>500</v>
      </c>
      <c r="H114" s="1238">
        <v>250</v>
      </c>
      <c r="I114" s="1239">
        <v>250</v>
      </c>
      <c r="J114" s="1240"/>
      <c r="K114" s="1241">
        <f t="shared" si="10"/>
        <v>0</v>
      </c>
      <c r="L114" s="1242">
        <f t="shared" si="11"/>
        <v>250</v>
      </c>
      <c r="M114" s="1287"/>
      <c r="N114" s="1291"/>
      <c r="O114" s="1505"/>
    </row>
    <row r="115" spans="1:15" ht="12" customHeight="1">
      <c r="A115" s="1287">
        <f>A114+1</f>
        <v>76</v>
      </c>
      <c r="B115" s="1288" t="s">
        <v>346</v>
      </c>
      <c r="C115" s="1333" t="s">
        <v>572</v>
      </c>
      <c r="D115" s="1235" t="s">
        <v>418</v>
      </c>
      <c r="E115" s="1293"/>
      <c r="F115" s="1293"/>
      <c r="G115" s="1247">
        <v>1100</v>
      </c>
      <c r="H115" s="1238">
        <v>800</v>
      </c>
      <c r="I115" s="1239">
        <v>800</v>
      </c>
      <c r="J115" s="1240"/>
      <c r="K115" s="1241">
        <f t="shared" si="10"/>
        <v>0</v>
      </c>
      <c r="L115" s="1242">
        <f t="shared" si="11"/>
        <v>800</v>
      </c>
      <c r="M115" s="1287"/>
      <c r="N115" s="1291"/>
      <c r="O115" s="1505"/>
    </row>
    <row r="116" spans="1:15" ht="12" customHeight="1">
      <c r="A116" s="1287">
        <f>A115+1</f>
        <v>77</v>
      </c>
      <c r="B116" s="1288" t="s">
        <v>346</v>
      </c>
      <c r="C116" s="1333" t="s">
        <v>572</v>
      </c>
      <c r="D116" s="1235" t="s">
        <v>107</v>
      </c>
      <c r="E116" s="1293"/>
      <c r="F116" s="1293"/>
      <c r="G116" s="1247">
        <v>1000</v>
      </c>
      <c r="H116" s="1238"/>
      <c r="I116" s="1239"/>
      <c r="J116" s="1240"/>
      <c r="K116" s="1241">
        <f t="shared" si="10"/>
        <v>0</v>
      </c>
      <c r="L116" s="1242">
        <f t="shared" si="11"/>
        <v>0</v>
      </c>
      <c r="M116" s="1287"/>
      <c r="N116" s="1291"/>
      <c r="O116" s="1505"/>
    </row>
    <row r="117" spans="1:15" ht="12" customHeight="1">
      <c r="A117" s="1287">
        <f>A116+1</f>
        <v>78</v>
      </c>
      <c r="B117" s="1288" t="s">
        <v>346</v>
      </c>
      <c r="C117" s="1333" t="s">
        <v>572</v>
      </c>
      <c r="D117" s="1235" t="s">
        <v>419</v>
      </c>
      <c r="E117" s="1293"/>
      <c r="F117" s="1293"/>
      <c r="G117" s="1247">
        <v>600</v>
      </c>
      <c r="H117" s="1238"/>
      <c r="I117" s="1239"/>
      <c r="J117" s="1240"/>
      <c r="K117" s="1241">
        <f t="shared" si="10"/>
        <v>0</v>
      </c>
      <c r="L117" s="1242">
        <f t="shared" si="11"/>
        <v>0</v>
      </c>
      <c r="M117" s="1287"/>
      <c r="N117" s="1291"/>
      <c r="O117" s="1505"/>
    </row>
    <row r="118" spans="1:15" ht="12" customHeight="1">
      <c r="A118" s="1287">
        <f>A117+1</f>
        <v>79</v>
      </c>
      <c r="B118" s="1288" t="s">
        <v>346</v>
      </c>
      <c r="C118" s="1367" t="s">
        <v>572</v>
      </c>
      <c r="D118" s="1368" t="s">
        <v>420</v>
      </c>
      <c r="E118" s="1293"/>
      <c r="F118" s="1293"/>
      <c r="G118" s="1247">
        <v>250</v>
      </c>
      <c r="H118" s="1238"/>
      <c r="I118" s="1239"/>
      <c r="J118" s="1240"/>
      <c r="K118" s="1241">
        <f t="shared" si="10"/>
        <v>0</v>
      </c>
      <c r="L118" s="1242">
        <f t="shared" si="11"/>
        <v>0</v>
      </c>
      <c r="M118" s="1369"/>
      <c r="N118" s="1319"/>
      <c r="O118" s="1505"/>
    </row>
    <row r="119" spans="1:15" ht="12" customHeight="1">
      <c r="A119" s="1339"/>
      <c r="B119" s="1340"/>
      <c r="C119" s="1341"/>
      <c r="D119" s="1342" t="s">
        <v>331</v>
      </c>
      <c r="E119" s="1326">
        <v>0</v>
      </c>
      <c r="F119" s="1326">
        <v>11366</v>
      </c>
      <c r="G119" s="1362">
        <f>SUM(G113:G118)</f>
        <v>10966</v>
      </c>
      <c r="H119" s="1328">
        <f>SUM(H113:H118)</f>
        <v>10648</v>
      </c>
      <c r="I119" s="1362">
        <f>SUM(I113:I118)</f>
        <v>10648</v>
      </c>
      <c r="J119" s="1329"/>
      <c r="K119" s="1363">
        <f>SUM(K113:K118)</f>
        <v>0</v>
      </c>
      <c r="L119" s="1331">
        <f>SUM(L113:L118)</f>
        <v>10648</v>
      </c>
      <c r="M119" s="1348"/>
      <c r="N119" s="1364"/>
      <c r="O119" s="1505"/>
    </row>
    <row r="120" spans="1:15" ht="12" customHeight="1">
      <c r="A120" s="1287">
        <f>A118+1</f>
        <v>80</v>
      </c>
      <c r="B120" s="1288" t="s">
        <v>346</v>
      </c>
      <c r="C120" s="1333" t="s">
        <v>564</v>
      </c>
      <c r="D120" s="1235" t="s">
        <v>426</v>
      </c>
      <c r="E120" s="1293">
        <v>1400</v>
      </c>
      <c r="F120" s="1293">
        <v>1400</v>
      </c>
      <c r="G120" s="1247">
        <v>1400</v>
      </c>
      <c r="H120" s="1306">
        <v>1400</v>
      </c>
      <c r="I120" s="1239">
        <v>1400</v>
      </c>
      <c r="J120" s="1370"/>
      <c r="K120" s="1241">
        <f>I120*J120</f>
        <v>0</v>
      </c>
      <c r="L120" s="1242">
        <f>I120-K120</f>
        <v>1400</v>
      </c>
      <c r="M120" s="1287"/>
      <c r="N120" s="1291"/>
      <c r="O120" s="1503"/>
    </row>
    <row r="121" spans="1:15" ht="12" customHeight="1">
      <c r="A121" s="1339"/>
      <c r="B121" s="1340"/>
      <c r="C121" s="1341"/>
      <c r="D121" s="1342" t="s">
        <v>233</v>
      </c>
      <c r="E121" s="1326">
        <f>SUM(E120)</f>
        <v>1400</v>
      </c>
      <c r="F121" s="1326">
        <f>SUM(F120)</f>
        <v>1400</v>
      </c>
      <c r="G121" s="1362">
        <f>SUM(G120)</f>
        <v>1400</v>
      </c>
      <c r="H121" s="1328">
        <f>SUM(H120)</f>
        <v>1400</v>
      </c>
      <c r="I121" s="1362">
        <f>SUM(I120)</f>
        <v>1400</v>
      </c>
      <c r="J121" s="1329"/>
      <c r="K121" s="1363">
        <f>SUM(K120)</f>
        <v>0</v>
      </c>
      <c r="L121" s="1331">
        <f>SUM(L120)</f>
        <v>1400</v>
      </c>
      <c r="M121" s="1348"/>
      <c r="N121" s="1364"/>
      <c r="O121" s="1505"/>
    </row>
    <row r="122" spans="1:15" ht="12" customHeight="1">
      <c r="A122" s="1287">
        <f>A120+1</f>
        <v>81</v>
      </c>
      <c r="B122" s="1288" t="s">
        <v>346</v>
      </c>
      <c r="C122" s="1333" t="s">
        <v>565</v>
      </c>
      <c r="D122" s="1292" t="s">
        <v>104</v>
      </c>
      <c r="E122" s="1265">
        <v>1250</v>
      </c>
      <c r="F122" s="1265">
        <v>1000</v>
      </c>
      <c r="G122" s="1266">
        <v>1000</v>
      </c>
      <c r="H122" s="1257">
        <v>0</v>
      </c>
      <c r="I122" s="1258">
        <v>0</v>
      </c>
      <c r="J122" s="1240"/>
      <c r="K122" s="1241">
        <f>I122*J122</f>
        <v>0</v>
      </c>
      <c r="L122" s="1242">
        <f>I122-K122</f>
        <v>0</v>
      </c>
      <c r="M122" s="1287"/>
      <c r="N122" s="1291"/>
      <c r="O122" s="1505"/>
    </row>
    <row r="123" spans="1:15" ht="12" customHeight="1">
      <c r="A123" s="1339"/>
      <c r="B123" s="1340"/>
      <c r="C123" s="1341"/>
      <c r="D123" s="1342" t="s">
        <v>105</v>
      </c>
      <c r="E123" s="1343">
        <f>SUM(E122)</f>
        <v>1250</v>
      </c>
      <c r="F123" s="1343">
        <f>SUM(F122)</f>
        <v>1000</v>
      </c>
      <c r="G123" s="1344">
        <f>SUM(G122)</f>
        <v>1000</v>
      </c>
      <c r="H123" s="1345">
        <f>SUM(H122:H122)</f>
        <v>0</v>
      </c>
      <c r="I123" s="1344">
        <f>SUM(I122:I122)</f>
        <v>0</v>
      </c>
      <c r="J123" s="1329"/>
      <c r="K123" s="1363">
        <f>SUM(K122)</f>
        <v>0</v>
      </c>
      <c r="L123" s="1347">
        <f>SUM(L122:L122)</f>
        <v>0</v>
      </c>
      <c r="M123" s="1348"/>
      <c r="N123" s="1364"/>
      <c r="O123" s="1505"/>
    </row>
    <row r="124" spans="1:15" ht="12" customHeight="1">
      <c r="A124" s="1287">
        <f>A122+1</f>
        <v>82</v>
      </c>
      <c r="B124" s="1288" t="s">
        <v>346</v>
      </c>
      <c r="C124" s="1234" t="s">
        <v>567</v>
      </c>
      <c r="D124" s="1235" t="s">
        <v>413</v>
      </c>
      <c r="E124" s="1371">
        <v>450</v>
      </c>
      <c r="F124" s="1371">
        <v>300</v>
      </c>
      <c r="G124" s="1372">
        <v>1100</v>
      </c>
      <c r="H124" s="1373">
        <v>1270</v>
      </c>
      <c r="I124" s="1374">
        <v>1270</v>
      </c>
      <c r="J124" s="1264">
        <v>1</v>
      </c>
      <c r="K124" s="1241">
        <f>I124*J124</f>
        <v>1270</v>
      </c>
      <c r="L124" s="1242">
        <f>I124-K124</f>
        <v>0</v>
      </c>
      <c r="M124" s="1287"/>
      <c r="N124" s="1291"/>
      <c r="O124" s="1419" t="s">
        <v>684</v>
      </c>
    </row>
    <row r="125" spans="1:15" ht="12" customHeight="1">
      <c r="A125" s="1348"/>
      <c r="B125" s="1340"/>
      <c r="C125" s="1341"/>
      <c r="D125" s="1342" t="s">
        <v>136</v>
      </c>
      <c r="E125" s="1326">
        <f>SUM(E124)</f>
        <v>450</v>
      </c>
      <c r="F125" s="1326">
        <f>SUM(F124)</f>
        <v>300</v>
      </c>
      <c r="G125" s="1327">
        <f>SUM(G124:G124)</f>
        <v>1100</v>
      </c>
      <c r="H125" s="1328">
        <f>SUM(H124:H124)</f>
        <v>1270</v>
      </c>
      <c r="I125" s="1327">
        <f>SUM(I124:I124)</f>
        <v>1270</v>
      </c>
      <c r="J125" s="1329"/>
      <c r="K125" s="1363">
        <f>SUM(K124:K124)</f>
        <v>1270</v>
      </c>
      <c r="L125" s="1331">
        <f>SUM(L124:L124)</f>
        <v>0</v>
      </c>
      <c r="M125" s="1348"/>
      <c r="N125" s="1364"/>
      <c r="O125" s="1505"/>
    </row>
    <row r="126" spans="1:15" ht="12" customHeight="1">
      <c r="A126" s="1287">
        <f>A124+1</f>
        <v>83</v>
      </c>
      <c r="B126" s="1288" t="s">
        <v>346</v>
      </c>
      <c r="C126" s="1333" t="s">
        <v>568</v>
      </c>
      <c r="D126" s="1235" t="s">
        <v>69</v>
      </c>
      <c r="E126" s="1265"/>
      <c r="F126" s="1265">
        <v>7250</v>
      </c>
      <c r="G126" s="1266">
        <v>7250</v>
      </c>
      <c r="H126" s="1257">
        <v>7250</v>
      </c>
      <c r="I126" s="1258">
        <v>7250</v>
      </c>
      <c r="J126" s="1264">
        <f>$J$5</f>
        <v>0.34</v>
      </c>
      <c r="K126" s="1241">
        <f aca="true" t="shared" si="12" ref="K126:K142">I126*J126</f>
        <v>2465</v>
      </c>
      <c r="L126" s="1242">
        <f aca="true" t="shared" si="13" ref="L126:L142">I126-K126</f>
        <v>4785</v>
      </c>
      <c r="M126" s="1287"/>
      <c r="N126" s="1291"/>
      <c r="O126" s="1505"/>
    </row>
    <row r="127" spans="1:15" ht="12" customHeight="1">
      <c r="A127" s="1287">
        <f>A126+1</f>
        <v>84</v>
      </c>
      <c r="B127" s="1288" t="s">
        <v>346</v>
      </c>
      <c r="C127" s="1333" t="s">
        <v>568</v>
      </c>
      <c r="D127" s="1235" t="s">
        <v>317</v>
      </c>
      <c r="E127" s="1255"/>
      <c r="F127" s="1255">
        <v>1000</v>
      </c>
      <c r="G127" s="1256">
        <v>1000</v>
      </c>
      <c r="H127" s="1257">
        <v>1000</v>
      </c>
      <c r="I127" s="1258">
        <v>1000</v>
      </c>
      <c r="J127" s="1264">
        <f>$J$5</f>
        <v>0.34</v>
      </c>
      <c r="K127" s="1241">
        <f t="shared" si="12"/>
        <v>340</v>
      </c>
      <c r="L127" s="1242">
        <f t="shared" si="13"/>
        <v>660</v>
      </c>
      <c r="M127" s="1287"/>
      <c r="N127" s="1291"/>
      <c r="O127" s="1505"/>
    </row>
    <row r="128" spans="1:15" ht="12" customHeight="1">
      <c r="A128" s="1287">
        <f aca="true" t="shared" si="14" ref="A128:A142">A127+1</f>
        <v>85</v>
      </c>
      <c r="B128" s="1288" t="s">
        <v>346</v>
      </c>
      <c r="C128" s="1333" t="s">
        <v>568</v>
      </c>
      <c r="D128" s="1235" t="s">
        <v>318</v>
      </c>
      <c r="E128" s="1375"/>
      <c r="F128" s="1375">
        <v>200</v>
      </c>
      <c r="G128" s="1376">
        <v>650</v>
      </c>
      <c r="H128" s="1377">
        <v>650</v>
      </c>
      <c r="I128" s="1378">
        <v>650</v>
      </c>
      <c r="J128" s="1264">
        <f>$J$5</f>
        <v>0.34</v>
      </c>
      <c r="K128" s="1241">
        <f t="shared" si="12"/>
        <v>221.00000000000003</v>
      </c>
      <c r="L128" s="1242">
        <f t="shared" si="13"/>
        <v>429</v>
      </c>
      <c r="M128" s="1287"/>
      <c r="N128" s="1291"/>
      <c r="O128" s="1505"/>
    </row>
    <row r="129" spans="1:15" ht="12" customHeight="1">
      <c r="A129" s="1287">
        <f t="shared" si="14"/>
        <v>86</v>
      </c>
      <c r="B129" s="1288" t="s">
        <v>346</v>
      </c>
      <c r="C129" s="1333" t="s">
        <v>568</v>
      </c>
      <c r="D129" s="1235" t="s">
        <v>96</v>
      </c>
      <c r="E129" s="1379"/>
      <c r="F129" s="1379">
        <v>570</v>
      </c>
      <c r="G129" s="1380">
        <v>570</v>
      </c>
      <c r="H129" s="1377">
        <v>570</v>
      </c>
      <c r="I129" s="1378">
        <v>570</v>
      </c>
      <c r="J129" s="1264"/>
      <c r="K129" s="1241">
        <f t="shared" si="12"/>
        <v>0</v>
      </c>
      <c r="L129" s="1242">
        <f t="shared" si="13"/>
        <v>570</v>
      </c>
      <c r="M129" s="1287"/>
      <c r="N129" s="1291"/>
      <c r="O129" s="1505"/>
    </row>
    <row r="130" spans="1:15" ht="12" customHeight="1">
      <c r="A130" s="1287">
        <f t="shared" si="14"/>
        <v>87</v>
      </c>
      <c r="B130" s="1288" t="s">
        <v>346</v>
      </c>
      <c r="C130" s="1333" t="s">
        <v>568</v>
      </c>
      <c r="D130" s="1235" t="s">
        <v>319</v>
      </c>
      <c r="E130" s="1255"/>
      <c r="F130" s="1255">
        <v>700</v>
      </c>
      <c r="G130" s="1256">
        <v>700</v>
      </c>
      <c r="H130" s="1257">
        <v>700</v>
      </c>
      <c r="I130" s="1258">
        <v>700</v>
      </c>
      <c r="J130" s="1264">
        <f>$J$5</f>
        <v>0.34</v>
      </c>
      <c r="K130" s="1241">
        <f t="shared" si="12"/>
        <v>238.00000000000003</v>
      </c>
      <c r="L130" s="1242">
        <f t="shared" si="13"/>
        <v>462</v>
      </c>
      <c r="M130" s="1287"/>
      <c r="N130" s="1291"/>
      <c r="O130" s="1505"/>
    </row>
    <row r="131" spans="1:15" ht="12" customHeight="1">
      <c r="A131" s="1287">
        <f t="shared" si="14"/>
        <v>88</v>
      </c>
      <c r="B131" s="1288" t="s">
        <v>346</v>
      </c>
      <c r="C131" s="1333" t="s">
        <v>568</v>
      </c>
      <c r="D131" s="1235" t="s">
        <v>320</v>
      </c>
      <c r="E131" s="1255"/>
      <c r="F131" s="1255">
        <v>750</v>
      </c>
      <c r="G131" s="1256">
        <v>780</v>
      </c>
      <c r="H131" s="1257">
        <v>830</v>
      </c>
      <c r="I131" s="1258">
        <v>830</v>
      </c>
      <c r="J131" s="1264">
        <f>$J$5</f>
        <v>0.34</v>
      </c>
      <c r="K131" s="1241">
        <f t="shared" si="12"/>
        <v>282.20000000000005</v>
      </c>
      <c r="L131" s="1242">
        <f t="shared" si="13"/>
        <v>547.8</v>
      </c>
      <c r="M131" s="1287"/>
      <c r="N131" s="1291"/>
      <c r="O131" s="1505"/>
    </row>
    <row r="132" spans="1:15" ht="12" customHeight="1">
      <c r="A132" s="1287">
        <f t="shared" si="14"/>
        <v>89</v>
      </c>
      <c r="B132" s="1288" t="s">
        <v>346</v>
      </c>
      <c r="C132" s="1333" t="s">
        <v>568</v>
      </c>
      <c r="D132" s="1235" t="s">
        <v>321</v>
      </c>
      <c r="E132" s="1255"/>
      <c r="F132" s="1255">
        <v>2900</v>
      </c>
      <c r="G132" s="1256">
        <v>1500</v>
      </c>
      <c r="H132" s="1257">
        <v>2270</v>
      </c>
      <c r="I132" s="1258">
        <v>2270</v>
      </c>
      <c r="J132" s="1264"/>
      <c r="K132" s="1241">
        <f t="shared" si="12"/>
        <v>0</v>
      </c>
      <c r="L132" s="1242">
        <f t="shared" si="13"/>
        <v>2270</v>
      </c>
      <c r="M132" s="1287"/>
      <c r="N132" s="1291"/>
      <c r="O132" s="1505"/>
    </row>
    <row r="133" spans="1:15" ht="12" customHeight="1">
      <c r="A133" s="1287">
        <f t="shared" si="14"/>
        <v>90</v>
      </c>
      <c r="B133" s="1288" t="s">
        <v>346</v>
      </c>
      <c r="C133" s="1333" t="s">
        <v>568</v>
      </c>
      <c r="D133" s="1235" t="s">
        <v>322</v>
      </c>
      <c r="E133" s="1255"/>
      <c r="F133" s="1255">
        <v>1750</v>
      </c>
      <c r="G133" s="1256">
        <v>6035</v>
      </c>
      <c r="H133" s="1257">
        <v>6800</v>
      </c>
      <c r="I133" s="1258">
        <v>6800</v>
      </c>
      <c r="J133" s="1264">
        <f>$J$5</f>
        <v>0.34</v>
      </c>
      <c r="K133" s="1241">
        <f t="shared" si="12"/>
        <v>2312</v>
      </c>
      <c r="L133" s="1242">
        <f t="shared" si="13"/>
        <v>4488</v>
      </c>
      <c r="M133" s="1287"/>
      <c r="N133" s="1291"/>
      <c r="O133" s="1505"/>
    </row>
    <row r="134" spans="1:15" ht="12" customHeight="1">
      <c r="A134" s="1287">
        <f t="shared" si="14"/>
        <v>91</v>
      </c>
      <c r="B134" s="1288" t="s">
        <v>346</v>
      </c>
      <c r="C134" s="1333" t="s">
        <v>568</v>
      </c>
      <c r="D134" s="1381" t="s">
        <v>323</v>
      </c>
      <c r="E134" s="1255"/>
      <c r="F134" s="1255">
        <v>7500</v>
      </c>
      <c r="G134" s="1256">
        <v>8520</v>
      </c>
      <c r="H134" s="1257">
        <v>9070</v>
      </c>
      <c r="I134" s="1258">
        <v>9070</v>
      </c>
      <c r="J134" s="1264">
        <f>$J$5</f>
        <v>0.34</v>
      </c>
      <c r="K134" s="1241">
        <f t="shared" si="12"/>
        <v>3083.8</v>
      </c>
      <c r="L134" s="1242">
        <f t="shared" si="13"/>
        <v>5986.2</v>
      </c>
      <c r="M134" s="1287"/>
      <c r="N134" s="1291"/>
      <c r="O134" s="1505"/>
    </row>
    <row r="135" spans="1:15" ht="12" customHeight="1">
      <c r="A135" s="1287">
        <f t="shared" si="14"/>
        <v>92</v>
      </c>
      <c r="B135" s="1288" t="s">
        <v>346</v>
      </c>
      <c r="C135" s="1333" t="s">
        <v>568</v>
      </c>
      <c r="D135" s="1292" t="s">
        <v>324</v>
      </c>
      <c r="E135" s="1255"/>
      <c r="F135" s="1255">
        <v>2250</v>
      </c>
      <c r="G135" s="1256">
        <v>900</v>
      </c>
      <c r="H135" s="1257">
        <v>225</v>
      </c>
      <c r="I135" s="1258">
        <v>225</v>
      </c>
      <c r="J135" s="1264">
        <f>$J$5</f>
        <v>0.34</v>
      </c>
      <c r="K135" s="1241">
        <f t="shared" si="12"/>
        <v>76.5</v>
      </c>
      <c r="L135" s="1242">
        <f t="shared" si="13"/>
        <v>148.5</v>
      </c>
      <c r="M135" s="1287"/>
      <c r="N135" s="1291"/>
      <c r="O135" s="1505"/>
    </row>
    <row r="136" spans="1:15" ht="12" customHeight="1">
      <c r="A136" s="1287">
        <f t="shared" si="14"/>
        <v>93</v>
      </c>
      <c r="B136" s="1288" t="s">
        <v>346</v>
      </c>
      <c r="C136" s="1333" t="s">
        <v>568</v>
      </c>
      <c r="D136" s="1292" t="s">
        <v>325</v>
      </c>
      <c r="E136" s="1255"/>
      <c r="F136" s="1255">
        <v>2430</v>
      </c>
      <c r="G136" s="1256">
        <v>3500</v>
      </c>
      <c r="H136" s="1257">
        <v>3200</v>
      </c>
      <c r="I136" s="1258">
        <v>3200</v>
      </c>
      <c r="J136" s="1264"/>
      <c r="K136" s="1241">
        <f t="shared" si="12"/>
        <v>0</v>
      </c>
      <c r="L136" s="1242">
        <f t="shared" si="13"/>
        <v>3200</v>
      </c>
      <c r="M136" s="1287"/>
      <c r="N136" s="1291"/>
      <c r="O136" s="1505"/>
    </row>
    <row r="137" spans="1:15" ht="12" customHeight="1">
      <c r="A137" s="1287">
        <f t="shared" si="14"/>
        <v>94</v>
      </c>
      <c r="B137" s="1288" t="s">
        <v>346</v>
      </c>
      <c r="C137" s="1333" t="s">
        <v>568</v>
      </c>
      <c r="D137" s="1292" t="s">
        <v>326</v>
      </c>
      <c r="E137" s="1255"/>
      <c r="F137" s="1255">
        <v>250</v>
      </c>
      <c r="G137" s="1256">
        <v>250</v>
      </c>
      <c r="H137" s="1257">
        <v>150</v>
      </c>
      <c r="I137" s="1258">
        <v>150</v>
      </c>
      <c r="J137" s="1264"/>
      <c r="K137" s="1241">
        <f t="shared" si="12"/>
        <v>0</v>
      </c>
      <c r="L137" s="1242">
        <f t="shared" si="13"/>
        <v>150</v>
      </c>
      <c r="M137" s="1287"/>
      <c r="N137" s="1291"/>
      <c r="O137" s="1505"/>
    </row>
    <row r="138" spans="1:15" ht="12" customHeight="1">
      <c r="A138" s="1287">
        <f t="shared" si="14"/>
        <v>95</v>
      </c>
      <c r="B138" s="1288" t="s">
        <v>346</v>
      </c>
      <c r="C138" s="1333" t="s">
        <v>568</v>
      </c>
      <c r="D138" s="1292" t="s">
        <v>327</v>
      </c>
      <c r="E138" s="1255"/>
      <c r="F138" s="1255">
        <v>1000</v>
      </c>
      <c r="G138" s="1256">
        <v>1000</v>
      </c>
      <c r="H138" s="1257">
        <v>1000</v>
      </c>
      <c r="I138" s="1258">
        <v>1000</v>
      </c>
      <c r="J138" s="1264">
        <f>$J$5</f>
        <v>0.34</v>
      </c>
      <c r="K138" s="1241">
        <f t="shared" si="12"/>
        <v>340</v>
      </c>
      <c r="L138" s="1242">
        <f t="shared" si="13"/>
        <v>660</v>
      </c>
      <c r="M138" s="1287"/>
      <c r="N138" s="1291"/>
      <c r="O138" s="1505"/>
    </row>
    <row r="139" spans="1:15" ht="12" customHeight="1">
      <c r="A139" s="1287">
        <f t="shared" si="14"/>
        <v>96</v>
      </c>
      <c r="B139" s="1288" t="s">
        <v>346</v>
      </c>
      <c r="C139" s="1333" t="s">
        <v>568</v>
      </c>
      <c r="D139" s="1292" t="s">
        <v>328</v>
      </c>
      <c r="E139" s="1255"/>
      <c r="F139" s="1255">
        <v>250</v>
      </c>
      <c r="G139" s="1256">
        <v>50</v>
      </c>
      <c r="H139" s="1257">
        <v>50</v>
      </c>
      <c r="I139" s="1258">
        <v>50</v>
      </c>
      <c r="J139" s="1264"/>
      <c r="K139" s="1241">
        <f t="shared" si="12"/>
        <v>0</v>
      </c>
      <c r="L139" s="1242">
        <f t="shared" si="13"/>
        <v>50</v>
      </c>
      <c r="M139" s="1287"/>
      <c r="N139" s="1291"/>
      <c r="O139" s="1505"/>
    </row>
    <row r="140" spans="1:15" ht="12" customHeight="1">
      <c r="A140" s="1287">
        <f t="shared" si="14"/>
        <v>97</v>
      </c>
      <c r="B140" s="1288" t="s">
        <v>346</v>
      </c>
      <c r="C140" s="1333" t="s">
        <v>568</v>
      </c>
      <c r="D140" s="1292" t="s">
        <v>329</v>
      </c>
      <c r="E140" s="1255"/>
      <c r="F140" s="1255">
        <v>1130</v>
      </c>
      <c r="G140" s="1256">
        <v>1000</v>
      </c>
      <c r="H140" s="1257">
        <v>500</v>
      </c>
      <c r="I140" s="1258">
        <v>500</v>
      </c>
      <c r="J140" s="1264"/>
      <c r="K140" s="1241">
        <f t="shared" si="12"/>
        <v>0</v>
      </c>
      <c r="L140" s="1242">
        <f t="shared" si="13"/>
        <v>500</v>
      </c>
      <c r="M140" s="1287"/>
      <c r="N140" s="1291"/>
      <c r="O140" s="1505"/>
    </row>
    <row r="141" spans="1:15" ht="12" customHeight="1">
      <c r="A141" s="1287">
        <f t="shared" si="14"/>
        <v>98</v>
      </c>
      <c r="B141" s="1288" t="s">
        <v>346</v>
      </c>
      <c r="C141" s="1333" t="s">
        <v>568</v>
      </c>
      <c r="D141" s="1292" t="s">
        <v>416</v>
      </c>
      <c r="E141" s="1255"/>
      <c r="F141" s="1255"/>
      <c r="G141" s="1256">
        <v>-1300</v>
      </c>
      <c r="H141" s="1257"/>
      <c r="I141" s="1258"/>
      <c r="J141" s="1264"/>
      <c r="K141" s="1241">
        <f t="shared" si="12"/>
        <v>0</v>
      </c>
      <c r="L141" s="1242">
        <f t="shared" si="13"/>
        <v>0</v>
      </c>
      <c r="M141" s="1287"/>
      <c r="N141" s="1291"/>
      <c r="O141" s="1505"/>
    </row>
    <row r="142" spans="1:15" ht="12" customHeight="1">
      <c r="A142" s="1287">
        <f t="shared" si="14"/>
        <v>99</v>
      </c>
      <c r="B142" s="1288" t="s">
        <v>346</v>
      </c>
      <c r="C142" s="1333" t="s">
        <v>568</v>
      </c>
      <c r="D142" s="1292" t="s">
        <v>500</v>
      </c>
      <c r="E142" s="1255"/>
      <c r="F142" s="1255"/>
      <c r="G142" s="1256"/>
      <c r="H142" s="1257">
        <v>3400</v>
      </c>
      <c r="I142" s="1258">
        <v>3400</v>
      </c>
      <c r="J142" s="1240"/>
      <c r="K142" s="1241">
        <f t="shared" si="12"/>
        <v>0</v>
      </c>
      <c r="L142" s="1242">
        <f t="shared" si="13"/>
        <v>3400</v>
      </c>
      <c r="M142" s="1287"/>
      <c r="N142" s="1291"/>
      <c r="O142" s="1419" t="s">
        <v>685</v>
      </c>
    </row>
    <row r="143" spans="1:15" ht="12" customHeight="1">
      <c r="A143" s="1339"/>
      <c r="B143" s="1340"/>
      <c r="C143" s="1341"/>
      <c r="D143" s="1342" t="s">
        <v>80</v>
      </c>
      <c r="E143" s="1326">
        <v>13383</v>
      </c>
      <c r="F143" s="1326">
        <f>SUM(F126:F142)</f>
        <v>29930</v>
      </c>
      <c r="G143" s="1362">
        <f>SUM(G126:G142)</f>
        <v>32405</v>
      </c>
      <c r="H143" s="1328">
        <f>SUM(H126:H142)</f>
        <v>37665</v>
      </c>
      <c r="I143" s="1362">
        <f>SUM(I126:I142)</f>
        <v>37665</v>
      </c>
      <c r="J143" s="1329"/>
      <c r="K143" s="1363">
        <f>SUM(K126:K142)</f>
        <v>9358.5</v>
      </c>
      <c r="L143" s="1331">
        <f>SUM(L126:L142)</f>
        <v>28306.5</v>
      </c>
      <c r="M143" s="1348"/>
      <c r="N143" s="1364"/>
      <c r="O143" s="1505"/>
    </row>
    <row r="144" spans="1:15" ht="12" customHeight="1">
      <c r="A144" s="1287">
        <f>A142+1</f>
        <v>100</v>
      </c>
      <c r="B144" s="1288" t="s">
        <v>346</v>
      </c>
      <c r="C144" s="1333" t="s">
        <v>570</v>
      </c>
      <c r="D144" s="1235" t="s">
        <v>422</v>
      </c>
      <c r="E144" s="1365">
        <v>0</v>
      </c>
      <c r="F144" s="1365">
        <v>300</v>
      </c>
      <c r="G144" s="1237">
        <v>200</v>
      </c>
      <c r="H144" s="1257">
        <v>200</v>
      </c>
      <c r="I144" s="1258">
        <v>200</v>
      </c>
      <c r="J144" s="1240"/>
      <c r="K144" s="1241">
        <f>I144*J144</f>
        <v>0</v>
      </c>
      <c r="L144" s="1242">
        <f>I144-K144</f>
        <v>200</v>
      </c>
      <c r="M144" s="1287"/>
      <c r="N144" s="1291"/>
      <c r="O144" s="1503"/>
    </row>
    <row r="145" spans="1:15" s="1422" customFormat="1" ht="12" customHeight="1" thickBot="1">
      <c r="A145" s="1339"/>
      <c r="B145" s="1340"/>
      <c r="C145" s="1341"/>
      <c r="D145" s="1342" t="s">
        <v>423</v>
      </c>
      <c r="E145" s="1326">
        <f>E144</f>
        <v>0</v>
      </c>
      <c r="F145" s="1326">
        <f>F144</f>
        <v>300</v>
      </c>
      <c r="G145" s="1362">
        <f>G144</f>
        <v>200</v>
      </c>
      <c r="H145" s="1328">
        <f>H144</f>
        <v>200</v>
      </c>
      <c r="I145" s="1362">
        <f>I144</f>
        <v>200</v>
      </c>
      <c r="J145" s="1329"/>
      <c r="K145" s="1363">
        <f>SUM(K144)</f>
        <v>0</v>
      </c>
      <c r="L145" s="1331">
        <f>L144</f>
        <v>200</v>
      </c>
      <c r="M145" s="1348"/>
      <c r="N145" s="1364"/>
      <c r="O145" s="1505"/>
    </row>
    <row r="146" spans="1:15" ht="12" customHeight="1" thickBot="1">
      <c r="A146" s="1275" t="s">
        <v>561</v>
      </c>
      <c r="B146" s="1276" t="s">
        <v>309</v>
      </c>
      <c r="C146" s="1277" t="s">
        <v>16</v>
      </c>
      <c r="D146" s="1382" t="s">
        <v>681</v>
      </c>
      <c r="E146" s="1383">
        <f>SUM(E147:E158)</f>
        <v>185221</v>
      </c>
      <c r="F146" s="1383">
        <f>SUM(F147:F158)</f>
        <v>189078</v>
      </c>
      <c r="G146" s="1384">
        <f>SUM(G147:G158)</f>
        <v>202047</v>
      </c>
      <c r="H146" s="1385">
        <f>SUM(H147:H158)</f>
        <v>213211</v>
      </c>
      <c r="I146" s="1384">
        <f>SUM(I147:I158)</f>
        <v>211471</v>
      </c>
      <c r="J146" s="1386"/>
      <c r="K146" s="1387">
        <f>SUM(K147:K158)</f>
        <v>68015.3</v>
      </c>
      <c r="L146" s="1388">
        <f>SUM(L147:L158)</f>
        <v>143455.7</v>
      </c>
      <c r="M146" s="1389"/>
      <c r="N146" s="1388"/>
      <c r="O146" s="1526">
        <v>1</v>
      </c>
    </row>
    <row r="147" spans="1:15" ht="12" customHeight="1">
      <c r="A147" s="1190">
        <v>100</v>
      </c>
      <c r="B147" s="1390" t="s">
        <v>309</v>
      </c>
      <c r="C147" s="1391" t="s">
        <v>562</v>
      </c>
      <c r="D147" s="1353" t="s">
        <v>582</v>
      </c>
      <c r="E147" s="1392"/>
      <c r="F147" s="1392"/>
      <c r="G147" s="1393"/>
      <c r="H147" s="1394"/>
      <c r="I147" s="1395"/>
      <c r="J147" s="1240"/>
      <c r="K147" s="1241">
        <f aca="true" t="shared" si="15" ref="K147:K158">I147*J147</f>
        <v>0</v>
      </c>
      <c r="L147" s="1242">
        <f aca="true" t="shared" si="16" ref="L147:L158">I147-K147</f>
        <v>0</v>
      </c>
      <c r="M147" s="1396"/>
      <c r="N147" s="1242"/>
      <c r="O147" s="1527"/>
    </row>
    <row r="148" spans="1:15" ht="12" customHeight="1">
      <c r="A148" s="1397">
        <v>101</v>
      </c>
      <c r="B148" s="1390" t="s">
        <v>309</v>
      </c>
      <c r="C148" s="1333" t="s">
        <v>571</v>
      </c>
      <c r="D148" s="1353" t="s">
        <v>583</v>
      </c>
      <c r="E148" s="1392"/>
      <c r="F148" s="1392"/>
      <c r="G148" s="1393"/>
      <c r="H148" s="1394"/>
      <c r="I148" s="1395"/>
      <c r="J148" s="1240"/>
      <c r="K148" s="1241">
        <f t="shared" si="15"/>
        <v>0</v>
      </c>
      <c r="L148" s="1242">
        <f t="shared" si="16"/>
        <v>0</v>
      </c>
      <c r="M148" s="1396"/>
      <c r="N148" s="1242"/>
      <c r="O148" s="1527"/>
    </row>
    <row r="149" spans="1:15" ht="12" customHeight="1">
      <c r="A149" s="1397">
        <v>102</v>
      </c>
      <c r="B149" s="1390" t="s">
        <v>309</v>
      </c>
      <c r="C149" s="1333" t="s">
        <v>563</v>
      </c>
      <c r="D149" s="1353" t="s">
        <v>584</v>
      </c>
      <c r="E149" s="1392"/>
      <c r="F149" s="1392"/>
      <c r="G149" s="1393"/>
      <c r="H149" s="1394"/>
      <c r="I149" s="1395"/>
      <c r="J149" s="1240"/>
      <c r="K149" s="1241">
        <f t="shared" si="15"/>
        <v>0</v>
      </c>
      <c r="L149" s="1242">
        <f t="shared" si="16"/>
        <v>0</v>
      </c>
      <c r="M149" s="1396"/>
      <c r="N149" s="1242"/>
      <c r="O149" s="1527"/>
    </row>
    <row r="150" spans="1:15" ht="12" customHeight="1">
      <c r="A150" s="1397">
        <v>103</v>
      </c>
      <c r="B150" s="1398" t="s">
        <v>309</v>
      </c>
      <c r="C150" s="1367" t="s">
        <v>572</v>
      </c>
      <c r="D150" s="1292" t="s">
        <v>585</v>
      </c>
      <c r="E150" s="1399"/>
      <c r="F150" s="1399"/>
      <c r="G150" s="1400"/>
      <c r="H150" s="1401"/>
      <c r="I150" s="1402"/>
      <c r="J150" s="1240"/>
      <c r="K150" s="1241">
        <f t="shared" si="15"/>
        <v>0</v>
      </c>
      <c r="L150" s="1242">
        <f t="shared" si="16"/>
        <v>0</v>
      </c>
      <c r="M150" s="1403"/>
      <c r="N150" s="1242"/>
      <c r="O150" s="1527"/>
    </row>
    <row r="151" spans="1:15" ht="12" customHeight="1">
      <c r="A151" s="1397">
        <v>104</v>
      </c>
      <c r="B151" s="1398" t="s">
        <v>309</v>
      </c>
      <c r="C151" s="1404" t="s">
        <v>564</v>
      </c>
      <c r="D151" s="1292" t="s">
        <v>581</v>
      </c>
      <c r="E151" s="1246">
        <v>7340</v>
      </c>
      <c r="F151" s="1246">
        <v>8006</v>
      </c>
      <c r="G151" s="1247">
        <v>6700</v>
      </c>
      <c r="H151" s="1306">
        <v>7750</v>
      </c>
      <c r="I151" s="1405">
        <v>6700</v>
      </c>
      <c r="J151" s="1240"/>
      <c r="K151" s="1241">
        <f>I151*J151</f>
        <v>0</v>
      </c>
      <c r="L151" s="1242">
        <f t="shared" si="16"/>
        <v>6700</v>
      </c>
      <c r="M151" s="1406"/>
      <c r="N151" s="1242"/>
      <c r="O151" s="1526">
        <f>I151/G151-1</f>
        <v>0</v>
      </c>
    </row>
    <row r="152" spans="1:15" ht="12" customHeight="1">
      <c r="A152" s="1397">
        <v>105</v>
      </c>
      <c r="B152" s="1398" t="s">
        <v>309</v>
      </c>
      <c r="C152" s="1333" t="s">
        <v>565</v>
      </c>
      <c r="D152" s="1292" t="s">
        <v>586</v>
      </c>
      <c r="E152" s="1246">
        <v>1687</v>
      </c>
      <c r="F152" s="1246">
        <v>1300</v>
      </c>
      <c r="G152" s="1237">
        <v>1300</v>
      </c>
      <c r="H152" s="1306">
        <v>4490</v>
      </c>
      <c r="I152" s="1405">
        <v>3000</v>
      </c>
      <c r="J152" s="1240"/>
      <c r="K152" s="1241">
        <f t="shared" si="15"/>
        <v>0</v>
      </c>
      <c r="L152" s="1242">
        <f t="shared" si="16"/>
        <v>3000</v>
      </c>
      <c r="M152" s="1406"/>
      <c r="N152" s="1242"/>
      <c r="O152" s="1526">
        <f>I152/G152-1</f>
        <v>1.3076923076923075</v>
      </c>
    </row>
    <row r="153" spans="1:15" ht="12" customHeight="1">
      <c r="A153" s="1397">
        <v>106</v>
      </c>
      <c r="B153" s="1398" t="s">
        <v>309</v>
      </c>
      <c r="C153" s="1404" t="s">
        <v>566</v>
      </c>
      <c r="D153" s="1292" t="s">
        <v>587</v>
      </c>
      <c r="E153" s="1246"/>
      <c r="F153" s="1246"/>
      <c r="G153" s="1247"/>
      <c r="H153" s="1238"/>
      <c r="I153" s="1239"/>
      <c r="J153" s="1240"/>
      <c r="K153" s="1241">
        <f t="shared" si="15"/>
        <v>0</v>
      </c>
      <c r="L153" s="1242">
        <f t="shared" si="16"/>
        <v>0</v>
      </c>
      <c r="M153" s="1403"/>
      <c r="N153" s="1242"/>
      <c r="O153" s="1527"/>
    </row>
    <row r="154" spans="1:15" ht="12" customHeight="1">
      <c r="A154" s="1397">
        <v>107</v>
      </c>
      <c r="B154" s="1398" t="s">
        <v>309</v>
      </c>
      <c r="C154" s="1404" t="s">
        <v>567</v>
      </c>
      <c r="D154" s="1292" t="s">
        <v>588</v>
      </c>
      <c r="E154" s="1246">
        <v>2700</v>
      </c>
      <c r="F154" s="1246">
        <v>800</v>
      </c>
      <c r="G154" s="1247">
        <v>800</v>
      </c>
      <c r="H154" s="1306">
        <f>7724</f>
        <v>7724</v>
      </c>
      <c r="I154" s="1405">
        <f>7724</f>
        <v>7724</v>
      </c>
      <c r="J154" s="1264">
        <f>$J$5*2</f>
        <v>0.68</v>
      </c>
      <c r="K154" s="1241">
        <f>I154*J154</f>
        <v>5252.320000000001</v>
      </c>
      <c r="L154" s="1242">
        <f t="shared" si="16"/>
        <v>2471.6799999999994</v>
      </c>
      <c r="M154" s="1403"/>
      <c r="N154" s="1242"/>
      <c r="O154" s="1526">
        <f>I154/G154-1</f>
        <v>8.655</v>
      </c>
    </row>
    <row r="155" spans="1:15" ht="12" customHeight="1">
      <c r="A155" s="1397">
        <v>108</v>
      </c>
      <c r="B155" s="1398" t="s">
        <v>309</v>
      </c>
      <c r="C155" s="1333" t="s">
        <v>568</v>
      </c>
      <c r="D155" s="1292" t="s">
        <v>589</v>
      </c>
      <c r="E155" s="1246">
        <v>93350</v>
      </c>
      <c r="F155" s="1246">
        <v>96197</v>
      </c>
      <c r="G155" s="1237">
        <v>96197</v>
      </c>
      <c r="H155" s="1238">
        <f>G155*$O$146</f>
        <v>96197</v>
      </c>
      <c r="I155" s="1239">
        <v>96997</v>
      </c>
      <c r="J155" s="1264">
        <f>$J$5</f>
        <v>0.34</v>
      </c>
      <c r="K155" s="1241">
        <f>I155*J155</f>
        <v>32978.98</v>
      </c>
      <c r="L155" s="1242">
        <f>I155-K155</f>
        <v>64018.02</v>
      </c>
      <c r="M155" s="1403"/>
      <c r="N155" s="1242"/>
      <c r="O155" s="1526">
        <f>I155/G155-1</f>
        <v>0.008316267659074672</v>
      </c>
    </row>
    <row r="156" spans="1:15" ht="12" customHeight="1">
      <c r="A156" s="1397">
        <v>109</v>
      </c>
      <c r="B156" s="1398" t="s">
        <v>309</v>
      </c>
      <c r="C156" s="1404" t="s">
        <v>569</v>
      </c>
      <c r="D156" s="1292" t="s">
        <v>590</v>
      </c>
      <c r="E156" s="1246"/>
      <c r="F156" s="1246"/>
      <c r="G156" s="1247"/>
      <c r="H156" s="1306"/>
      <c r="I156" s="1405"/>
      <c r="J156" s="1240"/>
      <c r="K156" s="1241">
        <f t="shared" si="15"/>
        <v>0</v>
      </c>
      <c r="L156" s="1242">
        <f t="shared" si="16"/>
        <v>0</v>
      </c>
      <c r="M156" s="1403"/>
      <c r="N156" s="1242"/>
      <c r="O156" s="1527"/>
    </row>
    <row r="157" spans="1:15" ht="12" customHeight="1">
      <c r="A157" s="1397">
        <v>110</v>
      </c>
      <c r="B157" s="1398" t="s">
        <v>309</v>
      </c>
      <c r="C157" s="1333" t="s">
        <v>570</v>
      </c>
      <c r="D157" s="1292" t="s">
        <v>591</v>
      </c>
      <c r="E157" s="1246">
        <v>7278</v>
      </c>
      <c r="F157" s="1246">
        <v>8000</v>
      </c>
      <c r="G157" s="1237">
        <v>9450</v>
      </c>
      <c r="H157" s="1238">
        <f>G157*$O$146</f>
        <v>9450</v>
      </c>
      <c r="I157" s="1239">
        <f>H157*$O$146</f>
        <v>9450</v>
      </c>
      <c r="J157" s="1240"/>
      <c r="K157" s="1241">
        <f>I157*J157</f>
        <v>0</v>
      </c>
      <c r="L157" s="1242">
        <f>I157-K157</f>
        <v>9450</v>
      </c>
      <c r="M157" s="1406"/>
      <c r="N157" s="1242"/>
      <c r="O157" s="1526">
        <f>I157/G157-1</f>
        <v>0</v>
      </c>
    </row>
    <row r="158" spans="1:15" ht="12" customHeight="1" thickBot="1">
      <c r="A158" s="1408">
        <v>111</v>
      </c>
      <c r="B158" s="1409" t="s">
        <v>309</v>
      </c>
      <c r="C158" s="1410" t="s">
        <v>560</v>
      </c>
      <c r="D158" s="1411" t="s">
        <v>592</v>
      </c>
      <c r="E158" s="1412">
        <v>72866</v>
      </c>
      <c r="F158" s="1412">
        <v>74775</v>
      </c>
      <c r="G158" s="1413">
        <v>87600</v>
      </c>
      <c r="H158" s="1414">
        <f>G158*$O$146</f>
        <v>87600</v>
      </c>
      <c r="I158" s="1415">
        <v>87600</v>
      </c>
      <c r="J158" s="1264">
        <f>$J$5</f>
        <v>0.34</v>
      </c>
      <c r="K158" s="1416">
        <f t="shared" si="15"/>
        <v>29784.000000000004</v>
      </c>
      <c r="L158" s="1417">
        <f t="shared" si="16"/>
        <v>57816</v>
      </c>
      <c r="M158" s="1418"/>
      <c r="N158" s="1417"/>
      <c r="O158" s="1526">
        <f>I158/G158-1</f>
        <v>0</v>
      </c>
    </row>
    <row r="159" spans="1:15" ht="12" customHeight="1" thickBot="1">
      <c r="A159" s="1424"/>
      <c r="B159" s="1424"/>
      <c r="C159" s="1425"/>
      <c r="D159" s="1426"/>
      <c r="E159" s="1427"/>
      <c r="F159" s="1427"/>
      <c r="G159" s="1427"/>
      <c r="H159" s="1427"/>
      <c r="I159" s="1427"/>
      <c r="J159" s="1428"/>
      <c r="K159" s="1429"/>
      <c r="L159" s="1429"/>
      <c r="M159" s="1430"/>
      <c r="N159" s="1431"/>
      <c r="O159" s="1407"/>
    </row>
    <row r="160" spans="1:15" ht="12" customHeight="1" thickBot="1">
      <c r="A160" s="1511"/>
      <c r="B160" s="1512"/>
      <c r="C160" s="1513" t="s">
        <v>16</v>
      </c>
      <c r="D160" s="1513" t="s">
        <v>656</v>
      </c>
      <c r="E160" s="1487">
        <f>E27+E6</f>
        <v>388882</v>
      </c>
      <c r="F160" s="1487">
        <f>F27+F6</f>
        <v>366803</v>
      </c>
      <c r="G160" s="1487">
        <f>G27+G6</f>
        <v>345940</v>
      </c>
      <c r="H160" s="1487">
        <f>H27+H6</f>
        <v>346269</v>
      </c>
      <c r="I160" s="1487">
        <f>I27+I6</f>
        <v>346303</v>
      </c>
      <c r="J160" s="1488"/>
      <c r="K160" s="1487">
        <f>K27+K6</f>
        <v>20732.82</v>
      </c>
      <c r="L160" s="1487">
        <f>L27+L6</f>
        <v>325570.18000000005</v>
      </c>
      <c r="M160" s="1433"/>
      <c r="N160" s="1173"/>
      <c r="O160" s="1173"/>
    </row>
    <row r="161" spans="1:15" ht="12" customHeight="1" thickBot="1">
      <c r="A161" s="1435"/>
      <c r="B161" s="1435"/>
      <c r="C161" s="1436"/>
      <c r="D161" s="1437"/>
      <c r="E161" s="1438"/>
      <c r="F161" s="1438"/>
      <c r="G161" s="1438"/>
      <c r="H161" s="1438"/>
      <c r="I161" s="1438"/>
      <c r="J161" s="1439"/>
      <c r="K161" s="1440"/>
      <c r="L161" s="1440"/>
      <c r="M161" s="1433"/>
      <c r="N161" s="1173"/>
      <c r="O161" s="1173"/>
    </row>
    <row r="162" spans="1:15" ht="12" customHeight="1" thickBot="1">
      <c r="A162" s="1511"/>
      <c r="B162" s="1512"/>
      <c r="C162" s="1513" t="s">
        <v>16</v>
      </c>
      <c r="D162" s="1513" t="s">
        <v>193</v>
      </c>
      <c r="E162" s="1432">
        <f>E146+E27</f>
        <v>328416</v>
      </c>
      <c r="F162" s="1432">
        <f>F146+F27</f>
        <v>346916</v>
      </c>
      <c r="G162" s="1432">
        <f>G146+G27</f>
        <v>362977</v>
      </c>
      <c r="H162" s="1432">
        <f>H146+H27</f>
        <v>418966</v>
      </c>
      <c r="I162" s="1487">
        <f>I146+I27</f>
        <v>404880</v>
      </c>
      <c r="J162" s="1488"/>
      <c r="K162" s="1487">
        <f>K146+K27</f>
        <v>87497.6</v>
      </c>
      <c r="L162" s="1487">
        <f>L146+L27</f>
        <v>317382.4</v>
      </c>
      <c r="M162" s="1433"/>
      <c r="N162" s="1173"/>
      <c r="O162" s="1173"/>
    </row>
    <row r="163" spans="1:15" ht="12" customHeight="1" thickBot="1">
      <c r="A163" s="1435"/>
      <c r="B163" s="1435"/>
      <c r="C163" s="1436"/>
      <c r="D163" s="1437"/>
      <c r="E163" s="1438"/>
      <c r="F163" s="1438"/>
      <c r="G163" s="1438"/>
      <c r="H163" s="1438"/>
      <c r="I163" s="1438"/>
      <c r="J163" s="1439"/>
      <c r="K163" s="1440"/>
      <c r="L163" s="1440"/>
      <c r="M163" s="1433"/>
      <c r="N163" s="1173"/>
      <c r="O163" s="1173"/>
    </row>
    <row r="164" spans="1:15" ht="12" customHeight="1" thickBot="1">
      <c r="A164" s="1511"/>
      <c r="B164" s="1512"/>
      <c r="C164" s="1513" t="s">
        <v>16</v>
      </c>
      <c r="D164" s="1513" t="s">
        <v>194</v>
      </c>
      <c r="E164" s="1432">
        <f>E6+E27+E146</f>
        <v>574103</v>
      </c>
      <c r="F164" s="1432">
        <f>F6+F27+F146</f>
        <v>555881</v>
      </c>
      <c r="G164" s="1432">
        <f>G6+G27+G146</f>
        <v>547987</v>
      </c>
      <c r="H164" s="1432">
        <f>H6+H27+H146</f>
        <v>559480</v>
      </c>
      <c r="I164" s="1487">
        <f>I6+I27+I146</f>
        <v>557774</v>
      </c>
      <c r="J164" s="1488"/>
      <c r="K164" s="1487">
        <f>K6+K27+K146</f>
        <v>88748.12</v>
      </c>
      <c r="L164" s="1487">
        <f>L6+L27+L146</f>
        <v>469025.88000000006</v>
      </c>
      <c r="M164" s="1433"/>
      <c r="N164" s="1173"/>
      <c r="O164" s="1173"/>
    </row>
    <row r="165" spans="1:14" ht="12" customHeight="1">
      <c r="A165" s="1441"/>
      <c r="B165" s="1441"/>
      <c r="C165" s="1442"/>
      <c r="D165" s="1443" t="s">
        <v>556</v>
      </c>
      <c r="E165" s="1444"/>
      <c r="F165" s="1444">
        <f>F164/E164-100%</f>
        <v>-0.03173994910320965</v>
      </c>
      <c r="G165" s="1444">
        <f>G164/F164-100%</f>
        <v>-0.014200881123837661</v>
      </c>
      <c r="I165" s="1444">
        <f>I164/G164-100%</f>
        <v>0.01785991273515619</v>
      </c>
      <c r="J165" s="1446"/>
      <c r="K165" s="1447"/>
      <c r="L165" s="1447">
        <f>I164-K164-L164</f>
        <v>0</v>
      </c>
      <c r="M165" s="1433"/>
      <c r="N165" s="1434"/>
    </row>
    <row r="166" spans="1:15" s="1187" customFormat="1" ht="12" customHeight="1">
      <c r="A166" s="1441"/>
      <c r="B166" s="1441"/>
      <c r="C166" s="1442"/>
      <c r="D166" s="1448"/>
      <c r="E166" s="1449"/>
      <c r="F166" s="1449">
        <f>F164-E164</f>
        <v>-18222</v>
      </c>
      <c r="G166" s="1449">
        <f>G164-F164</f>
        <v>-7894</v>
      </c>
      <c r="H166" s="1450"/>
      <c r="I166" s="1449">
        <f>I164-G164</f>
        <v>9787</v>
      </c>
      <c r="J166" s="1439"/>
      <c r="L166" s="1440"/>
      <c r="M166" s="1441"/>
      <c r="N166" s="1451"/>
      <c r="O166" s="1179"/>
    </row>
    <row r="167" spans="1:14" ht="12" customHeight="1" thickBot="1">
      <c r="A167" s="1441"/>
      <c r="B167" s="1452" t="s">
        <v>625</v>
      </c>
      <c r="C167" s="1442"/>
      <c r="D167" s="1453"/>
      <c r="H167" s="1438"/>
      <c r="I167" s="1438"/>
      <c r="J167" s="1439"/>
      <c r="K167" s="1440"/>
      <c r="L167" s="1440"/>
      <c r="M167" s="1441"/>
      <c r="N167" s="1451"/>
    </row>
    <row r="168" spans="1:15" ht="12" customHeight="1" thickBot="1">
      <c r="A168" s="1454"/>
      <c r="B168" s="1455"/>
      <c r="C168" s="1456"/>
      <c r="D168" s="1457" t="s">
        <v>602</v>
      </c>
      <c r="E168" s="1458">
        <f>SUBTOTAL(9,E8:E11,E12,E14:E25)</f>
        <v>244687</v>
      </c>
      <c r="F168" s="1458">
        <f>SUBTOTAL(9,F8:F11,F12,F14:F25)</f>
        <v>208965</v>
      </c>
      <c r="G168" s="1458">
        <f>SUBTOTAL(9,G8:G11,G12,G14:G25)</f>
        <v>185010</v>
      </c>
      <c r="H168" s="1459">
        <f>SUBTOTAL(9,H8:H11,H12,H14:H25)</f>
        <v>140514</v>
      </c>
      <c r="I168" s="1460">
        <f>SUBTOTAL(9,I8:I11,I12,I14:I25)</f>
        <v>149294</v>
      </c>
      <c r="J168" s="1461"/>
      <c r="K168" s="1462">
        <f>SUBTOTAL(9,K8:K11,K12,K14:K25)</f>
        <v>1250.52</v>
      </c>
      <c r="L168" s="1463">
        <f>SUBTOTAL(9,L8:L11,L12,L14:L25)</f>
        <v>148043.48</v>
      </c>
      <c r="M168" s="1433"/>
      <c r="N168" s="1434"/>
      <c r="O168" s="1407"/>
    </row>
    <row r="169" spans="1:15" ht="12" customHeight="1" thickBot="1">
      <c r="A169" s="1454"/>
      <c r="B169" s="1455"/>
      <c r="C169" s="1456"/>
      <c r="D169" s="1457" t="s">
        <v>593</v>
      </c>
      <c r="E169" s="1458">
        <f>SUBTOTAL(9,E28:E145)</f>
        <v>273007</v>
      </c>
      <c r="F169" s="1458">
        <f>SUBTOTAL(9,F28:F145)</f>
        <v>304310</v>
      </c>
      <c r="G169" s="1458">
        <f>SUBTOTAL(9,G28:G145)</f>
        <v>321860</v>
      </c>
      <c r="H169" s="1459">
        <f>SUBTOTAL(9,H28:H145)</f>
        <v>411510</v>
      </c>
      <c r="I169" s="1460">
        <f>SUBTOTAL(9,I28:I145)</f>
        <v>386818</v>
      </c>
      <c r="J169" s="1461"/>
      <c r="K169" s="1462">
        <f>SUBTOTAL(9,K28:K145)</f>
        <v>38964.6</v>
      </c>
      <c r="L169" s="1463">
        <f>SUBTOTAL(9,L28:L145)</f>
        <v>347853.4</v>
      </c>
      <c r="M169" s="1433"/>
      <c r="N169" s="1434"/>
      <c r="O169" s="1407"/>
    </row>
    <row r="170" spans="1:15" ht="12" customHeight="1" thickBot="1">
      <c r="A170" s="1454"/>
      <c r="B170" s="1455"/>
      <c r="C170" s="1456"/>
      <c r="D170" s="1457" t="s">
        <v>594</v>
      </c>
      <c r="E170" s="1458">
        <f>SUBTOTAL(9,E147:E158)</f>
        <v>185221</v>
      </c>
      <c r="F170" s="1458">
        <f>SUBTOTAL(9,F147:F158)</f>
        <v>189078</v>
      </c>
      <c r="G170" s="1458">
        <f>SUBTOTAL(9,G147:G158)</f>
        <v>202047</v>
      </c>
      <c r="H170" s="1459">
        <f>SUBTOTAL(9,H147:H158)</f>
        <v>213211</v>
      </c>
      <c r="I170" s="1460">
        <f>SUBTOTAL(9,I147:I158)</f>
        <v>211471</v>
      </c>
      <c r="J170" s="1461"/>
      <c r="K170" s="1462">
        <f>SUBTOTAL(9,K147:K158)</f>
        <v>68015.3</v>
      </c>
      <c r="L170" s="1463">
        <f>SUBTOTAL(9,L147:L158)</f>
        <v>143455.7</v>
      </c>
      <c r="M170" s="1433"/>
      <c r="N170" s="1434"/>
      <c r="O170" s="1407"/>
    </row>
    <row r="171" spans="1:14" ht="12" customHeight="1" thickBot="1">
      <c r="A171" s="1464"/>
      <c r="B171" s="1465"/>
      <c r="C171" s="1466"/>
      <c r="D171" s="1467" t="s">
        <v>623</v>
      </c>
      <c r="E171" s="1468">
        <f>E168+E169+E170</f>
        <v>702915</v>
      </c>
      <c r="F171" s="1468">
        <f>F168+F169+F170</f>
        <v>702353</v>
      </c>
      <c r="G171" s="1468">
        <f>G168+G169+G170</f>
        <v>708917</v>
      </c>
      <c r="H171" s="1469">
        <f>H168+H169+H170</f>
        <v>765235</v>
      </c>
      <c r="I171" s="1470">
        <f>I168+I169+I170</f>
        <v>747583</v>
      </c>
      <c r="J171" s="1471"/>
      <c r="K171" s="1472">
        <f>K168+K169+K170</f>
        <v>108230.42</v>
      </c>
      <c r="L171" s="1470">
        <f>L168+L169+L170</f>
        <v>639352.5800000001</v>
      </c>
      <c r="M171" s="1441"/>
      <c r="N171" s="1451"/>
    </row>
    <row r="172" spans="1:14" ht="12" customHeight="1">
      <c r="A172" s="1441"/>
      <c r="B172" s="1441"/>
      <c r="C172" s="1442"/>
      <c r="E172" s="1473"/>
      <c r="F172" s="1473" t="s">
        <v>309</v>
      </c>
      <c r="G172" s="1438">
        <v>74775</v>
      </c>
      <c r="H172" s="1438">
        <v>74775</v>
      </c>
      <c r="I172" s="1438"/>
      <c r="J172" s="1474"/>
      <c r="K172" s="1475"/>
      <c r="L172" s="1475"/>
      <c r="M172" s="1441"/>
      <c r="N172" s="1451"/>
    </row>
    <row r="173" spans="1:14" ht="12" customHeight="1">
      <c r="A173" s="1441"/>
      <c r="B173" s="1441"/>
      <c r="C173" s="1442"/>
      <c r="E173" s="1473"/>
      <c r="F173" s="1473" t="s">
        <v>431</v>
      </c>
      <c r="G173" s="1438">
        <v>12825</v>
      </c>
      <c r="H173" s="1438">
        <v>21100</v>
      </c>
      <c r="I173" s="1438"/>
      <c r="J173" s="1474"/>
      <c r="K173" s="1475"/>
      <c r="L173" s="1475"/>
      <c r="M173" s="1441"/>
      <c r="N173" s="1451"/>
    </row>
    <row r="174" spans="1:14" ht="12" customHeight="1">
      <c r="A174" s="1441"/>
      <c r="B174" s="1441"/>
      <c r="C174" s="1442"/>
      <c r="D174" s="1453"/>
      <c r="E174" s="1453"/>
      <c r="F174" s="1453"/>
      <c r="G174" s="1476">
        <f>SUM(G172:G173)</f>
        <v>87600</v>
      </c>
      <c r="H174" s="1476">
        <f>SUM(H172:H173)</f>
        <v>95875</v>
      </c>
      <c r="I174" s="1438"/>
      <c r="J174" s="1474"/>
      <c r="K174" s="1475"/>
      <c r="L174" s="1475"/>
      <c r="M174" s="1441"/>
      <c r="N174" s="1451"/>
    </row>
    <row r="175" spans="1:14" ht="12" customHeight="1">
      <c r="A175" s="1441"/>
      <c r="B175" s="1441"/>
      <c r="C175" s="1442"/>
      <c r="D175" s="1477"/>
      <c r="E175" s="1475"/>
      <c r="F175" s="1475"/>
      <c r="G175" s="1475"/>
      <c r="H175" s="1475"/>
      <c r="I175" s="1438"/>
      <c r="J175" s="1474"/>
      <c r="K175" s="1475"/>
      <c r="L175" s="1475"/>
      <c r="M175" s="1441"/>
      <c r="N175" s="1451"/>
    </row>
    <row r="176" spans="1:14" ht="12" customHeight="1">
      <c r="A176" s="1441"/>
      <c r="B176" s="1441"/>
      <c r="C176" s="1442"/>
      <c r="D176" s="1453"/>
      <c r="E176" s="1475"/>
      <c r="F176" s="1475"/>
      <c r="G176" s="1475"/>
      <c r="H176" s="1475"/>
      <c r="I176" s="1475"/>
      <c r="J176" s="1474"/>
      <c r="K176" s="1475"/>
      <c r="L176" s="1475"/>
      <c r="M176" s="1441"/>
      <c r="N176" s="1451"/>
    </row>
    <row r="177" spans="1:14" ht="12" customHeight="1">
      <c r="A177" s="1477"/>
      <c r="B177" s="1477"/>
      <c r="C177" s="1478"/>
      <c r="D177" s="1479"/>
      <c r="E177" s="1475"/>
      <c r="F177" s="1475"/>
      <c r="G177" s="1475"/>
      <c r="H177" s="1475"/>
      <c r="I177" s="1475"/>
      <c r="J177" s="1474"/>
      <c r="K177" s="1475"/>
      <c r="L177" s="1475"/>
      <c r="M177" s="1441"/>
      <c r="N177" s="1480"/>
    </row>
    <row r="178" spans="1:14" ht="12" customHeight="1">
      <c r="A178" s="1441"/>
      <c r="B178" s="1441"/>
      <c r="C178" s="1442"/>
      <c r="D178" s="1453"/>
      <c r="E178" s="1475"/>
      <c r="F178" s="1475"/>
      <c r="G178" s="1475"/>
      <c r="H178" s="1475"/>
      <c r="I178" s="1475"/>
      <c r="J178" s="1474"/>
      <c r="K178" s="1475"/>
      <c r="L178" s="1475"/>
      <c r="M178" s="1441"/>
      <c r="N178" s="1451"/>
    </row>
    <row r="179" spans="1:14" ht="12" customHeight="1">
      <c r="A179" s="1441"/>
      <c r="B179" s="1441"/>
      <c r="C179" s="1442"/>
      <c r="D179" s="1453"/>
      <c r="E179" s="1475"/>
      <c r="F179" s="1475"/>
      <c r="G179" s="1475"/>
      <c r="H179" s="1475"/>
      <c r="I179" s="1475"/>
      <c r="J179" s="1474"/>
      <c r="K179" s="1475"/>
      <c r="L179" s="1475"/>
      <c r="M179" s="1441"/>
      <c r="N179" s="1451"/>
    </row>
    <row r="180" spans="1:15" ht="12" customHeight="1">
      <c r="A180" s="1441"/>
      <c r="B180" s="1441"/>
      <c r="C180" s="1442"/>
      <c r="D180" s="1453"/>
      <c r="E180" s="1475"/>
      <c r="F180" s="1475"/>
      <c r="G180" s="1475"/>
      <c r="H180" s="1475"/>
      <c r="I180" s="1475"/>
      <c r="J180" s="1474"/>
      <c r="K180" s="1475"/>
      <c r="L180" s="1475"/>
      <c r="M180" s="1441"/>
      <c r="N180" s="1451"/>
      <c r="O180" s="1481"/>
    </row>
    <row r="181" spans="1:15" ht="12" customHeight="1">
      <c r="A181" s="1441"/>
      <c r="B181" s="1441"/>
      <c r="C181" s="1442"/>
      <c r="D181" s="1453"/>
      <c r="E181" s="1475"/>
      <c r="F181" s="1475"/>
      <c r="G181" s="1475"/>
      <c r="H181" s="1475"/>
      <c r="I181" s="1475"/>
      <c r="J181" s="1474"/>
      <c r="K181" s="1475"/>
      <c r="L181" s="1475"/>
      <c r="M181" s="1441"/>
      <c r="N181" s="1451"/>
      <c r="O181" s="1481"/>
    </row>
    <row r="182" spans="5:15" ht="12" customHeight="1">
      <c r="E182" s="1482"/>
      <c r="F182" s="1482"/>
      <c r="G182" s="1482"/>
      <c r="H182" s="1482"/>
      <c r="I182" s="1482"/>
      <c r="J182" s="1483"/>
      <c r="K182" s="1174"/>
      <c r="L182" s="1174"/>
      <c r="O182" s="1481"/>
    </row>
    <row r="183" spans="5:15" ht="12" customHeight="1">
      <c r="E183" s="1482"/>
      <c r="F183" s="1482"/>
      <c r="G183" s="1482"/>
      <c r="H183" s="1482"/>
      <c r="I183" s="1482"/>
      <c r="J183" s="1483"/>
      <c r="K183" s="1174"/>
      <c r="L183" s="1174"/>
      <c r="O183" s="1481"/>
    </row>
    <row r="184" spans="5:15" ht="12" customHeight="1">
      <c r="E184" s="1482"/>
      <c r="F184" s="1482"/>
      <c r="G184" s="1482"/>
      <c r="H184" s="1482"/>
      <c r="I184" s="1482"/>
      <c r="J184" s="1483"/>
      <c r="K184" s="1174"/>
      <c r="L184" s="1174"/>
      <c r="O184" s="1481"/>
    </row>
    <row r="185" spans="1:15" s="1187" customFormat="1" ht="12" customHeight="1">
      <c r="A185" s="1185"/>
      <c r="B185" s="1185"/>
      <c r="C185" s="1186"/>
      <c r="D185" s="1173"/>
      <c r="E185" s="1482"/>
      <c r="F185" s="1482"/>
      <c r="G185" s="1482"/>
      <c r="H185" s="1482"/>
      <c r="I185" s="1482"/>
      <c r="J185" s="1483"/>
      <c r="K185" s="1174"/>
      <c r="L185" s="1174"/>
      <c r="M185" s="1185"/>
      <c r="N185" s="1484"/>
      <c r="O185" s="1481"/>
    </row>
    <row r="186" ht="12" customHeight="1">
      <c r="O186" s="1481"/>
    </row>
    <row r="187" spans="1:15" ht="12" customHeight="1">
      <c r="A187" s="1173"/>
      <c r="B187" s="1173"/>
      <c r="C187" s="1173"/>
      <c r="E187" s="1173"/>
      <c r="F187" s="1173"/>
      <c r="G187" s="1173"/>
      <c r="H187" s="1173"/>
      <c r="I187" s="1173"/>
      <c r="J187" s="1185"/>
      <c r="K187" s="1173"/>
      <c r="L187" s="1173"/>
      <c r="M187" s="1173"/>
      <c r="N187" s="1173"/>
      <c r="O187" s="1481"/>
    </row>
    <row r="188" spans="1:15" ht="12" customHeight="1">
      <c r="A188" s="1173"/>
      <c r="B188" s="1173"/>
      <c r="C188" s="1173"/>
      <c r="E188" s="1173"/>
      <c r="F188" s="1173"/>
      <c r="G188" s="1173"/>
      <c r="H188" s="1173"/>
      <c r="I188" s="1173"/>
      <c r="J188" s="1185"/>
      <c r="K188" s="1173"/>
      <c r="L188" s="1173"/>
      <c r="M188" s="1173"/>
      <c r="N188" s="1173"/>
      <c r="O188" s="1481"/>
    </row>
    <row r="189" spans="1:15" ht="12" customHeight="1">
      <c r="A189" s="1173"/>
      <c r="B189" s="1173"/>
      <c r="C189" s="1173"/>
      <c r="E189" s="1173"/>
      <c r="F189" s="1173"/>
      <c r="G189" s="1173"/>
      <c r="H189" s="1173"/>
      <c r="I189" s="1173"/>
      <c r="J189" s="1185"/>
      <c r="K189" s="1173"/>
      <c r="L189" s="1173"/>
      <c r="M189" s="1173"/>
      <c r="N189" s="1173"/>
      <c r="O189" s="1481"/>
    </row>
  </sheetData>
  <sheetProtection/>
  <autoFilter ref="A5:N158"/>
  <printOptions horizontalCentered="1"/>
  <pageMargins left="0.3937007874015748" right="0.2755905511811024" top="0.31496062992125984" bottom="0.2362204724409449" header="0.1968503937007874" footer="0.11811023622047245"/>
  <pageSetup horizontalDpi="600" verticalDpi="600" orientation="portrait" paperSize="8" scale="80" r:id="rId1"/>
  <headerFooter alignWithMargins="0">
    <oddFooter>&amp;C&amp;A&amp;RStránka &amp;P</oddFooter>
  </headerFooter>
  <rowBreaks count="1" manualBreakCount="1">
    <brk id="112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showGridLines="0" zoomScale="75" zoomScaleNormal="75" zoomScaleSheetLayoutView="75" zoomScalePageLayoutView="0" workbookViewId="0" topLeftCell="A13">
      <selection activeCell="F40" sqref="F40"/>
    </sheetView>
  </sheetViews>
  <sheetFormatPr defaultColWidth="11.375" defaultRowHeight="33" customHeight="1"/>
  <cols>
    <col min="1" max="1" width="4.625" style="1" customWidth="1"/>
    <col min="2" max="2" width="91.125" style="876" customWidth="1"/>
    <col min="3" max="5" width="15.75390625" style="876" hidden="1" customWidth="1"/>
    <col min="6" max="6" width="15.75390625" style="876" customWidth="1"/>
    <col min="7" max="7" width="30.375" style="1041" customWidth="1"/>
    <col min="8" max="16" width="11.375" style="2" customWidth="1"/>
    <col min="17" max="16384" width="11.375" style="1" customWidth="1"/>
  </cols>
  <sheetData>
    <row r="1" spans="2:7" s="26" customFormat="1" ht="21.75" customHeight="1">
      <c r="B1" s="857"/>
      <c r="C1" s="858"/>
      <c r="D1" s="858"/>
      <c r="E1" s="858"/>
      <c r="F1" s="859"/>
      <c r="G1" s="1039"/>
    </row>
    <row r="2" spans="1:16" s="5" customFormat="1" ht="18.75" customHeight="1">
      <c r="A2" s="11"/>
      <c r="B2" s="858"/>
      <c r="C2" s="858"/>
      <c r="D2" s="858"/>
      <c r="E2" s="858"/>
      <c r="F2" s="860"/>
      <c r="G2" s="1039"/>
      <c r="H2" s="4"/>
      <c r="I2" s="4"/>
      <c r="J2" s="4"/>
      <c r="K2" s="4"/>
      <c r="L2" s="4"/>
      <c r="M2" s="4"/>
      <c r="N2" s="4"/>
      <c r="O2" s="4"/>
      <c r="P2" s="4"/>
    </row>
    <row r="3" spans="1:7" s="7" customFormat="1" ht="27.75" customHeight="1">
      <c r="A3" s="6"/>
      <c r="B3" s="861" t="s">
        <v>440</v>
      </c>
      <c r="C3" s="863">
        <v>2012</v>
      </c>
      <c r="D3" s="863">
        <v>2013</v>
      </c>
      <c r="E3" s="863">
        <v>2014</v>
      </c>
      <c r="F3" s="862">
        <v>2015</v>
      </c>
      <c r="G3" s="1039"/>
    </row>
    <row r="4" spans="1:16" s="8" customFormat="1" ht="23.25" customHeight="1">
      <c r="A4" s="765"/>
      <c r="B4" s="864" t="s">
        <v>206</v>
      </c>
      <c r="C4" s="865" t="e">
        <f>SUM(C23,C21,C25,#REF!,C13,C19,C11,C15,C17,C7,C5)</f>
        <v>#REF!</v>
      </c>
      <c r="D4" s="865" t="e">
        <f>SUM(D23,D21,D25,#REF!,D13,D19,D11,D15,D17,D7,D5)</f>
        <v>#REF!</v>
      </c>
      <c r="E4" s="865" t="e">
        <f>SUM(E23,E21,E25,#REF!,E13,E19,E11,E15,E17,E7,E5)</f>
        <v>#REF!</v>
      </c>
      <c r="F4" s="865">
        <f>SUM(F23,F21,F25,F13,F19,F11,F15,F17,F9,F7,F5)</f>
        <v>6400</v>
      </c>
      <c r="G4" s="1039"/>
      <c r="H4" s="3"/>
      <c r="I4" s="3"/>
      <c r="J4" s="3"/>
      <c r="K4" s="3"/>
      <c r="L4" s="3"/>
      <c r="M4" s="3"/>
      <c r="N4" s="3"/>
      <c r="O4" s="3"/>
      <c r="P4" s="3"/>
    </row>
    <row r="5" spans="1:16" s="9" customFormat="1" ht="18.75" customHeight="1">
      <c r="A5" s="766"/>
      <c r="B5" s="866" t="s">
        <v>8</v>
      </c>
      <c r="C5" s="868">
        <v>150</v>
      </c>
      <c r="D5" s="868">
        <v>2500</v>
      </c>
      <c r="E5" s="869">
        <v>3340</v>
      </c>
      <c r="F5" s="869">
        <f>SUM(F6)</f>
        <v>1865</v>
      </c>
      <c r="G5" s="1039"/>
      <c r="H5" s="2"/>
      <c r="I5" s="2"/>
      <c r="J5" s="2"/>
      <c r="K5" s="2"/>
      <c r="L5" s="2"/>
      <c r="M5" s="2"/>
      <c r="N5" s="2"/>
      <c r="O5" s="2"/>
      <c r="P5" s="2"/>
    </row>
    <row r="6" spans="1:16" s="9" customFormat="1" ht="21" customHeight="1">
      <c r="A6" s="766"/>
      <c r="B6" s="870" t="s">
        <v>520</v>
      </c>
      <c r="C6" s="872"/>
      <c r="D6" s="872"/>
      <c r="E6" s="872"/>
      <c r="F6" s="873">
        <v>1865</v>
      </c>
      <c r="G6" s="1039"/>
      <c r="H6" s="2"/>
      <c r="I6" s="2"/>
      <c r="J6" s="2"/>
      <c r="K6" s="2"/>
      <c r="L6" s="2"/>
      <c r="M6" s="2"/>
      <c r="N6" s="2"/>
      <c r="O6" s="2"/>
      <c r="P6" s="2"/>
    </row>
    <row r="7" spans="1:16" s="9" customFormat="1" ht="21" customHeight="1">
      <c r="A7" s="766"/>
      <c r="B7" s="874" t="s">
        <v>12</v>
      </c>
      <c r="C7" s="868">
        <f>SUM(C8)</f>
        <v>0</v>
      </c>
      <c r="D7" s="868">
        <f>SUM(D8)</f>
        <v>0</v>
      </c>
      <c r="E7" s="868">
        <v>1100</v>
      </c>
      <c r="F7" s="869">
        <f>SUM(F8)</f>
        <v>1000</v>
      </c>
      <c r="G7" s="1039"/>
      <c r="H7" s="2"/>
      <c r="I7" s="2"/>
      <c r="J7" s="2"/>
      <c r="K7" s="2"/>
      <c r="L7" s="2"/>
      <c r="M7" s="2"/>
      <c r="N7" s="2"/>
      <c r="O7" s="2"/>
      <c r="P7" s="2"/>
    </row>
    <row r="8" spans="1:16" s="10" customFormat="1" ht="21" customHeight="1">
      <c r="A8" s="767"/>
      <c r="B8" s="870" t="s">
        <v>521</v>
      </c>
      <c r="C8" s="872"/>
      <c r="D8" s="872"/>
      <c r="E8" s="872"/>
      <c r="F8" s="873">
        <v>1000</v>
      </c>
      <c r="G8" s="1039"/>
      <c r="H8" s="4"/>
      <c r="I8" s="4"/>
      <c r="J8" s="4"/>
      <c r="K8" s="4"/>
      <c r="L8" s="4"/>
      <c r="M8" s="4"/>
      <c r="N8" s="4"/>
      <c r="O8" s="4"/>
      <c r="P8" s="4"/>
    </row>
    <row r="9" spans="1:7" ht="21" customHeight="1">
      <c r="A9" s="768"/>
      <c r="B9" s="1042" t="s">
        <v>9</v>
      </c>
      <c r="C9" s="868"/>
      <c r="D9" s="868"/>
      <c r="E9" s="868">
        <v>940</v>
      </c>
      <c r="F9" s="869">
        <f>SUM(F10:F10)</f>
        <v>0</v>
      </c>
      <c r="G9" s="1039"/>
    </row>
    <row r="10" spans="1:7" ht="21" customHeight="1">
      <c r="A10" s="768"/>
      <c r="B10" s="1043"/>
      <c r="C10" s="872"/>
      <c r="D10" s="872"/>
      <c r="E10" s="872"/>
      <c r="F10" s="873"/>
      <c r="G10" s="1039"/>
    </row>
    <row r="11" spans="1:7" ht="21" customHeight="1">
      <c r="A11" s="768"/>
      <c r="B11" s="1042" t="s">
        <v>11</v>
      </c>
      <c r="C11" s="868"/>
      <c r="D11" s="868"/>
      <c r="E11" s="868"/>
      <c r="F11" s="869">
        <f>SUM(F12:F12)</f>
        <v>775</v>
      </c>
      <c r="G11" s="1039"/>
    </row>
    <row r="12" spans="1:7" ht="21" customHeight="1">
      <c r="A12" s="768"/>
      <c r="B12" s="1043" t="s">
        <v>526</v>
      </c>
      <c r="C12" s="872"/>
      <c r="D12" s="872"/>
      <c r="E12" s="872"/>
      <c r="F12" s="873">
        <v>775</v>
      </c>
      <c r="G12" s="1039"/>
    </row>
    <row r="13" spans="1:7" ht="21" customHeight="1">
      <c r="A13" s="768"/>
      <c r="B13" s="1042" t="s">
        <v>13</v>
      </c>
      <c r="C13" s="868">
        <v>1750</v>
      </c>
      <c r="D13" s="868">
        <v>450</v>
      </c>
      <c r="E13" s="868">
        <v>800</v>
      </c>
      <c r="F13" s="869">
        <f>SUM(F14)</f>
        <v>500</v>
      </c>
      <c r="G13" s="1039"/>
    </row>
    <row r="14" spans="1:7" ht="21" customHeight="1">
      <c r="A14" s="768"/>
      <c r="B14" s="1043" t="s">
        <v>525</v>
      </c>
      <c r="C14" s="872"/>
      <c r="D14" s="872"/>
      <c r="E14" s="872"/>
      <c r="F14" s="873">
        <v>500</v>
      </c>
      <c r="G14" s="1039"/>
    </row>
    <row r="15" spans="1:7" ht="21" customHeight="1">
      <c r="A15" s="768"/>
      <c r="B15" s="874" t="s">
        <v>14</v>
      </c>
      <c r="C15" s="868">
        <v>2568</v>
      </c>
      <c r="D15" s="868">
        <v>2500</v>
      </c>
      <c r="E15" s="868">
        <v>790</v>
      </c>
      <c r="F15" s="869">
        <f>SUM(F16)</f>
        <v>100</v>
      </c>
      <c r="G15" s="1039"/>
    </row>
    <row r="16" spans="1:16" s="10" customFormat="1" ht="21" customHeight="1">
      <c r="A16" s="767"/>
      <c r="B16" s="870" t="s">
        <v>523</v>
      </c>
      <c r="C16" s="872"/>
      <c r="D16" s="872"/>
      <c r="E16" s="872"/>
      <c r="F16" s="873">
        <v>100</v>
      </c>
      <c r="G16" s="1039"/>
      <c r="H16" s="4"/>
      <c r="I16" s="4"/>
      <c r="J16" s="4"/>
      <c r="K16" s="4"/>
      <c r="L16" s="4"/>
      <c r="M16" s="4"/>
      <c r="N16" s="4"/>
      <c r="O16" s="4"/>
      <c r="P16" s="4"/>
    </row>
    <row r="17" spans="1:7" ht="21" customHeight="1">
      <c r="A17" s="768"/>
      <c r="B17" s="874" t="s">
        <v>15</v>
      </c>
      <c r="C17" s="868">
        <f>SUM(C18)</f>
        <v>0</v>
      </c>
      <c r="D17" s="868">
        <f>SUM(D18)</f>
        <v>0</v>
      </c>
      <c r="E17" s="868">
        <v>120</v>
      </c>
      <c r="F17" s="869">
        <f>SUM(F18)</f>
        <v>485</v>
      </c>
      <c r="G17" s="1039"/>
    </row>
    <row r="18" spans="1:7" ht="21" customHeight="1">
      <c r="A18" s="768"/>
      <c r="B18" s="870" t="s">
        <v>522</v>
      </c>
      <c r="C18" s="872"/>
      <c r="D18" s="872"/>
      <c r="E18" s="872"/>
      <c r="F18" s="873">
        <v>485</v>
      </c>
      <c r="G18" s="1039"/>
    </row>
    <row r="19" spans="1:7" ht="21" customHeight="1">
      <c r="A19" s="768"/>
      <c r="B19" s="1042" t="s">
        <v>83</v>
      </c>
      <c r="C19" s="868"/>
      <c r="D19" s="868"/>
      <c r="E19" s="868"/>
      <c r="F19" s="869">
        <f>SUM(F20)</f>
        <v>250</v>
      </c>
      <c r="G19" s="1039"/>
    </row>
    <row r="20" spans="1:7" ht="21" customHeight="1">
      <c r="A20" s="768"/>
      <c r="B20" s="1043" t="s">
        <v>524</v>
      </c>
      <c r="C20" s="872"/>
      <c r="D20" s="872"/>
      <c r="E20" s="872"/>
      <c r="F20" s="873">
        <v>250</v>
      </c>
      <c r="G20" s="1039"/>
    </row>
    <row r="21" spans="1:7" ht="21" customHeight="1">
      <c r="A21" s="768"/>
      <c r="B21" s="1042" t="s">
        <v>71</v>
      </c>
      <c r="C21" s="868">
        <v>2200</v>
      </c>
      <c r="D21" s="868">
        <v>3000</v>
      </c>
      <c r="E21" s="868"/>
      <c r="F21" s="869">
        <f>SUM(F22)</f>
        <v>0</v>
      </c>
      <c r="G21" s="1039"/>
    </row>
    <row r="22" spans="1:16" s="10" customFormat="1" ht="21" customHeight="1">
      <c r="A22" s="767"/>
      <c r="B22" s="1043" t="s">
        <v>441</v>
      </c>
      <c r="C22" s="872"/>
      <c r="D22" s="872"/>
      <c r="E22" s="872"/>
      <c r="F22" s="873" t="s">
        <v>442</v>
      </c>
      <c r="G22" s="1040" t="s">
        <v>620</v>
      </c>
      <c r="H22" s="4"/>
      <c r="I22" s="4"/>
      <c r="J22" s="4"/>
      <c r="K22" s="4"/>
      <c r="L22" s="4"/>
      <c r="M22" s="4"/>
      <c r="N22" s="4"/>
      <c r="O22" s="4"/>
      <c r="P22" s="4"/>
    </row>
    <row r="23" spans="1:7" ht="21" customHeight="1">
      <c r="A23" s="768"/>
      <c r="B23" s="1042" t="s">
        <v>1</v>
      </c>
      <c r="C23" s="868">
        <v>694</v>
      </c>
      <c r="D23" s="868"/>
      <c r="E23" s="868"/>
      <c r="F23" s="869">
        <f>SUM(F24)</f>
        <v>0</v>
      </c>
      <c r="G23" s="1039"/>
    </row>
    <row r="24" spans="1:16" s="10" customFormat="1" ht="21" customHeight="1">
      <c r="A24" s="767"/>
      <c r="B24" s="1043" t="s">
        <v>441</v>
      </c>
      <c r="C24" s="872"/>
      <c r="D24" s="872"/>
      <c r="E24" s="872"/>
      <c r="F24" s="873"/>
      <c r="G24" s="1039"/>
      <c r="H24" s="4"/>
      <c r="I24" s="4"/>
      <c r="J24" s="4"/>
      <c r="K24" s="4"/>
      <c r="L24" s="4"/>
      <c r="M24" s="4"/>
      <c r="N24" s="4"/>
      <c r="O24" s="4"/>
      <c r="P24" s="4"/>
    </row>
    <row r="25" spans="1:7" ht="21" customHeight="1">
      <c r="A25" s="768"/>
      <c r="B25" s="1042" t="s">
        <v>18</v>
      </c>
      <c r="C25" s="868">
        <f>2368+C29</f>
        <v>2638</v>
      </c>
      <c r="D25" s="868">
        <v>1550</v>
      </c>
      <c r="E25" s="868">
        <v>2910</v>
      </c>
      <c r="F25" s="869">
        <f>SUM(F26:F29)</f>
        <v>1425</v>
      </c>
      <c r="G25" s="1039"/>
    </row>
    <row r="26" spans="1:16" s="10" customFormat="1" ht="21" customHeight="1">
      <c r="A26" s="767"/>
      <c r="B26" s="1043" t="s">
        <v>527</v>
      </c>
      <c r="C26" s="872"/>
      <c r="D26" s="872"/>
      <c r="E26" s="872"/>
      <c r="F26" s="873">
        <v>500</v>
      </c>
      <c r="G26" s="1039"/>
      <c r="H26" s="4"/>
      <c r="I26" s="4"/>
      <c r="J26" s="4"/>
      <c r="K26" s="4"/>
      <c r="L26" s="4"/>
      <c r="M26" s="4"/>
      <c r="N26" s="4"/>
      <c r="O26" s="4"/>
      <c r="P26" s="4"/>
    </row>
    <row r="27" spans="1:16" s="10" customFormat="1" ht="21" customHeight="1">
      <c r="A27" s="767"/>
      <c r="B27" s="1043" t="s">
        <v>528</v>
      </c>
      <c r="C27" s="872"/>
      <c r="D27" s="872"/>
      <c r="E27" s="872"/>
      <c r="F27" s="873">
        <v>350</v>
      </c>
      <c r="G27" s="1039"/>
      <c r="H27" s="4"/>
      <c r="I27" s="4"/>
      <c r="J27" s="4"/>
      <c r="K27" s="4"/>
      <c r="L27" s="4"/>
      <c r="M27" s="4"/>
      <c r="N27" s="4"/>
      <c r="O27" s="4"/>
      <c r="P27" s="4"/>
    </row>
    <row r="28" spans="1:16" s="10" customFormat="1" ht="21" customHeight="1">
      <c r="A28" s="767"/>
      <c r="B28" s="1044" t="s">
        <v>529</v>
      </c>
      <c r="C28" s="872"/>
      <c r="D28" s="872"/>
      <c r="E28" s="872"/>
      <c r="F28" s="873">
        <v>270</v>
      </c>
      <c r="G28" s="1039"/>
      <c r="H28" s="4"/>
      <c r="I28" s="4"/>
      <c r="J28" s="4"/>
      <c r="K28" s="4"/>
      <c r="L28" s="4"/>
      <c r="M28" s="4"/>
      <c r="N28" s="4"/>
      <c r="O28" s="4"/>
      <c r="P28" s="4"/>
    </row>
    <row r="29" spans="1:16" s="10" customFormat="1" ht="21" customHeight="1">
      <c r="A29" s="767"/>
      <c r="B29" s="1043" t="s">
        <v>127</v>
      </c>
      <c r="C29" s="872">
        <v>270</v>
      </c>
      <c r="D29" s="872">
        <v>1120</v>
      </c>
      <c r="E29" s="872"/>
      <c r="F29" s="873">
        <v>305</v>
      </c>
      <c r="G29" s="1039"/>
      <c r="H29" s="4"/>
      <c r="I29" s="4"/>
      <c r="J29" s="4"/>
      <c r="K29" s="4"/>
      <c r="L29" s="4"/>
      <c r="M29" s="4"/>
      <c r="N29" s="4"/>
      <c r="O29" s="4"/>
      <c r="P29" s="4"/>
    </row>
    <row r="30" ht="23.25" customHeight="1">
      <c r="B30" s="875" t="s">
        <v>443</v>
      </c>
    </row>
    <row r="32" spans="2:6" ht="33" customHeight="1">
      <c r="B32" s="861" t="s">
        <v>549</v>
      </c>
      <c r="C32" s="862">
        <v>2012</v>
      </c>
      <c r="D32" s="862">
        <v>2013</v>
      </c>
      <c r="E32" s="862">
        <v>2014</v>
      </c>
      <c r="F32" s="862">
        <v>2015</v>
      </c>
    </row>
    <row r="33" spans="2:6" ht="21" customHeight="1">
      <c r="B33" s="864" t="s">
        <v>206</v>
      </c>
      <c r="C33" s="865">
        <f>C36</f>
        <v>1000</v>
      </c>
      <c r="D33" s="865">
        <f>D36</f>
        <v>2000</v>
      </c>
      <c r="E33" s="865">
        <f>E36</f>
        <v>0</v>
      </c>
      <c r="F33" s="865">
        <f>SUM(F34,F36)</f>
        <v>6300</v>
      </c>
    </row>
    <row r="34" spans="2:6" ht="21" customHeight="1">
      <c r="B34" s="866" t="s">
        <v>9</v>
      </c>
      <c r="C34" s="867"/>
      <c r="D34" s="867"/>
      <c r="E34" s="867"/>
      <c r="F34" s="869">
        <f>SUM(F35)</f>
        <v>300</v>
      </c>
    </row>
    <row r="35" spans="2:7" ht="21" customHeight="1">
      <c r="B35" s="870" t="s">
        <v>551</v>
      </c>
      <c r="C35" s="871"/>
      <c r="D35" s="871"/>
      <c r="E35" s="871"/>
      <c r="F35" s="873">
        <v>300</v>
      </c>
      <c r="G35" s="1040" t="s">
        <v>618</v>
      </c>
    </row>
    <row r="36" spans="2:6" ht="21" customHeight="1">
      <c r="B36" s="874" t="s">
        <v>18</v>
      </c>
      <c r="C36" s="869">
        <f>SUM(C37:C39)</f>
        <v>1000</v>
      </c>
      <c r="D36" s="869">
        <f>SUM(D37:D39)</f>
        <v>2000</v>
      </c>
      <c r="E36" s="869">
        <f>SUM(E37:E39)</f>
        <v>0</v>
      </c>
      <c r="F36" s="869">
        <f>SUM(F37:F39)</f>
        <v>6000</v>
      </c>
    </row>
    <row r="37" spans="2:6" ht="21" customHeight="1">
      <c r="B37" s="870" t="s">
        <v>550</v>
      </c>
      <c r="C37" s="872">
        <v>1000</v>
      </c>
      <c r="D37" s="872">
        <v>2000</v>
      </c>
      <c r="E37" s="872"/>
      <c r="F37" s="873"/>
    </row>
    <row r="38" spans="2:7" ht="21" customHeight="1">
      <c r="B38" s="870" t="s">
        <v>551</v>
      </c>
      <c r="C38" s="872"/>
      <c r="D38" s="872"/>
      <c r="E38" s="872"/>
      <c r="F38" s="873">
        <v>2400</v>
      </c>
      <c r="G38" s="1040" t="s">
        <v>619</v>
      </c>
    </row>
    <row r="39" spans="2:7" ht="21" customHeight="1">
      <c r="B39" s="870" t="s">
        <v>551</v>
      </c>
      <c r="C39" s="872"/>
      <c r="D39" s="872"/>
      <c r="E39" s="872"/>
      <c r="F39" s="873">
        <v>3600</v>
      </c>
      <c r="G39" s="1040" t="s">
        <v>676</v>
      </c>
    </row>
  </sheetData>
  <sheetProtection/>
  <printOptions horizontalCentered="1"/>
  <pageMargins left="0.2755905511811024" right="0" top="0.1968503937007874" bottom="0.15748031496062992" header="0.4724409448818898" footer="0.15748031496062992"/>
  <pageSetup fitToHeight="1" fitToWidth="1" horizontalDpi="600" verticalDpi="600" orientation="portrait" paperSize="9" scale="70" r:id="rId1"/>
  <headerFooter alignWithMargins="0">
    <oddFooter>&amp;C&amp;A&amp;RStránka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J.Tomanova</dc:creator>
  <cp:keywords/>
  <dc:description/>
  <cp:lastModifiedBy>Ingrid Lunakova</cp:lastModifiedBy>
  <cp:lastPrinted>2015-04-16T15:58:27Z</cp:lastPrinted>
  <dcterms:created xsi:type="dcterms:W3CDTF">2002-02-05T08:08:05Z</dcterms:created>
  <dcterms:modified xsi:type="dcterms:W3CDTF">2015-04-16T16:00:18Z</dcterms:modified>
  <cp:category/>
  <cp:version/>
  <cp:contentType/>
  <cp:contentStatus/>
</cp:coreProperties>
</file>