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71" activeTab="0"/>
  </bookViews>
  <sheets>
    <sheet name="str1" sheetId="1" r:id="rId1"/>
    <sheet name="str2" sheetId="2" r:id="rId2"/>
    <sheet name="str3" sheetId="3" r:id="rId3"/>
    <sheet name="str4" sheetId="4" r:id="rId4"/>
    <sheet name="str5" sheetId="5" r:id="rId5"/>
    <sheet name="rozpis pro rozpocet" sheetId="6" r:id="rId6"/>
    <sheet name=" rozpis pro HS" sheetId="7" r:id="rId7"/>
    <sheet name="příl.1 - cp 2016" sheetId="8" r:id="rId8"/>
    <sheet name="příl.2 - NEI pro INV" sheetId="9" r:id="rId9"/>
    <sheet name="příl.3 - Osnova NEI 2016" sheetId="10" r:id="rId10"/>
    <sheet name="Rozdělení IRP" sheetId="11" r:id="rId11"/>
    <sheet name="pom1 - Přerozdělení IP" sheetId="12" r:id="rId12"/>
    <sheet name="pom2 - Poměr VaV" sheetId="13" r:id="rId13"/>
  </sheets>
  <definedNames>
    <definedName name="_xlnm._FilterDatabase" localSheetId="7" hidden="1">'příl.1 - cp 2016'!$A$5:$N$166</definedName>
    <definedName name="bla" localSheetId="7">#REF!</definedName>
    <definedName name="bla">#REF!</definedName>
    <definedName name="_xlnm.Print_Titles" localSheetId="7">'příl.1 - cp 2016'!$4:$5</definedName>
    <definedName name="_xlnm.Print_Area" localSheetId="7">'příl.1 - cp 2016'!$A$1:$O$174</definedName>
  </definedNames>
  <calcPr fullCalcOnLoad="1"/>
</workbook>
</file>

<file path=xl/comments7.xml><?xml version="1.0" encoding="utf-8"?>
<comments xmlns="http://schemas.openxmlformats.org/spreadsheetml/2006/main">
  <authors>
    <author>Tomanova</author>
  </authors>
  <commentList>
    <comment ref="F9" authorId="0">
      <text>
        <r>
          <rPr>
            <b/>
            <sz val="9"/>
            <rFont val="Tahoma"/>
            <family val="2"/>
          </rPr>
          <t>Příspěvek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Příspěvek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<sst xmlns="http://schemas.openxmlformats.org/spreadsheetml/2006/main" count="1466" uniqueCount="722">
  <si>
    <t>Příspěvek celkem</t>
  </si>
  <si>
    <t>SUKB</t>
  </si>
  <si>
    <t>index</t>
  </si>
  <si>
    <t>ř.</t>
  </si>
  <si>
    <t xml:space="preserve">   Činnost</t>
  </si>
  <si>
    <t xml:space="preserve">   C e l k e m</t>
  </si>
  <si>
    <t>Fakulta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</si>
  <si>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</si>
  <si>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</si>
  <si>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</si>
  <si>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</si>
  <si>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</si>
  <si>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</si>
  <si>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</si>
  <si>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</si>
  <si>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</si>
  <si>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celkem</t>
  </si>
  <si>
    <t>ÚVT</t>
  </si>
  <si>
    <t>RMU</t>
  </si>
  <si>
    <t>vzděl.č.</t>
  </si>
  <si>
    <t>ostatní</t>
  </si>
  <si>
    <t>podíl</t>
  </si>
  <si>
    <t>přínos</t>
  </si>
  <si>
    <t>odpisy</t>
  </si>
  <si>
    <t>CJV</t>
  </si>
  <si>
    <t>CZS</t>
  </si>
  <si>
    <t>plán</t>
  </si>
  <si>
    <t>č.</t>
  </si>
  <si>
    <t>akce</t>
  </si>
  <si>
    <t xml:space="preserve"> celkem účtováno přes rektorát</t>
  </si>
  <si>
    <t xml:space="preserve"> celkem účtováno přes FI</t>
  </si>
  <si>
    <t>z toho</t>
  </si>
  <si>
    <t>bez CA</t>
  </si>
  <si>
    <t>RR</t>
  </si>
  <si>
    <t>č.ř.</t>
  </si>
  <si>
    <t>MU celkem</t>
  </si>
  <si>
    <t>činnost</t>
  </si>
  <si>
    <t xml:space="preserve">Hospodářské </t>
  </si>
  <si>
    <t>středisko</t>
  </si>
  <si>
    <t>fakulty celkem</t>
  </si>
  <si>
    <t>Seznam příloh:</t>
  </si>
  <si>
    <t xml:space="preserve">příloha 1 - </t>
  </si>
  <si>
    <t>Plán</t>
  </si>
  <si>
    <t>Upravený</t>
  </si>
  <si>
    <t>Skutečnost</t>
  </si>
  <si>
    <t xml:space="preserve">   z toho:</t>
  </si>
  <si>
    <t xml:space="preserve">v tom - </t>
  </si>
  <si>
    <t>mzdy</t>
  </si>
  <si>
    <t>OON</t>
  </si>
  <si>
    <t>energie</t>
  </si>
  <si>
    <t>opravy, údržba</t>
  </si>
  <si>
    <t>materiál</t>
  </si>
  <si>
    <t>služby</t>
  </si>
  <si>
    <t>cestovné</t>
  </si>
  <si>
    <t>stipendia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</si>
  <si>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</si>
  <si>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</si>
  <si>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</si>
  <si>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</si>
  <si>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</si>
  <si>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Ostatní dotace ze SR a od úz.celků bez VaV</t>
  </si>
  <si>
    <t>151*,161*</t>
  </si>
  <si>
    <t>Projekty VaV ze SR a od úz.celků</t>
  </si>
  <si>
    <t>Doplňková činnost</t>
  </si>
  <si>
    <t>8*</t>
  </si>
  <si>
    <t>111*</t>
  </si>
  <si>
    <t>Čerpání fondů</t>
  </si>
  <si>
    <t>na vzděl.č.</t>
  </si>
  <si>
    <t>z toho vzdělávací č.</t>
  </si>
  <si>
    <t>Cesnet - poplatky</t>
  </si>
  <si>
    <t>Celkem MU</t>
  </si>
  <si>
    <t>SKM</t>
  </si>
  <si>
    <t xml:space="preserve">příloha 3 -  </t>
  </si>
  <si>
    <t>Celkem</t>
  </si>
  <si>
    <t>RS</t>
  </si>
  <si>
    <t>Schváleno v AS fakulty dne:</t>
  </si>
  <si>
    <t>Podpis:</t>
  </si>
  <si>
    <t>energetický management</t>
  </si>
  <si>
    <t>audit vč.účet. a daň.poradenství, služby INTRASTAT</t>
  </si>
  <si>
    <t>poplatky, spojené s členstvím MU v zahr.org.+RVŠ</t>
  </si>
  <si>
    <t xml:space="preserve"> celkem nové náklady - účtováno přes ÚVT</t>
  </si>
  <si>
    <t>bez</t>
  </si>
  <si>
    <t>SPSSN</t>
  </si>
  <si>
    <t>UCT</t>
  </si>
  <si>
    <t xml:space="preserve">   financování nedotačních odpisů režijních pracovišť</t>
  </si>
  <si>
    <t xml:space="preserve">RMU </t>
  </si>
  <si>
    <t xml:space="preserve">pojištění zahr.cest </t>
  </si>
  <si>
    <t>pojištění majetku MU a studentů</t>
  </si>
  <si>
    <t>interní vzdělávání</t>
  </si>
  <si>
    <t>právní poradenství</t>
  </si>
  <si>
    <t>www stránky MU (překlady,digitalizace ...)</t>
  </si>
  <si>
    <t>ediční činnost</t>
  </si>
  <si>
    <t>Universitas</t>
  </si>
  <si>
    <t>pěvecký sbor MU</t>
  </si>
  <si>
    <t>nájem Řečkovice</t>
  </si>
  <si>
    <t>daň z nemovitostí</t>
  </si>
  <si>
    <t>věcná břemena</t>
  </si>
  <si>
    <t xml:space="preserve"> celkem účtováno přes FSpS</t>
  </si>
  <si>
    <t xml:space="preserve">   příspěvek na vzdělávací činnost</t>
  </si>
  <si>
    <t xml:space="preserve">  na Program</t>
  </si>
  <si>
    <t xml:space="preserve">Financování nedotačních odpisů fakult </t>
  </si>
  <si>
    <t xml:space="preserve">U3V </t>
  </si>
  <si>
    <t xml:space="preserve">Poradenské centrum </t>
  </si>
  <si>
    <t>studentské projekty (program rektora)</t>
  </si>
  <si>
    <t>nájem Šumavská</t>
  </si>
  <si>
    <t xml:space="preserve"> celkem účtováno přes SPSSN</t>
  </si>
  <si>
    <t>IBA</t>
  </si>
  <si>
    <t>provozní pasport (technologický pasport budov )</t>
  </si>
  <si>
    <t>časopis muni.cz vč.fotobanky</t>
  </si>
  <si>
    <t>Převody z fondů/použití fondů</t>
  </si>
  <si>
    <t>fondů</t>
  </si>
  <si>
    <t>FPP</t>
  </si>
  <si>
    <t>FÚUP</t>
  </si>
  <si>
    <t>FO</t>
  </si>
  <si>
    <t>Fstip</t>
  </si>
  <si>
    <t xml:space="preserve"> A-vzděl.č.,specif.VaV,SKM,vlastní,fondy:</t>
  </si>
  <si>
    <t>13* bez 139*,14*</t>
  </si>
  <si>
    <t>119*, 139*</t>
  </si>
  <si>
    <t xml:space="preserve">Účelové příspěvky  na VaV </t>
  </si>
  <si>
    <t>251*</t>
  </si>
  <si>
    <t>A-příspěvek na vzdělávací činnost</t>
  </si>
  <si>
    <t>Dotace na SKM, přísp.na ubytovací a soc.stip.</t>
  </si>
  <si>
    <t>Účelové příspěvky bez VaV</t>
  </si>
  <si>
    <t>VaV - ze SR a od úz.celků</t>
  </si>
  <si>
    <t>Vlastní zdroje (hl.č.za úplatu)</t>
  </si>
  <si>
    <t>Komentář:</t>
  </si>
  <si>
    <t>Výměnu NEI příspěvku za příspěvek na kapitálové výdaje plánujte v nákladech do ř.13 a plánovanou částku uveďte zde:</t>
  </si>
  <si>
    <t>rezerva</t>
  </si>
  <si>
    <t xml:space="preserve">Příspěvek do centralizovaných zdrojů celkem </t>
  </si>
  <si>
    <t xml:space="preserve">Účelové příspěvky bez VaV </t>
  </si>
  <si>
    <t xml:space="preserve">Účelové příspěvky na VaV </t>
  </si>
  <si>
    <t>odvody</t>
  </si>
  <si>
    <t>Centrum pro radiační,chem.a biol.bezpečnost</t>
  </si>
  <si>
    <t>výroční zprávy</t>
  </si>
  <si>
    <t>Mendel muzeum</t>
  </si>
  <si>
    <t>CTT</t>
  </si>
  <si>
    <t>celkem účtováno přes CTT</t>
  </si>
  <si>
    <t>Schválil:</t>
  </si>
  <si>
    <t>Příkazce operace:</t>
  </si>
  <si>
    <t>Správce rozpočtu:</t>
  </si>
  <si>
    <t>datum a podpis</t>
  </si>
  <si>
    <t>přidělené</t>
  </si>
  <si>
    <t>prostředky</t>
  </si>
  <si>
    <t>Fsoc</t>
  </si>
  <si>
    <t>velké opravy a údržba</t>
  </si>
  <si>
    <t>veletrhy (Gaudeamus a zahr.)</t>
  </si>
  <si>
    <t xml:space="preserve">provoz auly </t>
  </si>
  <si>
    <t>1a</t>
  </si>
  <si>
    <t>1b</t>
  </si>
  <si>
    <t>organizační zajištění projektů RMU</t>
  </si>
  <si>
    <t>Khonovo stipendium (CZS)</t>
  </si>
  <si>
    <t>nájem archiv</t>
  </si>
  <si>
    <t xml:space="preserve">IS MU (inf.systém MU) </t>
  </si>
  <si>
    <t xml:space="preserve">akademické soutěže studentů </t>
  </si>
  <si>
    <t xml:space="preserve">   institucionální podpora VaV</t>
  </si>
  <si>
    <t>institucionální podpora VaV</t>
  </si>
  <si>
    <t xml:space="preserve">výměna NIV/INV </t>
  </si>
  <si>
    <t xml:space="preserve">  na spolufin.VaVpI</t>
  </si>
  <si>
    <t>1c</t>
  </si>
  <si>
    <t>1d</t>
  </si>
  <si>
    <t>VaV - institucionální podpora</t>
  </si>
  <si>
    <t>z toho vnitro - ú.549 ?</t>
  </si>
  <si>
    <t>odbor veřejných zakázek</t>
  </si>
  <si>
    <t>Botanická zahrada</t>
  </si>
  <si>
    <t>4* bez FÚUP z dotací</t>
  </si>
  <si>
    <t>Příspěvek 1. Mandatorní výdaje</t>
  </si>
  <si>
    <t>Příspěvek 2. Celouniverzitní aktivity a celouniverzitní součásti</t>
  </si>
  <si>
    <t xml:space="preserve">   režijní pracoviště bez instit.podpory (CP 2)</t>
  </si>
  <si>
    <t xml:space="preserve">   součet CA (CP1)</t>
  </si>
  <si>
    <t>MV Finanční činnosti (ř. 1+2+3+4)</t>
  </si>
  <si>
    <t>CA bez RR</t>
  </si>
  <si>
    <t xml:space="preserve">   centralizované aktivity bez RR</t>
  </si>
  <si>
    <t xml:space="preserve">   rezerva rektora - RR </t>
  </si>
  <si>
    <t>% z přínosu</t>
  </si>
  <si>
    <t xml:space="preserve">Plán financování centralizovaných oprav </t>
  </si>
  <si>
    <t>celkem účtováno přes PdF</t>
  </si>
  <si>
    <t>celkem účtováno přes PřF</t>
  </si>
  <si>
    <t xml:space="preserve">            SPN (režie) - ú.547*</t>
  </si>
  <si>
    <t>podpora</t>
  </si>
  <si>
    <t>instituc.</t>
  </si>
  <si>
    <t xml:space="preserve">VII. Rozpis příspěvku a institucionální podpory VaV na jednotlivá hospodářská střediska </t>
  </si>
  <si>
    <t>propagační akce VaV (Festival vědy, …)</t>
  </si>
  <si>
    <t>Antarktická stanice</t>
  </si>
  <si>
    <t>expozice MU v Technickém muzeu - spolufinancování</t>
  </si>
  <si>
    <t>IP</t>
  </si>
  <si>
    <t>I. Normativní prostředky z MŠMT v tis. Kč</t>
  </si>
  <si>
    <t>NIV pro INV akce</t>
  </si>
  <si>
    <t>z toho rozpis ze SR</t>
  </si>
  <si>
    <t>z toho ze SR</t>
  </si>
  <si>
    <t>Projekty VaV z dotací ze zahr. a OP VaV</t>
  </si>
  <si>
    <t>152*,153*,157*,159*,167*,169*,19*,257*,259*,267*,269*</t>
  </si>
  <si>
    <t>Příspěvek 2. Celkem (CP1+CP2)</t>
  </si>
  <si>
    <t xml:space="preserve">příloha 2 - </t>
  </si>
  <si>
    <t xml:space="preserve">CP1 + CP2 </t>
  </si>
  <si>
    <t>MV + CP1 + CP2</t>
  </si>
  <si>
    <t>Náklady na tvorbu sociálního fondu ve výši 1 % z mezd (z ř.3) plánujte na ř. 5, tj. plán celkových odvodů bude 34+1=35 % resp. u dotačních projektů na řádky odpovídající příslušnému zdroji financování</t>
  </si>
  <si>
    <t xml:space="preserve">   Přínos na vzdělavací č. a instit.podpora celkem (ř.3)</t>
  </si>
  <si>
    <t xml:space="preserve">   Příspěvek. Celkem (ř.8+ř.13)</t>
  </si>
  <si>
    <t xml:space="preserve">   NEI související s INV </t>
  </si>
  <si>
    <t>A + K pro A</t>
  </si>
  <si>
    <t>CUS</t>
  </si>
  <si>
    <t>Ukazatel A</t>
  </si>
  <si>
    <t>UKAZATEL</t>
  </si>
  <si>
    <t>Index</t>
  </si>
  <si>
    <t>Cizinci počet</t>
  </si>
  <si>
    <t>CELKEM</t>
  </si>
  <si>
    <t>A+K</t>
  </si>
  <si>
    <t>Ceitec</t>
  </si>
  <si>
    <t>Snížené</t>
  </si>
  <si>
    <t>NEI</t>
  </si>
  <si>
    <t>z</t>
  </si>
  <si>
    <t>%</t>
  </si>
  <si>
    <t>výnosů</t>
  </si>
  <si>
    <t>výnosy*</t>
  </si>
  <si>
    <t>A + K</t>
  </si>
  <si>
    <t>OVaV</t>
  </si>
  <si>
    <t xml:space="preserve">  za INV příspěvek na centraliz.akce (zejm.stavby)</t>
  </si>
  <si>
    <t>ProvO</t>
  </si>
  <si>
    <t>IO</t>
  </si>
  <si>
    <t>OVZ</t>
  </si>
  <si>
    <t>PersO</t>
  </si>
  <si>
    <t>OVVM</t>
  </si>
  <si>
    <t>NMU</t>
  </si>
  <si>
    <t>Nakladatelství</t>
  </si>
  <si>
    <t>zapojení publikací MU do světové distrib.sítě</t>
  </si>
  <si>
    <t>x</t>
  </si>
  <si>
    <t>MM</t>
  </si>
  <si>
    <t xml:space="preserve">Komenského nám. </t>
  </si>
  <si>
    <t>nájem pro FI</t>
  </si>
  <si>
    <t>studentské aktivity</t>
  </si>
  <si>
    <t xml:space="preserve"> celkem účtováno přes UCT</t>
  </si>
  <si>
    <t>CEITEC CŘS</t>
  </si>
  <si>
    <t xml:space="preserve">   Institucionální podpora pro Ceitec, ÚVT a IBA</t>
  </si>
  <si>
    <t>Ceitec MU</t>
  </si>
  <si>
    <t xml:space="preserve">dokrytí </t>
  </si>
  <si>
    <t>Přiděleno po výměně</t>
  </si>
  <si>
    <t>k.č.</t>
  </si>
  <si>
    <t>FSpS vč. CUS</t>
  </si>
  <si>
    <t>č.činosti</t>
  </si>
  <si>
    <t>Financování odpisů režijních součástí (nedotačních) č.činnosti 1112</t>
  </si>
  <si>
    <t>NIV pro INV č.činnosti 1112</t>
  </si>
  <si>
    <t>UKB</t>
  </si>
  <si>
    <t>Celkem fak.</t>
  </si>
  <si>
    <t>po zaokr.</t>
  </si>
  <si>
    <t>Prof. prům. přep. stav</t>
  </si>
  <si>
    <t>Doc. prům. přep. stav</t>
  </si>
  <si>
    <t>K</t>
  </si>
  <si>
    <t>Ukazatel A + K pro A</t>
  </si>
  <si>
    <t>Ukazatel K  (VKM)</t>
  </si>
  <si>
    <t>Započítané body RIV v tis. Kč</t>
  </si>
  <si>
    <t>Účelové NEI na výzkum  v tis. Kč</t>
  </si>
  <si>
    <t>Příjmy z vlastní činnosti  v tis. Kč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</si>
  <si>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</si>
  <si>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</si>
  <si>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</si>
  <si>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</si>
  <si>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</si>
  <si>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</si>
  <si>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</si>
  <si>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</si>
  <si>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</si>
  <si>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K (VKM)</t>
  </si>
  <si>
    <t>Příspěvek 1 + 2 (MV+CP)</t>
  </si>
  <si>
    <t>MV + CP</t>
  </si>
  <si>
    <t>CELKEM MV + CP</t>
  </si>
  <si>
    <t>Rekapitulace:</t>
  </si>
  <si>
    <t>z toho RMU 1111 v CP</t>
  </si>
  <si>
    <t>zbývá na CP (ř.3-4)</t>
  </si>
  <si>
    <t>Přiděleno fak. + CJV+CUS</t>
  </si>
  <si>
    <t>rozdíl = chybí (ř.5-6)</t>
  </si>
  <si>
    <t>dofinancovat RMU z FPP (ř.8-9=ř.7)</t>
  </si>
  <si>
    <t>MV</t>
  </si>
  <si>
    <t>CP1 bez RR</t>
  </si>
  <si>
    <t>Nedot.odpisy rež.souč.</t>
  </si>
  <si>
    <t>podíl na MU</t>
  </si>
  <si>
    <t>A</t>
  </si>
  <si>
    <t>dokrytí</t>
  </si>
  <si>
    <t xml:space="preserve">FPP </t>
  </si>
  <si>
    <t>z centraliz.</t>
  </si>
  <si>
    <t>celkem + FPP</t>
  </si>
  <si>
    <t>Kooper.kredity</t>
  </si>
  <si>
    <t>Výkon podle</t>
  </si>
  <si>
    <t>koop.kreditů</t>
  </si>
  <si>
    <t>Příspěvek</t>
  </si>
  <si>
    <t>RMU*</t>
  </si>
  <si>
    <t>* podle pravidel pro sestavování rozpočtu</t>
  </si>
  <si>
    <t>Přidělená IP</t>
  </si>
  <si>
    <t>K rozdělení</t>
  </si>
  <si>
    <t>body po převodech</t>
  </si>
  <si>
    <t>podíl MU</t>
  </si>
  <si>
    <t>převod mezi HS</t>
  </si>
  <si>
    <t>FSS + MPÚ</t>
  </si>
  <si>
    <t>CEITEC</t>
  </si>
  <si>
    <t>RMU-GA MU</t>
  </si>
  <si>
    <t xml:space="preserve"> Výnosy celkem</t>
  </si>
  <si>
    <t xml:space="preserve"> Tvorba fondů</t>
  </si>
  <si>
    <t xml:space="preserve"> DO</t>
  </si>
  <si>
    <t xml:space="preserve"> Spolupříjemci</t>
  </si>
  <si>
    <t xml:space="preserve"> VaV výnosy</t>
  </si>
  <si>
    <t xml:space="preserve"> Tvorba fondů VaV</t>
  </si>
  <si>
    <t xml:space="preserve"> Spolupříjemci VaV</t>
  </si>
  <si>
    <t xml:space="preserve"> Snížené celkové výnosy</t>
  </si>
  <si>
    <t xml:space="preserve"> Snížené výnosy na VaV</t>
  </si>
  <si>
    <t xml:space="preserve"> poměr VaV / výnosy</t>
  </si>
  <si>
    <t>Ceitec CŘS</t>
  </si>
  <si>
    <t>CP2</t>
  </si>
  <si>
    <t xml:space="preserve">  splátky NFV</t>
  </si>
  <si>
    <t>periodické prohlídky zaměstnanců MU</t>
  </si>
  <si>
    <t>Kariérní centrum</t>
  </si>
  <si>
    <t>organizační zajištění projektů RMU - OVaV</t>
  </si>
  <si>
    <t>rozpis u RMU</t>
  </si>
  <si>
    <t>nájem FF (Veveří)</t>
  </si>
  <si>
    <t>kino Scala</t>
  </si>
  <si>
    <t>Antiviry - celouniverzitní licence</t>
  </si>
  <si>
    <t>VMWare roční podpora (virtuální servery)</t>
  </si>
  <si>
    <t>Statistica celouniverzitní licence</t>
  </si>
  <si>
    <t>SPSS univerzitní licence</t>
  </si>
  <si>
    <t>obnova PC vybavení CPS/UPC - nákup cca 150 ks PC</t>
  </si>
  <si>
    <t>Elektronické informační zdroje, knihovní systém Aleph</t>
  </si>
  <si>
    <t>roční podpora EIS Magion, INET, Oracle</t>
  </si>
  <si>
    <t>pozáruční servis hlasové sítě</t>
  </si>
  <si>
    <t>CPS - provoz, energie, opravy, údržba, úklid, ostraha</t>
  </si>
  <si>
    <t>MS Campus licence</t>
  </si>
  <si>
    <t>servisní podpora zařízení páteřní sítě (Cisco)</t>
  </si>
  <si>
    <t>WebLogic - weby MU</t>
  </si>
  <si>
    <t>licence ESRI, budovy/BMS, GIS, Archibus</t>
  </si>
  <si>
    <t>inteligentní budovy,BMS,podpora dostavby UKB, technol.pasport apod.</t>
  </si>
  <si>
    <t xml:space="preserve"> celkem účtováno přes SUKB</t>
  </si>
  <si>
    <t>Přiděleno 1</t>
  </si>
  <si>
    <t>Přínos podle normostud.</t>
  </si>
  <si>
    <t>3 = 1 + 2</t>
  </si>
  <si>
    <t>Přínos</t>
  </si>
  <si>
    <t>po úpravě</t>
  </si>
  <si>
    <t>Převod</t>
  </si>
  <si>
    <t>CJV + CUS</t>
  </si>
  <si>
    <t>Přiděleno 2</t>
  </si>
  <si>
    <t>pův.</t>
  </si>
  <si>
    <t>MU</t>
  </si>
  <si>
    <t>k výměně za IP</t>
  </si>
  <si>
    <t>pův. IP</t>
  </si>
  <si>
    <t>navýšení příspěvku</t>
  </si>
  <si>
    <t>snížení příspěvku</t>
  </si>
  <si>
    <t>CP1</t>
  </si>
  <si>
    <t>pův</t>
  </si>
  <si>
    <t>dle podílu fakult + Ceitec na IP</t>
  </si>
  <si>
    <t>výměny NEI / INV</t>
  </si>
  <si>
    <t xml:space="preserve"> = snížení IP</t>
  </si>
  <si>
    <t>Fakulty + Ceitec MU</t>
  </si>
  <si>
    <t>poměr</t>
  </si>
  <si>
    <t>nová</t>
  </si>
  <si>
    <t>6= 1+2+5</t>
  </si>
  <si>
    <t>10 = 7+8+9</t>
  </si>
  <si>
    <t>11= -2 -5 -8 -9</t>
  </si>
  <si>
    <t>bez GAMU:</t>
  </si>
  <si>
    <t>Centralizace  GA MU</t>
  </si>
  <si>
    <t>Celkem fakulty + Ceitec</t>
  </si>
  <si>
    <t>č.1112</t>
  </si>
  <si>
    <t>změny IP</t>
  </si>
  <si>
    <t>10a</t>
  </si>
  <si>
    <t>10b</t>
  </si>
  <si>
    <t>dle pom. tab.3</t>
  </si>
  <si>
    <r>
      <rPr>
        <sz val="10"/>
        <rFont val="Calibri"/>
        <family val="2"/>
      </rPr>
      <t>Pom. tab. 2 -</t>
    </r>
    <r>
      <rPr>
        <b/>
        <sz val="12"/>
        <rFont val="Calibri"/>
        <family val="2"/>
      </rPr>
      <t xml:space="preserve"> Poměr snížených výnosů VaV na celkových snížených výnosech</t>
    </r>
  </si>
  <si>
    <r>
      <rPr>
        <sz val="10"/>
        <rFont val="Calibri"/>
        <family val="2"/>
      </rPr>
      <t>Pom.tab.3 -</t>
    </r>
    <r>
      <rPr>
        <b/>
        <sz val="10"/>
        <rFont val="Calibri"/>
        <family val="2"/>
      </rPr>
      <t xml:space="preserve"> Podklady pro přerozdělení IP a příspěvku mezi fakultami + Ceitec MU a součástmi CTT, ÚVT a RMU</t>
    </r>
  </si>
  <si>
    <r>
      <t xml:space="preserve">Hodnocení výsledků </t>
    </r>
    <r>
      <rPr>
        <sz val="10"/>
        <color indexed="8"/>
        <rFont val="Calibri"/>
        <family val="2"/>
      </rPr>
      <t>v bodech</t>
    </r>
  </si>
  <si>
    <r>
      <t xml:space="preserve">dohodnuté převody </t>
    </r>
    <r>
      <rPr>
        <sz val="10"/>
        <color indexed="8"/>
        <rFont val="Calibri"/>
        <family val="2"/>
      </rPr>
      <t>v bodech</t>
    </r>
  </si>
  <si>
    <r>
      <t>IV. Výpočet přínosu - normativní prostředky celkem</t>
    </r>
    <r>
      <rPr>
        <sz val="12"/>
        <rFont val="Calibri"/>
        <family val="2"/>
      </rPr>
      <t xml:space="preserve"> </t>
    </r>
  </si>
  <si>
    <r>
      <t xml:space="preserve">V. Financování celouniverzitních aktivit a režijních pracovišť </t>
    </r>
    <r>
      <rPr>
        <sz val="10"/>
        <rFont val="Calibri"/>
        <family val="2"/>
      </rPr>
      <t>(v tis. Kč)</t>
    </r>
  </si>
  <si>
    <r>
      <t xml:space="preserve">   </t>
    </r>
    <r>
      <rPr>
        <sz val="8"/>
        <rFont val="Calibri"/>
        <family val="2"/>
      </rPr>
      <t>výměna NEI příspěvku za příspěvek na kapitálové výdaje+spoluf. OP VaVpI PO4</t>
    </r>
  </si>
  <si>
    <r>
      <t xml:space="preserve">   financování nedotačních odpisů fakult </t>
    </r>
    <r>
      <rPr>
        <sz val="9"/>
        <rFont val="Calibri"/>
        <family val="2"/>
      </rPr>
      <t>(odpisy majetku, který nebyl pořízen z dotace)</t>
    </r>
  </si>
  <si>
    <r>
      <t xml:space="preserve">Příspěvek 1. Celkem  MV1 </t>
    </r>
    <r>
      <rPr>
        <sz val="10"/>
        <rFont val="Calibri"/>
        <family val="2"/>
      </rPr>
      <t>(Příloha 1)</t>
    </r>
  </si>
  <si>
    <r>
      <t xml:space="preserve">   K rozdělení fakultám včetně CUS + CJV</t>
    </r>
    <r>
      <rPr>
        <sz val="10"/>
        <rFont val="Calibri"/>
        <family val="2"/>
      </rPr>
      <t>(ř.14-ř.15-ř.16)</t>
    </r>
  </si>
  <si>
    <r>
      <t xml:space="preserve">CA </t>
    </r>
    <r>
      <rPr>
        <i/>
        <vertAlign val="superscript"/>
        <sz val="10"/>
        <rFont val="Calibri"/>
        <family val="2"/>
      </rPr>
      <t>*)</t>
    </r>
  </si>
  <si>
    <r>
      <t xml:space="preserve">a) Rozpis příspěvku a a institucionální podpory VaV na příslušná hosp.střediska (HS) </t>
    </r>
    <r>
      <rPr>
        <sz val="10"/>
        <rFont val="Calibri"/>
        <family val="2"/>
      </rPr>
      <t>- bez rozpisu centralizovaných prostředků (CP)</t>
    </r>
  </si>
  <si>
    <r>
      <t xml:space="preserve">b) Rozpis příspěvku a institucionální podpory VaV </t>
    </r>
    <r>
      <rPr>
        <sz val="10"/>
        <rFont val="Calibri"/>
        <family val="2"/>
      </rPr>
      <t>včetně rozpisu centralizovaných prostředků na příslušná HS</t>
    </r>
  </si>
  <si>
    <t>zaokr.</t>
  </si>
  <si>
    <t>Účelové NEI na výzkum v tis. Kč</t>
  </si>
  <si>
    <t>Příjmy z vlastní činnosti v tis. Kč</t>
  </si>
  <si>
    <t>Prof. + doc. v tis. Kč</t>
  </si>
  <si>
    <t>zaměst. absolventů v tis. Kč</t>
  </si>
  <si>
    <t>Cizinci v tis. Kč</t>
  </si>
  <si>
    <t>Samoplátci počty</t>
  </si>
  <si>
    <t>Samoplátci v tis. Kč</t>
  </si>
  <si>
    <t>Vyslaní  studentodní</t>
  </si>
  <si>
    <t>Vyslaní v rámci mobilitních programů v tis. Kč</t>
  </si>
  <si>
    <t>Přijatí v rámci mobilitních programů v tis. Kč</t>
  </si>
  <si>
    <t>10</t>
  </si>
  <si>
    <t>Přijatí v rámci mobilitních programů studentodní</t>
  </si>
  <si>
    <t>Po zokr.</t>
  </si>
  <si>
    <t>č. 1111</t>
  </si>
  <si>
    <r>
      <t>č.</t>
    </r>
    <r>
      <rPr>
        <sz val="9"/>
        <color indexed="10"/>
        <rFont val="Calibri"/>
        <family val="2"/>
      </rPr>
      <t xml:space="preserve">1112 </t>
    </r>
    <r>
      <rPr>
        <sz val="9"/>
        <rFont val="Calibri"/>
        <family val="2"/>
      </rPr>
      <t>/ 1111</t>
    </r>
  </si>
  <si>
    <t>č.1111</t>
  </si>
  <si>
    <t>*včetně nedot.odpisů</t>
  </si>
  <si>
    <t>Fakulty celkem</t>
  </si>
  <si>
    <t>Režijní prac.</t>
  </si>
  <si>
    <r>
      <t xml:space="preserve">rež.prac. </t>
    </r>
    <r>
      <rPr>
        <i/>
        <sz val="10"/>
        <rFont val="Calibri"/>
        <family val="2"/>
      </rPr>
      <t>bez CA (CP2)</t>
    </r>
  </si>
  <si>
    <t>kontrola:</t>
  </si>
  <si>
    <t>Zahraniční projekty VaV</t>
  </si>
  <si>
    <t>Zahr. projekty VaV v tis. Kč</t>
  </si>
  <si>
    <t>K          celkem  v tis. Kč (sl.1+2+3+4+5+6+7+8+9+10)</t>
  </si>
  <si>
    <t>Služby CrossRef, koordinace DOI na MU</t>
  </si>
  <si>
    <t>Mendel muzeum-energie</t>
  </si>
  <si>
    <t>nájem FF (Údolní 53)</t>
  </si>
  <si>
    <t>studie, oceňování nemovitostí</t>
  </si>
  <si>
    <t>koordinace rozvoje infrastruktury - RMU</t>
  </si>
  <si>
    <t>ASPI + Občanský zákoník</t>
  </si>
  <si>
    <t>ochrana duševního vlastnictví (vč.udržovacích popl.)</t>
  </si>
  <si>
    <t>galerijní pedagogika</t>
  </si>
  <si>
    <t>stěhování do UKB</t>
  </si>
  <si>
    <t>plošné snížení nákladů ÚVT</t>
  </si>
  <si>
    <t>licence budovy / BMS - roční údržba</t>
  </si>
  <si>
    <t>podpora dostavby UKB a souvis. Náklady</t>
  </si>
  <si>
    <t>rozvoj koncepce  Facility mangementu</t>
  </si>
  <si>
    <t>vybavení a provoz. Laboratoří BMS</t>
  </si>
  <si>
    <t xml:space="preserve"> celkem účtováno přes CEITEC CŘS</t>
  </si>
  <si>
    <t>kurzy češtiny</t>
  </si>
  <si>
    <t xml:space="preserve"> celkem účtováno přes CZS</t>
  </si>
  <si>
    <t>symfonický orchestr</t>
  </si>
  <si>
    <t xml:space="preserve"> celkem účtováno přes FF</t>
  </si>
  <si>
    <t>závazek MU vůči FMN - tvorba fondu na opravy (1% z FMN ročně)-Telč</t>
  </si>
  <si>
    <t>rozdělovaná částka</t>
  </si>
  <si>
    <t xml:space="preserve"> Ceitec CŘS</t>
  </si>
  <si>
    <t>IRP</t>
  </si>
  <si>
    <t>MV - výměna NEI na INV a dotaci na OP VaVpI</t>
  </si>
  <si>
    <t>výměna NIV/INV + VaVpI</t>
  </si>
  <si>
    <r>
      <t>c) Rozpis příspěvku a IP</t>
    </r>
    <r>
      <rPr>
        <b/>
        <sz val="10"/>
        <color indexed="10"/>
        <rFont val="Calibri"/>
        <family val="2"/>
      </rPr>
      <t xml:space="preserve"> konečný </t>
    </r>
    <r>
      <rPr>
        <b/>
        <sz val="10"/>
        <rFont val="Calibri"/>
        <family val="2"/>
      </rPr>
      <t>- po přerozdělení mezi fakultami + Ceitec MU a součástmi CTT, ÚVT a RMU</t>
    </r>
  </si>
  <si>
    <t>PŘÍSPĚVEK CELKEM</t>
  </si>
  <si>
    <t>Přerozdělení IRP</t>
  </si>
  <si>
    <t>K dokrytí CP FPP</t>
  </si>
  <si>
    <t>č.č. 1111</t>
  </si>
  <si>
    <t>zaměst. Absolventi</t>
  </si>
  <si>
    <t>NEI OPRAVY - PLÁN (tis. Kč)</t>
  </si>
  <si>
    <t>opravy</t>
  </si>
  <si>
    <t>0 (*)</t>
  </si>
  <si>
    <t>(*) budou hrazeny z FRIM RMU</t>
  </si>
  <si>
    <t>č.č. 1182</t>
  </si>
  <si>
    <t>č.č. 1112</t>
  </si>
  <si>
    <t>č.č. 2112</t>
  </si>
  <si>
    <t>CP FPP</t>
  </si>
  <si>
    <t>z toho RMU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</si>
  <si>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</si>
  <si>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</si>
  <si>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</si>
  <si>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</si>
  <si>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</si>
  <si>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</si>
  <si>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</si>
  <si>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</si>
  <si>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</si>
  <si>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</si>
  <si>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</si>
  <si>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</si>
  <si>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FAKULTY CELKEM</t>
  </si>
  <si>
    <t>FR MU</t>
  </si>
  <si>
    <t>č.č. 1183</t>
  </si>
  <si>
    <t>GAMU (odbor VaV)</t>
  </si>
  <si>
    <t>FR MU (odbor rozvoje)</t>
  </si>
  <si>
    <t>Příspěvek 111*</t>
  </si>
  <si>
    <t>IRP*</t>
  </si>
  <si>
    <t>1008</t>
  </si>
  <si>
    <t>1009</t>
  </si>
  <si>
    <t>1012</t>
  </si>
  <si>
    <t>1014</t>
  </si>
  <si>
    <t>1015</t>
  </si>
  <si>
    <t>1016</t>
  </si>
  <si>
    <t>1017</t>
  </si>
  <si>
    <t>1019</t>
  </si>
  <si>
    <t>1020</t>
  </si>
  <si>
    <t>1021</t>
  </si>
  <si>
    <t>1023</t>
  </si>
  <si>
    <t>1024</t>
  </si>
  <si>
    <t>1025</t>
  </si>
  <si>
    <t>1026</t>
  </si>
  <si>
    <t>1028</t>
  </si>
  <si>
    <t>1027</t>
  </si>
  <si>
    <t>1029</t>
  </si>
  <si>
    <t>1032</t>
  </si>
  <si>
    <t>1037</t>
  </si>
  <si>
    <t>1040</t>
  </si>
  <si>
    <t>1052</t>
  </si>
  <si>
    <t>1053</t>
  </si>
  <si>
    <t>1060</t>
  </si>
  <si>
    <t>1061</t>
  </si>
  <si>
    <t>1062</t>
  </si>
  <si>
    <t>1063</t>
  </si>
  <si>
    <t>1064</t>
  </si>
  <si>
    <t>1074</t>
  </si>
  <si>
    <t>1055</t>
  </si>
  <si>
    <t>1075</t>
  </si>
  <si>
    <t>1078</t>
  </si>
  <si>
    <t>pronájem licence EES pro MU</t>
  </si>
  <si>
    <t>1081</t>
  </si>
  <si>
    <t>1084</t>
  </si>
  <si>
    <t>1085</t>
  </si>
  <si>
    <t>nájem FF (Solniční)</t>
  </si>
  <si>
    <t>nová zak.</t>
  </si>
  <si>
    <t>stěhování FF (CARLA)</t>
  </si>
  <si>
    <t>1086</t>
  </si>
  <si>
    <t>1088</t>
  </si>
  <si>
    <t>1105</t>
  </si>
  <si>
    <t>1403</t>
  </si>
  <si>
    <t>1054</t>
  </si>
  <si>
    <t>nová zak</t>
  </si>
  <si>
    <t>1080</t>
  </si>
  <si>
    <t xml:space="preserve"> celkem účtováno přes FSS</t>
  </si>
  <si>
    <t>poplatek INTERGRAM - Rádio R</t>
  </si>
  <si>
    <t xml:space="preserve"> celkem účtováno přes CEITEC MU</t>
  </si>
  <si>
    <t>ERA CHAIR</t>
  </si>
  <si>
    <t>skupina dr. Říhy</t>
  </si>
  <si>
    <t xml:space="preserve"> celkem účtováno přes SKM</t>
  </si>
  <si>
    <t>reko odpady a soc.zař. (Gorkého + Jaselská)</t>
  </si>
  <si>
    <t>oprava podatikového střešního límce</t>
  </si>
  <si>
    <t>oprava krytiny střechy</t>
  </si>
  <si>
    <t>plavecké centrum Campus - studie</t>
  </si>
  <si>
    <t>výměna podlahy v jídelně</t>
  </si>
  <si>
    <t>výměna oken</t>
  </si>
  <si>
    <t>oprava zborcené kanalizace botanické zahrady + předláždění</t>
  </si>
  <si>
    <t>rekonstrukce chodby IV.NP - spojené neinvestice</t>
  </si>
  <si>
    <t>oprava chodby - studijní odbor- podhledy, omítky</t>
  </si>
  <si>
    <t>oprava výměnou - 2ks vnitřních požárních dveří v 3.a 4.NP- schodiště 1</t>
  </si>
  <si>
    <t>114*, 115*, 118*,</t>
  </si>
  <si>
    <t>2195, 261*</t>
  </si>
  <si>
    <t>114*, 115*, 118*</t>
  </si>
  <si>
    <t>117*, 12*</t>
  </si>
  <si>
    <t>zakázka</t>
  </si>
  <si>
    <t>OEF</t>
  </si>
  <si>
    <t>KQ</t>
  </si>
  <si>
    <t>StudO</t>
  </si>
  <si>
    <t>OPR</t>
  </si>
  <si>
    <t>OAZ</t>
  </si>
  <si>
    <t>personální poradenství (překlady, inzerce, poradenství apod.)</t>
  </si>
  <si>
    <t>TO</t>
  </si>
  <si>
    <t>rok 2015</t>
  </si>
  <si>
    <t xml:space="preserve"> body RIV (2008 - 2012)</t>
  </si>
  <si>
    <r>
      <t xml:space="preserve"> IP - 1 2015 </t>
    </r>
    <r>
      <rPr>
        <sz val="10"/>
        <color indexed="8"/>
        <rFont val="Calibri"/>
        <family val="2"/>
      </rPr>
      <t>v tis. Kč</t>
    </r>
  </si>
  <si>
    <t>NEI v PROGRAMU - PLÁN (tis. Kč)</t>
  </si>
  <si>
    <t>podpora dostavby UKB - SUKB</t>
  </si>
  <si>
    <t>Rekonstrukce knihovny právnické fakulty, Veveří</t>
  </si>
  <si>
    <t>VaV</t>
  </si>
  <si>
    <t>vzděl.</t>
  </si>
  <si>
    <t>Odbor</t>
  </si>
  <si>
    <t>koef.</t>
  </si>
  <si>
    <t>meziroční srovnání</t>
  </si>
  <si>
    <t>ROK 2014 - skutečnost</t>
  </si>
  <si>
    <t>Typ</t>
  </si>
  <si>
    <t>HS</t>
  </si>
  <si>
    <t>99 RMU</t>
  </si>
  <si>
    <t>∑</t>
  </si>
  <si>
    <t>71 CEITEC</t>
  </si>
  <si>
    <t>81 SKM</t>
  </si>
  <si>
    <t>83 UCT</t>
  </si>
  <si>
    <t>84 SPSSN</t>
  </si>
  <si>
    <t>85 IBA</t>
  </si>
  <si>
    <t>87 CTT</t>
  </si>
  <si>
    <t>92 ÚVT</t>
  </si>
  <si>
    <t>96 CJV</t>
  </si>
  <si>
    <t>97 CZS</t>
  </si>
  <si>
    <t>79 CŘS</t>
  </si>
  <si>
    <t>82 SUKB</t>
  </si>
  <si>
    <t>41 PdF</t>
  </si>
  <si>
    <t>23 FSS</t>
  </si>
  <si>
    <t>31 PřF</t>
  </si>
  <si>
    <t>33 FI</t>
  </si>
  <si>
    <t>51 FSpS</t>
  </si>
  <si>
    <t>21 FF</t>
  </si>
  <si>
    <t xml:space="preserve">Financování odpisů </t>
  </si>
  <si>
    <t>provoz UCT</t>
  </si>
  <si>
    <t>provoz CEITEC MU</t>
  </si>
  <si>
    <t>provoz CEITEC CŘS</t>
  </si>
  <si>
    <t>provoz SKM</t>
  </si>
  <si>
    <t>provoz SUKB</t>
  </si>
  <si>
    <t>provoz SPSSN</t>
  </si>
  <si>
    <t>provoz IBA</t>
  </si>
  <si>
    <t>provoz CTT</t>
  </si>
  <si>
    <t>provoz ÚVT</t>
  </si>
  <si>
    <t>provoz CJV</t>
  </si>
  <si>
    <t>provoz CZS</t>
  </si>
  <si>
    <t>provoz RMU</t>
  </si>
  <si>
    <t>mezisoučet CP1</t>
  </si>
  <si>
    <t>mezisoučet CP2</t>
  </si>
  <si>
    <r>
      <t xml:space="preserve"> IP - 2 2015 </t>
    </r>
    <r>
      <rPr>
        <sz val="10"/>
        <color indexed="8"/>
        <rFont val="Calibri"/>
        <family val="2"/>
      </rPr>
      <t>v tis. Kč</t>
    </r>
  </si>
  <si>
    <t>mezisoučet MV</t>
  </si>
  <si>
    <r>
      <t xml:space="preserve">Hosp.středisko: </t>
    </r>
  </si>
  <si>
    <t>Náklady celkem (ř.2+14až23)</t>
  </si>
  <si>
    <t>13a</t>
  </si>
  <si>
    <t>13b</t>
  </si>
  <si>
    <t>Strukturální fondy aj.proj.spoluf.EU</t>
  </si>
  <si>
    <t>2115, 2116, 2117, 2125, 2126, 213*, 214*, 2151, 22*</t>
  </si>
  <si>
    <t>Výnosy celkem (ř.25 až 39)</t>
  </si>
  <si>
    <r>
      <t xml:space="preserve">2115, 2116, 2117, </t>
    </r>
    <r>
      <rPr>
        <sz val="8"/>
        <rFont val="Calibri"/>
        <family val="2"/>
      </rPr>
      <t xml:space="preserve">2125, 2126, 213*, 214*, 2151, 22*, </t>
    </r>
  </si>
  <si>
    <t>Hospodářský výsledek dílčí (ř.25+29+33+37+38+39-2-23)</t>
  </si>
  <si>
    <t>Hospodářský výsledek (ř.24-1)</t>
  </si>
  <si>
    <t>Příspěvek na nedotační odpisy plánujte ve výnosech na ř. 25 (výnos je součástí rozpisu rozdělení příspěvku na HS, č.č.1112), náklad je součástí celkových nákladů na účetní odpisy na ř.11)</t>
  </si>
  <si>
    <t>Náklady na dotační odpisy plánujte na ř. 11, odpovídající částku účtovanou dle vyhl.504 do výnosů plánujte na ř. 37.</t>
  </si>
  <si>
    <t>Prostředky získané ze SR jako spolupříjemci (partneři) dotačních projektů plánujte - projekty VaV na ř. 22 a 36, ostatní na ř. 19 a 32.</t>
  </si>
  <si>
    <t>Evaluace VaV na MU</t>
  </si>
  <si>
    <t>Akademický senát</t>
  </si>
  <si>
    <t>mezisoučet MV+CP1+CP2</t>
  </si>
  <si>
    <t>mezisoučty pro podrobnosti pracovišť</t>
  </si>
  <si>
    <t xml:space="preserve">               RMU - odvod</t>
  </si>
  <si>
    <t>správa budov Tvrdého 14</t>
  </si>
  <si>
    <t>1087</t>
  </si>
  <si>
    <t>1091</t>
  </si>
  <si>
    <t>*GA MU - centralizace</t>
  </si>
  <si>
    <t>tis. Kč</t>
  </si>
  <si>
    <t>součet ř.24  až 26</t>
  </si>
  <si>
    <r>
      <t xml:space="preserve">MU celkem </t>
    </r>
    <r>
      <rPr>
        <i/>
        <sz val="10"/>
        <rFont val="Calibri"/>
        <family val="2"/>
      </rPr>
      <t>(ř.10+23+27)</t>
    </r>
  </si>
  <si>
    <t>režijní prac.(ř.39 až 50)</t>
  </si>
  <si>
    <t>režijní prac.(ř.64 až 75)</t>
  </si>
  <si>
    <t>1079</t>
  </si>
  <si>
    <t>1073</t>
  </si>
  <si>
    <t>1082</t>
  </si>
  <si>
    <t>95. výročí založení MU</t>
  </si>
  <si>
    <t>1056</t>
  </si>
  <si>
    <t>kurz češtiny</t>
  </si>
  <si>
    <t>Přístup k licencím a SW (InCites,…)</t>
  </si>
  <si>
    <t>1083</t>
  </si>
  <si>
    <t>sloučeno se zak. 1053</t>
  </si>
  <si>
    <t>pasportizace budov</t>
  </si>
  <si>
    <t>1007</t>
  </si>
  <si>
    <t>1005</t>
  </si>
  <si>
    <t>1006</t>
  </si>
  <si>
    <t>údržba areálu UKB</t>
  </si>
  <si>
    <t>1011</t>
  </si>
  <si>
    <t>1077</t>
  </si>
  <si>
    <t xml:space="preserve">MV + CP1 </t>
  </si>
  <si>
    <t>přiděleno</t>
  </si>
  <si>
    <t>přiděleno bez CP1</t>
  </si>
  <si>
    <t xml:space="preserve">nové </t>
  </si>
  <si>
    <t xml:space="preserve"> nové</t>
  </si>
  <si>
    <t xml:space="preserve"> CP1 *</t>
  </si>
  <si>
    <t>CP1*</t>
  </si>
  <si>
    <t>12 = 3 + 11</t>
  </si>
  <si>
    <t>Přerozdělení části IRP na fakulty 2015</t>
  </si>
  <si>
    <t>podíl na odvodech</t>
  </si>
  <si>
    <t>ÚSTAVY CELKEM</t>
  </si>
  <si>
    <t>1182+1183</t>
  </si>
  <si>
    <t>Osnova rozpočtu na rok 2015</t>
  </si>
  <si>
    <t>podklad k zaokr. pro rozpis</t>
  </si>
  <si>
    <t>č.č. 4769</t>
  </si>
  <si>
    <t>program NEI spolufinancování (3,6 mil. PrF)</t>
  </si>
  <si>
    <t>RR (rezerva rektora)</t>
  </si>
  <si>
    <t>bez GAMU, FR MU a RR</t>
  </si>
  <si>
    <t>část projektů souvisí s vědeckou činností</t>
  </si>
  <si>
    <t>jako v předchozím roce</t>
  </si>
  <si>
    <r>
      <t>(</t>
    </r>
    <r>
      <rPr>
        <sz val="10"/>
        <rFont val="Calibri"/>
        <family val="2"/>
      </rPr>
      <t>z příspěvku MŠMT na ukazatel A+K a z IP na rozvoj) - v tis. Kč</t>
    </r>
  </si>
  <si>
    <r>
      <t>CP1</t>
    </r>
    <r>
      <rPr>
        <sz val="8"/>
        <color indexed="9"/>
        <rFont val="Calibri"/>
        <family val="2"/>
      </rPr>
      <t xml:space="preserve"> (č.č.1112)</t>
    </r>
  </si>
  <si>
    <r>
      <t xml:space="preserve">CP2 Centralizovaná střediska </t>
    </r>
    <r>
      <rPr>
        <sz val="8"/>
        <color indexed="9"/>
        <rFont val="Calibri"/>
        <family val="2"/>
      </rPr>
      <t>(č.č. 1111)</t>
    </r>
  </si>
  <si>
    <t>Náklady související s výzkumem. Možné celé hradit z IP</t>
  </si>
  <si>
    <t>Jedná se prakticky jen o vědecké výsledky</t>
  </si>
  <si>
    <t>kancelářský SW</t>
  </si>
  <si>
    <t>stejné % jako u financování provozu CTT</t>
  </si>
  <si>
    <t>zajištění udržitelnosti projektu COV</t>
  </si>
  <si>
    <t>nová expozice J.G.Mendel - oslavy 150. výročí</t>
  </si>
  <si>
    <t>vč.zak. 1083 InCites</t>
  </si>
  <si>
    <t>cesty souvisí také s vědeckou činností</t>
  </si>
  <si>
    <t>rezerva (1% z příspěvku na ukazatel A)</t>
  </si>
  <si>
    <r>
      <t xml:space="preserve">rezerva rektora </t>
    </r>
    <r>
      <rPr>
        <sz val="8"/>
        <rFont val="Calibri"/>
        <family val="2"/>
      </rPr>
      <t>(1% z příspěvku MŠMT)</t>
    </r>
  </si>
  <si>
    <t>výměna NEI/INV+ program</t>
  </si>
  <si>
    <t>výměna NEI/INV+VaVpI</t>
  </si>
  <si>
    <t>Příloha č. 1</t>
  </si>
  <si>
    <r>
      <t>Rozpočet 2016</t>
    </r>
    <r>
      <rPr>
        <b/>
        <sz val="12"/>
        <rFont val="Calibri"/>
        <family val="2"/>
      </rPr>
      <t xml:space="preserve"> (v tis.Kč)</t>
    </r>
  </si>
  <si>
    <r>
      <t xml:space="preserve">111*,117*,12*,152*,153*,157*,159*,167*,169*,19*,211* (bez </t>
    </r>
    <r>
      <rPr>
        <sz val="8"/>
        <rFont val="Calibri"/>
        <family val="2"/>
      </rPr>
      <t>2115, 2116, 2117)</t>
    </r>
    <r>
      <rPr>
        <sz val="8"/>
        <rFont val="Calibri"/>
        <family val="2"/>
      </rPr>
      <t>,</t>
    </r>
    <r>
      <rPr>
        <sz val="8"/>
        <rFont val="Calibri"/>
        <family val="2"/>
      </rPr>
      <t xml:space="preserve"> 257*, 259*,267*,269*,4*</t>
    </r>
  </si>
  <si>
    <t>Přerozdělení části IRP na fakulty 2016</t>
  </si>
  <si>
    <t xml:space="preserve"> z toho
 NEI</t>
  </si>
  <si>
    <t>INV</t>
  </si>
  <si>
    <t>ROK 2015 - skutečnost</t>
  </si>
  <si>
    <r>
      <t>Rozdělení příspěvku</t>
    </r>
    <r>
      <rPr>
        <b/>
        <vertAlign val="superscript"/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MŠMT a institucionální podpory VaV na rok 2016 v rámci MU</t>
    </r>
  </si>
  <si>
    <r>
      <t>Způsob rozdělení vychází z Pravidel sestavování rozpočtu MU pro rok 2016 (Směrnice MU č.</t>
    </r>
    <r>
      <rPr>
        <sz val="10"/>
        <rFont val="Calibri"/>
        <family val="2"/>
      </rPr>
      <t xml:space="preserve"> 13/2014)</t>
    </r>
  </si>
  <si>
    <t>rok 2016</t>
  </si>
  <si>
    <t>2016/15</t>
  </si>
  <si>
    <t>II. Výpočet přínosu fakult na výši příspěvku MŠMT na vzdělávací činnost pro MU na rok 2016</t>
  </si>
  <si>
    <t>III. Výpočet přínosu na institucionální podporu výzkumných organizací (dále IP) pro MU na rok 2016</t>
  </si>
  <si>
    <t>(dle výsledků 2014)</t>
  </si>
  <si>
    <t>r o k   2 0 16</t>
  </si>
  <si>
    <t>r o k   2 0 1 5</t>
  </si>
  <si>
    <t xml:space="preserve">Mandatorní výdaje a financování celouniverzitních aktivit v roce 2016 </t>
  </si>
  <si>
    <t>Přerozdělení RUV bodů
v tis. Kč</t>
  </si>
  <si>
    <t>Ukazatel K dle poměru r.2015 včetně RUV bodů</t>
  </si>
  <si>
    <t>11</t>
  </si>
  <si>
    <t>12</t>
  </si>
  <si>
    <t>Nájem pozemky MU</t>
  </si>
  <si>
    <t>1065</t>
  </si>
  <si>
    <t>příprava projektu OP VVV (v r. 2015 Grant Office)</t>
  </si>
  <si>
    <t>1095</t>
  </si>
  <si>
    <t>CPP</t>
  </si>
  <si>
    <t>1096</t>
  </si>
  <si>
    <t>odborná školení MU (BOZP)</t>
  </si>
  <si>
    <t>1089</t>
  </si>
  <si>
    <t>Ceny rektora (dřive součástí GA MU)</t>
  </si>
  <si>
    <t>1123</t>
  </si>
  <si>
    <t>1000+1122</t>
  </si>
  <si>
    <t>100 let dějin MU</t>
  </si>
  <si>
    <t>93 ÚVT</t>
  </si>
  <si>
    <t>CP3</t>
  </si>
  <si>
    <t>94 ÚVT</t>
  </si>
  <si>
    <t>CP4</t>
  </si>
  <si>
    <t>95 ÚVT</t>
  </si>
  <si>
    <t>CP5</t>
  </si>
  <si>
    <t>96 ÚVT</t>
  </si>
  <si>
    <t>služby pro rekonstrukci webu</t>
  </si>
  <si>
    <t>maple upgrade</t>
  </si>
  <si>
    <t>rozšiřování pokrytí bezdrátové sítě</t>
  </si>
  <si>
    <t>obnova staré generace AP v budovách MU</t>
  </si>
  <si>
    <t>* včetně rozdělení 56 572 tis. na fakulty a ústavy, viz list "Rozdělení IRP"</t>
  </si>
  <si>
    <t>oprava střešních oken + střechy 5.NP</t>
  </si>
  <si>
    <t>malá zasedačka AV technika, nábytek</t>
  </si>
  <si>
    <t>oprava stávajících opatření proti vlhkosti v 1.PP</t>
  </si>
  <si>
    <t>oprava opadávající omítky</t>
  </si>
  <si>
    <t>neinvestiční náklady spojené s akcí  zasedací místnost  201</t>
  </si>
  <si>
    <t>Ukazatel K</t>
  </si>
  <si>
    <t>Odvod dle výnosů</t>
  </si>
  <si>
    <t>10 = 3 - 9</t>
  </si>
  <si>
    <t>9=6+8</t>
  </si>
  <si>
    <t>Odvod 
celkem</t>
  </si>
  <si>
    <t>Odvod dle ploch (KEN)</t>
  </si>
  <si>
    <t>12 = 10 + 11</t>
  </si>
  <si>
    <t>VI. Příspěvek fakult do centralizovaných zdrojů pro účetní období kalendářního roku 2016</t>
  </si>
  <si>
    <t>Odvod dle
 výnosů</t>
  </si>
  <si>
    <t>potřeba CP bez výměny (odvod sl.9 - ř.2)</t>
  </si>
  <si>
    <r>
      <rPr>
        <sz val="12"/>
        <rFont val="Calibri"/>
        <family val="2"/>
      </rPr>
      <t>Pom. tab.1  -</t>
    </r>
    <r>
      <rPr>
        <b/>
        <sz val="12"/>
        <rFont val="Calibri"/>
        <family val="2"/>
      </rPr>
      <t xml:space="preserve"> Výpočet ukazatele K na rok 2016</t>
    </r>
  </si>
  <si>
    <t>V Brně 4.3.2016</t>
  </si>
  <si>
    <t>dle poměru ukazatele A z roku 2015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</si>
</sst>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.0"/>
    <numFmt numFmtId="181" formatCode="0.000"/>
    <numFmt numFmtId="182" formatCode="#,##0.000"/>
    <numFmt numFmtId="183" formatCode="_-* #,##0.0\ _K_č_-;\-* #,##0.0\ _K_č_-;_-* &quot;-&quot;??\ _K_č_-;_-@_-"/>
    <numFmt numFmtId="184" formatCode="0.000%"/>
    <numFmt numFmtId="185" formatCode="0.000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¥€-2]\ #\ ##,000_);[Red]\([$€-2]\ #\ ##,000\)"/>
  </numFmts>
  <fonts count="1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i/>
      <sz val="16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sz val="1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vertAlign val="superscript"/>
      <sz val="1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i/>
      <vertAlign val="superscript"/>
      <sz val="10"/>
      <name val="Calibri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10"/>
      <color indexed="10"/>
      <name val="Calibri"/>
      <family val="2"/>
    </font>
    <font>
      <i/>
      <sz val="8"/>
      <name val="Arial CE"/>
      <family val="0"/>
    </font>
    <font>
      <i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name val="Arial"/>
      <family val="2"/>
    </font>
    <font>
      <sz val="8"/>
      <color indexed="9"/>
      <name val="Calibri"/>
      <family val="2"/>
    </font>
    <font>
      <b/>
      <sz val="18"/>
      <color indexed="62"/>
      <name val="Cambri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sz val="8"/>
      <color indexed="18"/>
      <name val="Calibri"/>
      <family val="2"/>
    </font>
    <font>
      <sz val="7"/>
      <name val="Calibri"/>
      <family val="2"/>
    </font>
    <font>
      <b/>
      <sz val="9"/>
      <color indexed="10"/>
      <name val="Calibri"/>
      <family val="2"/>
    </font>
    <font>
      <i/>
      <sz val="8"/>
      <name val="Calibri"/>
      <family val="2"/>
    </font>
    <font>
      <i/>
      <vertAlign val="superscript"/>
      <sz val="9"/>
      <name val="Calibri"/>
      <family val="2"/>
    </font>
    <font>
      <i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2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9"/>
      <name val="Calibri"/>
      <family val="2"/>
    </font>
    <font>
      <b/>
      <i/>
      <sz val="10"/>
      <name val="Calibri"/>
      <family val="2"/>
    </font>
    <font>
      <sz val="8"/>
      <color indexed="12"/>
      <name val="Calibri"/>
      <family val="2"/>
    </font>
    <font>
      <vertAlign val="superscript"/>
      <sz val="10"/>
      <name val="Calibri"/>
      <family val="2"/>
    </font>
    <font>
      <i/>
      <sz val="10"/>
      <color indexed="8"/>
      <name val="Calibri"/>
      <family val="2"/>
    </font>
    <font>
      <i/>
      <sz val="10"/>
      <color indexed="12"/>
      <name val="Calibri"/>
      <family val="2"/>
    </font>
    <font>
      <i/>
      <sz val="10"/>
      <color indexed="21"/>
      <name val="Calibri"/>
      <family val="2"/>
    </font>
    <font>
      <sz val="9"/>
      <color indexed="12"/>
      <name val="Calibri"/>
      <family val="2"/>
    </font>
    <font>
      <vertAlign val="superscript"/>
      <sz val="10"/>
      <color indexed="12"/>
      <name val="Calibri"/>
      <family val="2"/>
    </font>
    <font>
      <i/>
      <sz val="10"/>
      <color indexed="9"/>
      <name val="Calibri"/>
      <family val="2"/>
    </font>
    <font>
      <i/>
      <vertAlign val="superscript"/>
      <sz val="10"/>
      <color indexed="9"/>
      <name val="Calibri"/>
      <family val="2"/>
    </font>
    <font>
      <i/>
      <sz val="10"/>
      <color indexed="10"/>
      <name val="Calibri"/>
      <family val="2"/>
    </font>
    <font>
      <b/>
      <i/>
      <sz val="10"/>
      <color indexed="9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6"/>
      <color indexed="9"/>
      <name val="Calibri"/>
      <family val="2"/>
    </font>
    <font>
      <b/>
      <sz val="16"/>
      <color indexed="22"/>
      <name val="Calibri"/>
      <family val="2"/>
    </font>
    <font>
      <b/>
      <sz val="16"/>
      <color indexed="23"/>
      <name val="Calibri"/>
      <family val="2"/>
    </font>
    <font>
      <sz val="16"/>
      <color indexed="62"/>
      <name val="Calibri"/>
      <family val="2"/>
    </font>
    <font>
      <sz val="16"/>
      <color indexed="23"/>
      <name val="Calibri"/>
      <family val="2"/>
    </font>
    <font>
      <i/>
      <sz val="11"/>
      <name val="Calibri"/>
      <family val="2"/>
    </font>
    <font>
      <i/>
      <sz val="10"/>
      <color indexed="30"/>
      <name val="Calibri"/>
      <family val="2"/>
    </font>
    <font>
      <b/>
      <i/>
      <sz val="10"/>
      <color indexed="12"/>
      <name val="Calibri"/>
      <family val="2"/>
    </font>
    <font>
      <b/>
      <i/>
      <sz val="10"/>
      <color indexed="10"/>
      <name val="Calibri"/>
      <family val="2"/>
    </font>
    <font>
      <sz val="9"/>
      <color indexed="49"/>
      <name val="Calibri"/>
      <family val="2"/>
    </font>
    <font>
      <b/>
      <sz val="9"/>
      <color indexed="49"/>
      <name val="Calibri"/>
      <family val="2"/>
    </font>
    <font>
      <b/>
      <sz val="11"/>
      <color indexed="10"/>
      <name val="Calibri"/>
      <family val="2"/>
    </font>
    <font>
      <b/>
      <sz val="12"/>
      <color indexed="30"/>
      <name val="Calibri"/>
      <family val="2"/>
    </font>
    <font>
      <b/>
      <sz val="8"/>
      <color indexed="30"/>
      <name val="Calibri"/>
      <family val="2"/>
    </font>
    <font>
      <b/>
      <sz val="10"/>
      <color indexed="30"/>
      <name val="Calibri"/>
      <family val="2"/>
    </font>
    <font>
      <sz val="8"/>
      <color indexed="30"/>
      <name val="Calibri"/>
      <family val="2"/>
    </font>
    <font>
      <b/>
      <i/>
      <sz val="8"/>
      <name val="Calibri"/>
      <family val="2"/>
    </font>
    <font>
      <i/>
      <sz val="8"/>
      <color indexed="30"/>
      <name val="Calibri"/>
      <family val="2"/>
    </font>
    <font>
      <b/>
      <sz val="8"/>
      <color indexed="10"/>
      <name val="Calibri"/>
      <family val="2"/>
    </font>
    <font>
      <sz val="9"/>
      <color indexed="30"/>
      <name val="Calibri"/>
      <family val="2"/>
    </font>
    <font>
      <b/>
      <sz val="9"/>
      <color indexed="30"/>
      <name val="Calibri"/>
      <family val="2"/>
    </font>
    <font>
      <sz val="8"/>
      <color indexed="4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6"/>
      <color theme="0" tint="-0.1499900072813034"/>
      <name val="Calibri"/>
      <family val="2"/>
    </font>
    <font>
      <b/>
      <sz val="16"/>
      <color theme="0" tint="-0.4999699890613556"/>
      <name val="Calibri"/>
      <family val="2"/>
    </font>
    <font>
      <sz val="16"/>
      <color theme="4" tint="-0.24997000396251678"/>
      <name val="Calibri"/>
      <family val="2"/>
    </font>
    <font>
      <sz val="16"/>
      <color theme="0" tint="-0.4999699890613556"/>
      <name val="Calibri"/>
      <family val="2"/>
    </font>
    <font>
      <i/>
      <sz val="10"/>
      <color rgb="FF0033CC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sz val="9"/>
      <color theme="3" tint="0.39998000860214233"/>
      <name val="Calibri"/>
      <family val="2"/>
    </font>
    <font>
      <b/>
      <sz val="9"/>
      <color theme="3" tint="0.39998000860214233"/>
      <name val="Calibri"/>
      <family val="2"/>
    </font>
    <font>
      <b/>
      <sz val="11"/>
      <color rgb="FFFF0000"/>
      <name val="Calibri"/>
      <family val="2"/>
    </font>
    <font>
      <i/>
      <sz val="10"/>
      <color rgb="FFFF0000"/>
      <name val="Calibri"/>
      <family val="2"/>
    </font>
    <font>
      <i/>
      <sz val="10"/>
      <color theme="0"/>
      <name val="Calibri"/>
      <family val="2"/>
    </font>
    <font>
      <sz val="9"/>
      <color rgb="FFFF0000"/>
      <name val="Calibri"/>
      <family val="2"/>
    </font>
    <font>
      <b/>
      <sz val="12"/>
      <color rgb="FF0070C0"/>
      <name val="Calibri"/>
      <family val="2"/>
    </font>
    <font>
      <b/>
      <sz val="8"/>
      <color rgb="FF0070C0"/>
      <name val="Calibri"/>
      <family val="2"/>
    </font>
    <font>
      <b/>
      <sz val="10"/>
      <color rgb="FF0070C0"/>
      <name val="Calibri"/>
      <family val="2"/>
    </font>
    <font>
      <sz val="8"/>
      <color rgb="FF0070C0"/>
      <name val="Calibri"/>
      <family val="2"/>
    </font>
    <font>
      <i/>
      <sz val="8"/>
      <color rgb="FF0070C0"/>
      <name val="Calibri"/>
      <family val="2"/>
    </font>
    <font>
      <b/>
      <sz val="8"/>
      <color rgb="FFFF0000"/>
      <name val="Calibri"/>
      <family val="2"/>
    </font>
    <font>
      <sz val="9"/>
      <color rgb="FF0070C0"/>
      <name val="Calibri"/>
      <family val="2"/>
    </font>
    <font>
      <b/>
      <sz val="9"/>
      <color rgb="FF0070C0"/>
      <name val="Calibri"/>
      <family val="2"/>
    </font>
    <font>
      <sz val="8"/>
      <color theme="4"/>
      <name val="Calibri"/>
      <family val="2"/>
    </font>
    <font>
      <sz val="8"/>
      <color theme="0"/>
      <name val="Calibri"/>
      <family val="2"/>
    </font>
    <font>
      <b/>
      <sz val="8"/>
      <color theme="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1"/>
      </patternFill>
    </fill>
    <fill>
      <patternFill patternType="solid">
        <fgColor rgb="FFFF99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2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hair"/>
      <top style="thin"/>
      <bottom style="medium"/>
    </border>
    <border>
      <left style="medium"/>
      <right style="medium"/>
      <top style="thin"/>
      <bottom style="hair"/>
    </border>
    <border>
      <left style="thin">
        <color theme="4" tint="0.7999500036239624"/>
      </left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 style="thin">
        <color theme="4" tint="0.7999500036239624"/>
      </left>
      <right/>
      <top/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 style="thin">
        <color theme="4" tint="0.7999500036239624"/>
      </left>
      <right/>
      <top style="thin">
        <color theme="4" tint="0.7999500036239624"/>
      </top>
      <bottom style="thin">
        <color theme="4" tint="0.799950003623962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 style="thin"/>
      <bottom style="thin"/>
    </border>
    <border>
      <left style="thin">
        <color theme="4" tint="0.7999200224876404"/>
      </left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>
        <color indexed="63"/>
      </left>
      <right>
        <color indexed="63"/>
      </right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>
        <color rgb="FF002060"/>
      </bottom>
    </border>
    <border>
      <left style="thin"/>
      <right style="thin"/>
      <top style="thin"/>
      <bottom style="medium">
        <color rgb="FF002060"/>
      </bottom>
    </border>
    <border>
      <left style="thin"/>
      <right>
        <color indexed="63"/>
      </right>
      <top style="thin"/>
      <bottom style="medium">
        <color rgb="FF002060"/>
      </bottom>
    </border>
    <border>
      <left style="medium"/>
      <right style="medium"/>
      <top style="thin"/>
      <bottom style="medium">
        <color rgb="FF002060"/>
      </bottom>
    </border>
    <border>
      <left style="thin"/>
      <right style="medium"/>
      <top style="thin"/>
      <bottom style="medium">
        <color rgb="FF002060"/>
      </bottom>
    </border>
    <border>
      <left style="medium"/>
      <right style="thin"/>
      <top style="thin"/>
      <bottom style="medium">
        <color rgb="FF002060"/>
      </bottom>
    </border>
    <border>
      <left style="thin"/>
      <right style="thin"/>
      <top>
        <color indexed="63"/>
      </top>
      <bottom style="medium">
        <color rgb="FF002060"/>
      </bottom>
    </border>
    <border>
      <left style="thin"/>
      <right style="medium"/>
      <top>
        <color indexed="63"/>
      </top>
      <bottom style="medium">
        <color rgb="FF002060"/>
      </bottom>
    </border>
    <border>
      <left style="medium"/>
      <right style="thin"/>
      <top>
        <color indexed="63"/>
      </top>
      <bottom style="medium">
        <color rgb="FF002060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1" borderId="0" applyNumberFormat="0" applyBorder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4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19" fillId="26" borderId="0" applyNumberFormat="0" applyBorder="0" applyAlignment="0" applyProtection="0"/>
    <xf numFmtId="0" fontId="119" fillId="27" borderId="0" applyNumberFormat="0" applyBorder="0" applyAlignment="0" applyProtection="0"/>
    <xf numFmtId="0" fontId="119" fillId="28" borderId="0" applyNumberFormat="0" applyBorder="0" applyAlignment="0" applyProtection="0"/>
    <xf numFmtId="0" fontId="119" fillId="29" borderId="0" applyNumberFormat="0" applyBorder="0" applyAlignment="0" applyProtection="0"/>
    <xf numFmtId="0" fontId="119" fillId="30" borderId="0" applyNumberFormat="0" applyBorder="0" applyAlignment="0" applyProtection="0"/>
    <xf numFmtId="0" fontId="119" fillId="31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2" borderId="2" applyNumberFormat="0" applyAlignment="0" applyProtection="0"/>
    <xf numFmtId="0" fontId="10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" fillId="34" borderId="6" applyNumberFormat="0" applyFont="0" applyAlignment="0" applyProtection="0"/>
    <xf numFmtId="0" fontId="4" fillId="34" borderId="6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8" applyNumberFormat="0" applyFill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20" fillId="35" borderId="9" applyNumberFormat="0" applyAlignment="0" applyProtection="0"/>
    <xf numFmtId="0" fontId="20" fillId="35" borderId="9" applyNumberFormat="0" applyAlignment="0" applyProtection="0"/>
    <xf numFmtId="0" fontId="21" fillId="35" borderId="10" applyNumberFormat="0" applyAlignment="0" applyProtection="0"/>
    <xf numFmtId="0" fontId="21" fillId="35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</cellStyleXfs>
  <cellXfs count="1609">
    <xf numFmtId="0" fontId="0" fillId="0" borderId="0" xfId="0" applyAlignment="1">
      <alignment/>
    </xf>
    <xf numFmtId="0" fontId="4" fillId="0" borderId="0" xfId="94">
      <alignment/>
      <protection/>
    </xf>
    <xf numFmtId="0" fontId="23" fillId="0" borderId="0" xfId="94" applyFont="1">
      <alignment/>
      <protection/>
    </xf>
    <xf numFmtId="0" fontId="23" fillId="0" borderId="0" xfId="94" applyFont="1" applyAlignment="1">
      <alignment horizontal="center"/>
      <protection/>
    </xf>
    <xf numFmtId="0" fontId="23" fillId="0" borderId="0" xfId="94" applyFont="1" applyFill="1">
      <alignment/>
      <protection/>
    </xf>
    <xf numFmtId="0" fontId="4" fillId="0" borderId="0" xfId="94" applyFill="1">
      <alignment/>
      <protection/>
    </xf>
    <xf numFmtId="0" fontId="26" fillId="0" borderId="0" xfId="94" applyFont="1" applyFill="1" applyAlignment="1">
      <alignment horizontal="left" vertical="justify"/>
      <protection/>
    </xf>
    <xf numFmtId="0" fontId="25" fillId="0" borderId="0" xfId="94" applyFont="1" applyFill="1">
      <alignment/>
      <protection/>
    </xf>
    <xf numFmtId="0" fontId="4" fillId="0" borderId="0" xfId="94" applyFont="1" applyAlignment="1">
      <alignment horizontal="center"/>
      <protection/>
    </xf>
    <xf numFmtId="0" fontId="4" fillId="0" borderId="0" xfId="94" applyFont="1">
      <alignment/>
      <protection/>
    </xf>
    <xf numFmtId="0" fontId="4" fillId="0" borderId="0" xfId="94" applyFont="1" applyFill="1">
      <alignment/>
      <protection/>
    </xf>
    <xf numFmtId="0" fontId="24" fillId="0" borderId="0" xfId="94" applyFont="1" applyFill="1" applyAlignment="1">
      <alignment horizontal="left" vertical="justify"/>
      <protection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125" fillId="0" borderId="0" xfId="0" applyFont="1" applyAlignment="1">
      <alignment/>
    </xf>
    <xf numFmtId="0" fontId="124" fillId="0" borderId="11" xfId="0" applyFont="1" applyBorder="1" applyAlignment="1">
      <alignment horizontal="center" wrapText="1"/>
    </xf>
    <xf numFmtId="0" fontId="124" fillId="0" borderId="11" xfId="0" applyFont="1" applyFill="1" applyBorder="1" applyAlignment="1">
      <alignment horizontal="center" wrapText="1"/>
    </xf>
    <xf numFmtId="4" fontId="124" fillId="0" borderId="11" xfId="0" applyNumberFormat="1" applyFont="1" applyBorder="1" applyAlignment="1">
      <alignment/>
    </xf>
    <xf numFmtId="3" fontId="124" fillId="0" borderId="11" xfId="0" applyNumberFormat="1" applyFont="1" applyFill="1" applyBorder="1" applyAlignment="1">
      <alignment/>
    </xf>
    <xf numFmtId="0" fontId="126" fillId="0" borderId="12" xfId="0" applyFont="1" applyFill="1" applyBorder="1" applyAlignment="1">
      <alignment/>
    </xf>
    <xf numFmtId="3" fontId="127" fillId="40" borderId="11" xfId="0" applyNumberFormat="1" applyFont="1" applyFill="1" applyBorder="1" applyAlignment="1">
      <alignment/>
    </xf>
    <xf numFmtId="3" fontId="127" fillId="0" borderId="11" xfId="0" applyNumberFormat="1" applyFont="1" applyFill="1" applyBorder="1" applyAlignment="1">
      <alignment/>
    </xf>
    <xf numFmtId="3" fontId="127" fillId="0" borderId="11" xfId="0" applyNumberFormat="1" applyFont="1" applyBorder="1" applyAlignment="1">
      <alignment/>
    </xf>
    <xf numFmtId="3" fontId="127" fillId="41" borderId="11" xfId="0" applyNumberFormat="1" applyFont="1" applyFill="1" applyBorder="1" applyAlignment="1">
      <alignment/>
    </xf>
    <xf numFmtId="0" fontId="126" fillId="0" borderId="0" xfId="0" applyFont="1" applyAlignment="1">
      <alignment/>
    </xf>
    <xf numFmtId="3" fontId="128" fillId="0" borderId="11" xfId="0" applyNumberFormat="1" applyFont="1" applyBorder="1" applyAlignment="1">
      <alignment/>
    </xf>
    <xf numFmtId="0" fontId="27" fillId="0" borderId="0" xfId="94" applyFont="1">
      <alignment/>
      <protection/>
    </xf>
    <xf numFmtId="4" fontId="126" fillId="0" borderId="0" xfId="0" applyNumberFormat="1" applyFont="1" applyFill="1" applyBorder="1" applyAlignment="1">
      <alignment/>
    </xf>
    <xf numFmtId="3" fontId="128" fillId="0" borderId="13" xfId="0" applyNumberFormat="1" applyFont="1" applyBorder="1" applyAlignment="1">
      <alignment/>
    </xf>
    <xf numFmtId="0" fontId="129" fillId="0" borderId="14" xfId="0" applyFont="1" applyBorder="1" applyAlignment="1">
      <alignment/>
    </xf>
    <xf numFmtId="0" fontId="129" fillId="0" borderId="15" xfId="0" applyFont="1" applyBorder="1" applyAlignment="1">
      <alignment horizontal="center" wrapText="1"/>
    </xf>
    <xf numFmtId="0" fontId="129" fillId="0" borderId="15" xfId="0" applyFont="1" applyFill="1" applyBorder="1" applyAlignment="1">
      <alignment horizontal="center" wrapText="1"/>
    </xf>
    <xf numFmtId="0" fontId="124" fillId="0" borderId="16" xfId="0" applyFont="1" applyBorder="1" applyAlignment="1">
      <alignment/>
    </xf>
    <xf numFmtId="3" fontId="130" fillId="42" borderId="17" xfId="0" applyNumberFormat="1" applyFont="1" applyFill="1" applyBorder="1" applyAlignment="1">
      <alignment/>
    </xf>
    <xf numFmtId="0" fontId="129" fillId="0" borderId="18" xfId="0" applyFont="1" applyFill="1" applyBorder="1" applyAlignment="1">
      <alignment/>
    </xf>
    <xf numFmtId="4" fontId="129" fillId="0" borderId="19" xfId="0" applyNumberFormat="1" applyFont="1" applyBorder="1" applyAlignment="1">
      <alignment/>
    </xf>
    <xf numFmtId="10" fontId="129" fillId="0" borderId="19" xfId="0" applyNumberFormat="1" applyFont="1" applyBorder="1" applyAlignment="1">
      <alignment/>
    </xf>
    <xf numFmtId="3" fontId="129" fillId="0" borderId="19" xfId="0" applyNumberFormat="1" applyFont="1" applyBorder="1" applyAlignment="1">
      <alignment/>
    </xf>
    <xf numFmtId="0" fontId="131" fillId="43" borderId="16" xfId="0" applyFont="1" applyFill="1" applyBorder="1" applyAlignment="1">
      <alignment wrapText="1"/>
    </xf>
    <xf numFmtId="0" fontId="127" fillId="40" borderId="16" xfId="0" applyFont="1" applyFill="1" applyBorder="1" applyAlignment="1">
      <alignment horizontal="left"/>
    </xf>
    <xf numFmtId="0" fontId="127" fillId="0" borderId="16" xfId="0" applyFont="1" applyBorder="1" applyAlignment="1">
      <alignment horizontal="left"/>
    </xf>
    <xf numFmtId="0" fontId="127" fillId="0" borderId="16" xfId="0" applyFont="1" applyFill="1" applyBorder="1" applyAlignment="1">
      <alignment horizontal="left"/>
    </xf>
    <xf numFmtId="0" fontId="131" fillId="43" borderId="20" xfId="0" applyFont="1" applyFill="1" applyBorder="1" applyAlignment="1">
      <alignment horizontal="left"/>
    </xf>
    <xf numFmtId="3" fontId="131" fillId="43" borderId="21" xfId="0" applyNumberFormat="1" applyFont="1" applyFill="1" applyBorder="1" applyAlignment="1">
      <alignment/>
    </xf>
    <xf numFmtId="0" fontId="132" fillId="0" borderId="0" xfId="0" applyFont="1" applyAlignment="1">
      <alignment/>
    </xf>
    <xf numFmtId="0" fontId="129" fillId="44" borderId="22" xfId="0" applyFont="1" applyFill="1" applyBorder="1" applyAlignment="1">
      <alignment horizontal="center" wrapText="1"/>
    </xf>
    <xf numFmtId="0" fontId="124" fillId="44" borderId="23" xfId="0" applyFont="1" applyFill="1" applyBorder="1" applyAlignment="1">
      <alignment horizontal="center" wrapText="1"/>
    </xf>
    <xf numFmtId="3" fontId="124" fillId="44" borderId="23" xfId="0" applyNumberFormat="1" applyFont="1" applyFill="1" applyBorder="1" applyAlignment="1">
      <alignment/>
    </xf>
    <xf numFmtId="3" fontId="129" fillId="44" borderId="24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25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3" xfId="0" applyFont="1" applyBorder="1" applyAlignment="1">
      <alignment/>
    </xf>
    <xf numFmtId="0" fontId="32" fillId="44" borderId="34" xfId="0" applyFont="1" applyFill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44" borderId="27" xfId="0" applyFont="1" applyFill="1" applyBorder="1" applyAlignment="1">
      <alignment horizontal="center"/>
    </xf>
    <xf numFmtId="0" fontId="32" fillId="44" borderId="35" xfId="0" applyFont="1" applyFill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13" xfId="0" applyFont="1" applyBorder="1" applyAlignment="1">
      <alignment horizontal="center" wrapText="1"/>
    </xf>
    <xf numFmtId="0" fontId="32" fillId="0" borderId="13" xfId="0" applyFont="1" applyBorder="1" applyAlignment="1">
      <alignment horizontal="center"/>
    </xf>
    <xf numFmtId="0" fontId="32" fillId="44" borderId="13" xfId="0" applyFont="1" applyFill="1" applyBorder="1" applyAlignment="1">
      <alignment horizontal="center"/>
    </xf>
    <xf numFmtId="0" fontId="32" fillId="44" borderId="11" xfId="0" applyFont="1" applyFill="1" applyBorder="1" applyAlignment="1">
      <alignment horizontal="center"/>
    </xf>
    <xf numFmtId="0" fontId="32" fillId="44" borderId="36" xfId="0" applyFont="1" applyFill="1" applyBorder="1" applyAlignment="1">
      <alignment horizontal="center"/>
    </xf>
    <xf numFmtId="0" fontId="32" fillId="0" borderId="27" xfId="0" applyFont="1" applyBorder="1" applyAlignment="1">
      <alignment horizontal="center" wrapText="1"/>
    </xf>
    <xf numFmtId="3" fontId="32" fillId="0" borderId="16" xfId="0" applyNumberFormat="1" applyFont="1" applyBorder="1" applyAlignment="1">
      <alignment/>
    </xf>
    <xf numFmtId="0" fontId="32" fillId="0" borderId="11" xfId="0" applyFont="1" applyBorder="1" applyAlignment="1">
      <alignment/>
    </xf>
    <xf numFmtId="3" fontId="32" fillId="0" borderId="11" xfId="0" applyNumberFormat="1" applyFont="1" applyBorder="1" applyAlignment="1">
      <alignment/>
    </xf>
    <xf numFmtId="4" fontId="32" fillId="0" borderId="11" xfId="0" applyNumberFormat="1" applyFont="1" applyBorder="1" applyAlignment="1">
      <alignment/>
    </xf>
    <xf numFmtId="3" fontId="32" fillId="44" borderId="11" xfId="0" applyNumberFormat="1" applyFont="1" applyFill="1" applyBorder="1" applyAlignment="1">
      <alignment/>
    </xf>
    <xf numFmtId="3" fontId="63" fillId="0" borderId="11" xfId="0" applyNumberFormat="1" applyFont="1" applyBorder="1" applyAlignment="1">
      <alignment/>
    </xf>
    <xf numFmtId="3" fontId="32" fillId="44" borderId="23" xfId="0" applyNumberFormat="1" applyFont="1" applyFill="1" applyBorder="1" applyAlignment="1">
      <alignment/>
    </xf>
    <xf numFmtId="3" fontId="32" fillId="0" borderId="37" xfId="0" applyNumberFormat="1" applyFont="1" applyBorder="1" applyAlignment="1">
      <alignment/>
    </xf>
    <xf numFmtId="0" fontId="32" fillId="0" borderId="38" xfId="0" applyFont="1" applyBorder="1" applyAlignment="1">
      <alignment/>
    </xf>
    <xf numFmtId="3" fontId="32" fillId="0" borderId="38" xfId="0" applyNumberFormat="1" applyFont="1" applyBorder="1" applyAlignment="1">
      <alignment/>
    </xf>
    <xf numFmtId="4" fontId="32" fillId="0" borderId="38" xfId="0" applyNumberFormat="1" applyFont="1" applyBorder="1" applyAlignment="1">
      <alignment/>
    </xf>
    <xf numFmtId="3" fontId="32" fillId="44" borderId="38" xfId="0" applyNumberFormat="1" applyFont="1" applyFill="1" applyBorder="1" applyAlignment="1">
      <alignment/>
    </xf>
    <xf numFmtId="3" fontId="63" fillId="0" borderId="38" xfId="0" applyNumberFormat="1" applyFont="1" applyBorder="1" applyAlignment="1">
      <alignment/>
    </xf>
    <xf numFmtId="3" fontId="32" fillId="44" borderId="39" xfId="0" applyNumberFormat="1" applyFont="1" applyFill="1" applyBorder="1" applyAlignment="1">
      <alignment/>
    </xf>
    <xf numFmtId="3" fontId="64" fillId="0" borderId="18" xfId="0" applyNumberFormat="1" applyFont="1" applyBorder="1" applyAlignment="1">
      <alignment/>
    </xf>
    <xf numFmtId="3" fontId="64" fillId="0" borderId="19" xfId="0" applyNumberFormat="1" applyFont="1" applyBorder="1" applyAlignment="1">
      <alignment/>
    </xf>
    <xf numFmtId="4" fontId="64" fillId="0" borderId="19" xfId="0" applyNumberFormat="1" applyFont="1" applyBorder="1" applyAlignment="1">
      <alignment/>
    </xf>
    <xf numFmtId="3" fontId="64" fillId="44" borderId="19" xfId="0" applyNumberFormat="1" applyFont="1" applyFill="1" applyBorder="1" applyAlignment="1">
      <alignment/>
    </xf>
    <xf numFmtId="3" fontId="64" fillId="44" borderId="24" xfId="0" applyNumberFormat="1" applyFont="1" applyFill="1" applyBorder="1" applyAlignment="1">
      <alignment/>
    </xf>
    <xf numFmtId="0" fontId="32" fillId="0" borderId="29" xfId="0" applyFont="1" applyBorder="1" applyAlignment="1">
      <alignment/>
    </xf>
    <xf numFmtId="3" fontId="32" fillId="0" borderId="28" xfId="0" applyNumberFormat="1" applyFont="1" applyBorder="1" applyAlignment="1">
      <alignment/>
    </xf>
    <xf numFmtId="0" fontId="32" fillId="0" borderId="13" xfId="0" applyFont="1" applyBorder="1" applyAlignment="1">
      <alignment/>
    </xf>
    <xf numFmtId="3" fontId="32" fillId="0" borderId="13" xfId="0" applyNumberFormat="1" applyFont="1" applyBorder="1" applyAlignment="1">
      <alignment/>
    </xf>
    <xf numFmtId="4" fontId="32" fillId="0" borderId="13" xfId="0" applyNumberFormat="1" applyFont="1" applyBorder="1" applyAlignment="1">
      <alignment/>
    </xf>
    <xf numFmtId="3" fontId="32" fillId="44" borderId="13" xfId="0" applyNumberFormat="1" applyFont="1" applyFill="1" applyBorder="1" applyAlignment="1">
      <alignment/>
    </xf>
    <xf numFmtId="3" fontId="63" fillId="0" borderId="13" xfId="0" applyNumberFormat="1" applyFont="1" applyBorder="1" applyAlignment="1">
      <alignment/>
    </xf>
    <xf numFmtId="3" fontId="32" fillId="44" borderId="36" xfId="0" applyNumberFormat="1" applyFont="1" applyFill="1" applyBorder="1" applyAlignment="1">
      <alignment/>
    </xf>
    <xf numFmtId="0" fontId="32" fillId="0" borderId="30" xfId="0" applyFont="1" applyBorder="1" applyAlignment="1">
      <alignment/>
    </xf>
    <xf numFmtId="3" fontId="32" fillId="0" borderId="18" xfId="0" applyNumberFormat="1" applyFont="1" applyBorder="1" applyAlignment="1">
      <alignment/>
    </xf>
    <xf numFmtId="3" fontId="32" fillId="0" borderId="19" xfId="0" applyNumberFormat="1" applyFont="1" applyBorder="1" applyAlignment="1">
      <alignment/>
    </xf>
    <xf numFmtId="4" fontId="32" fillId="0" borderId="19" xfId="0" applyNumberFormat="1" applyFont="1" applyBorder="1" applyAlignment="1">
      <alignment/>
    </xf>
    <xf numFmtId="3" fontId="32" fillId="44" borderId="19" xfId="0" applyNumberFormat="1" applyFont="1" applyFill="1" applyBorder="1" applyAlignment="1">
      <alignment/>
    </xf>
    <xf numFmtId="3" fontId="32" fillId="44" borderId="24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37" xfId="0" applyFont="1" applyBorder="1" applyAlignment="1">
      <alignment/>
    </xf>
    <xf numFmtId="0" fontId="32" fillId="0" borderId="40" xfId="0" applyFont="1" applyBorder="1" applyAlignment="1">
      <alignment/>
    </xf>
    <xf numFmtId="0" fontId="32" fillId="0" borderId="0" xfId="0" applyFont="1" applyFill="1" applyAlignment="1">
      <alignment/>
    </xf>
    <xf numFmtId="0" fontId="32" fillId="0" borderId="41" xfId="0" applyFont="1" applyFill="1" applyBorder="1" applyAlignment="1">
      <alignment/>
    </xf>
    <xf numFmtId="0" fontId="32" fillId="0" borderId="41" xfId="0" applyFont="1" applyBorder="1" applyAlignment="1">
      <alignment/>
    </xf>
    <xf numFmtId="3" fontId="32" fillId="0" borderId="41" xfId="0" applyNumberFormat="1" applyFont="1" applyBorder="1" applyAlignment="1">
      <alignment/>
    </xf>
    <xf numFmtId="3" fontId="32" fillId="0" borderId="42" xfId="0" applyNumberFormat="1" applyFont="1" applyBorder="1" applyAlignment="1">
      <alignment/>
    </xf>
    <xf numFmtId="0" fontId="34" fillId="0" borderId="0" xfId="0" applyFont="1" applyFill="1" applyAlignment="1">
      <alignment/>
    </xf>
    <xf numFmtId="0" fontId="30" fillId="0" borderId="0" xfId="0" applyFont="1" applyAlignment="1">
      <alignment/>
    </xf>
    <xf numFmtId="3" fontId="28" fillId="0" borderId="0" xfId="0" applyNumberFormat="1" applyFont="1" applyAlignment="1">
      <alignment/>
    </xf>
    <xf numFmtId="0" fontId="34" fillId="0" borderId="0" xfId="123" applyFont="1">
      <alignment/>
      <protection/>
    </xf>
    <xf numFmtId="0" fontId="28" fillId="0" borderId="43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3" fontId="32" fillId="0" borderId="0" xfId="0" applyNumberFormat="1" applyFont="1" applyAlignment="1">
      <alignment/>
    </xf>
    <xf numFmtId="0" fontId="6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29" fillId="0" borderId="44" xfId="0" applyFont="1" applyBorder="1" applyAlignment="1">
      <alignment/>
    </xf>
    <xf numFmtId="0" fontId="28" fillId="0" borderId="43" xfId="0" applyFont="1" applyFill="1" applyBorder="1" applyAlignment="1">
      <alignment/>
    </xf>
    <xf numFmtId="0" fontId="28" fillId="0" borderId="45" xfId="0" applyFont="1" applyFill="1" applyBorder="1" applyAlignment="1">
      <alignment/>
    </xf>
    <xf numFmtId="0" fontId="28" fillId="0" borderId="46" xfId="0" applyFont="1" applyFill="1" applyBorder="1" applyAlignment="1">
      <alignment horizontal="center"/>
    </xf>
    <xf numFmtId="0" fontId="28" fillId="0" borderId="46" xfId="0" applyFont="1" applyFill="1" applyBorder="1" applyAlignment="1">
      <alignment/>
    </xf>
    <xf numFmtId="0" fontId="30" fillId="0" borderId="47" xfId="0" applyFont="1" applyFill="1" applyBorder="1" applyAlignment="1">
      <alignment horizontal="center"/>
    </xf>
    <xf numFmtId="0" fontId="30" fillId="45" borderId="47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0" borderId="50" xfId="0" applyFont="1" applyFill="1" applyBorder="1" applyAlignment="1">
      <alignment/>
    </xf>
    <xf numFmtId="0" fontId="28" fillId="0" borderId="44" xfId="0" applyFont="1" applyFill="1" applyBorder="1" applyAlignment="1">
      <alignment horizontal="center"/>
    </xf>
    <xf numFmtId="0" fontId="28" fillId="0" borderId="44" xfId="0" applyFont="1" applyFill="1" applyBorder="1" applyAlignment="1">
      <alignment/>
    </xf>
    <xf numFmtId="0" fontId="30" fillId="0" borderId="51" xfId="0" applyFont="1" applyFill="1" applyBorder="1" applyAlignment="1">
      <alignment horizontal="center"/>
    </xf>
    <xf numFmtId="0" fontId="30" fillId="45" borderId="51" xfId="0" applyFont="1" applyFill="1" applyBorder="1" applyAlignment="1">
      <alignment horizontal="center"/>
    </xf>
    <xf numFmtId="0" fontId="28" fillId="46" borderId="51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28" fillId="0" borderId="53" xfId="0" applyFont="1" applyFill="1" applyBorder="1" applyAlignment="1">
      <alignment horizontal="center"/>
    </xf>
    <xf numFmtId="0" fontId="28" fillId="0" borderId="54" xfId="0" applyFont="1" applyFill="1" applyBorder="1" applyAlignment="1">
      <alignment/>
    </xf>
    <xf numFmtId="3" fontId="28" fillId="0" borderId="55" xfId="0" applyNumberFormat="1" applyFont="1" applyFill="1" applyBorder="1" applyAlignment="1">
      <alignment/>
    </xf>
    <xf numFmtId="0" fontId="28" fillId="0" borderId="55" xfId="0" applyFont="1" applyFill="1" applyBorder="1" applyAlignment="1">
      <alignment/>
    </xf>
    <xf numFmtId="3" fontId="30" fillId="0" borderId="56" xfId="0" applyNumberFormat="1" applyFont="1" applyFill="1" applyBorder="1" applyAlignment="1">
      <alignment/>
    </xf>
    <xf numFmtId="3" fontId="30" fillId="45" borderId="56" xfId="0" applyNumberFormat="1" applyFont="1" applyFill="1" applyBorder="1" applyAlignment="1">
      <alignment/>
    </xf>
    <xf numFmtId="3" fontId="28" fillId="46" borderId="56" xfId="0" applyNumberFormat="1" applyFont="1" applyFill="1" applyBorder="1" applyAlignment="1">
      <alignment/>
    </xf>
    <xf numFmtId="3" fontId="28" fillId="0" borderId="56" xfId="0" applyNumberFormat="1" applyFont="1" applyFill="1" applyBorder="1" applyAlignment="1">
      <alignment/>
    </xf>
    <xf numFmtId="2" fontId="28" fillId="0" borderId="57" xfId="0" applyNumberFormat="1" applyFont="1" applyFill="1" applyBorder="1" applyAlignment="1">
      <alignment horizontal="center"/>
    </xf>
    <xf numFmtId="3" fontId="52" fillId="0" borderId="0" xfId="0" applyNumberFormat="1" applyFont="1" applyFill="1" applyAlignment="1">
      <alignment horizontal="left"/>
    </xf>
    <xf numFmtId="0" fontId="28" fillId="0" borderId="58" xfId="0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30" fillId="0" borderId="59" xfId="0" applyNumberFormat="1" applyFont="1" applyFill="1" applyBorder="1" applyAlignment="1">
      <alignment/>
    </xf>
    <xf numFmtId="3" fontId="30" fillId="45" borderId="59" xfId="0" applyNumberFormat="1" applyFont="1" applyFill="1" applyBorder="1" applyAlignment="1">
      <alignment/>
    </xf>
    <xf numFmtId="3" fontId="28" fillId="46" borderId="59" xfId="0" applyNumberFormat="1" applyFont="1" applyFill="1" applyBorder="1" applyAlignment="1">
      <alignment/>
    </xf>
    <xf numFmtId="3" fontId="28" fillId="0" borderId="59" xfId="0" applyNumberFormat="1" applyFont="1" applyFill="1" applyBorder="1" applyAlignment="1">
      <alignment/>
    </xf>
    <xf numFmtId="2" fontId="28" fillId="0" borderId="60" xfId="0" applyNumberFormat="1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0" fontId="28" fillId="0" borderId="61" xfId="0" applyFont="1" applyFill="1" applyBorder="1" applyAlignment="1">
      <alignment/>
    </xf>
    <xf numFmtId="3" fontId="28" fillId="0" borderId="32" xfId="0" applyNumberFormat="1" applyFont="1" applyFill="1" applyBorder="1" applyAlignment="1">
      <alignment/>
    </xf>
    <xf numFmtId="0" fontId="28" fillId="0" borderId="32" xfId="0" applyFont="1" applyFill="1" applyBorder="1" applyAlignment="1">
      <alignment/>
    </xf>
    <xf numFmtId="3" fontId="30" fillId="0" borderId="62" xfId="0" applyNumberFormat="1" applyFont="1" applyFill="1" applyBorder="1" applyAlignment="1">
      <alignment/>
    </xf>
    <xf numFmtId="3" fontId="30" fillId="45" borderId="62" xfId="0" applyNumberFormat="1" applyFont="1" applyFill="1" applyBorder="1" applyAlignment="1">
      <alignment/>
    </xf>
    <xf numFmtId="3" fontId="28" fillId="46" borderId="62" xfId="0" applyNumberFormat="1" applyFont="1" applyFill="1" applyBorder="1" applyAlignment="1">
      <alignment/>
    </xf>
    <xf numFmtId="3" fontId="28" fillId="0" borderId="62" xfId="0" applyNumberFormat="1" applyFont="1" applyFill="1" applyBorder="1" applyAlignment="1">
      <alignment/>
    </xf>
    <xf numFmtId="2" fontId="28" fillId="0" borderId="63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8" fillId="47" borderId="47" xfId="0" applyFont="1" applyFill="1" applyBorder="1" applyAlignment="1">
      <alignment horizontal="center"/>
    </xf>
    <xf numFmtId="0" fontId="32" fillId="33" borderId="51" xfId="0" applyFont="1" applyFill="1" applyBorder="1" applyAlignment="1">
      <alignment horizontal="center"/>
    </xf>
    <xf numFmtId="3" fontId="32" fillId="33" borderId="64" xfId="0" applyNumberFormat="1" applyFont="1" applyFill="1" applyBorder="1" applyAlignment="1">
      <alignment/>
    </xf>
    <xf numFmtId="0" fontId="29" fillId="0" borderId="65" xfId="0" applyFont="1" applyFill="1" applyBorder="1" applyAlignment="1">
      <alignment horizontal="center"/>
    </xf>
    <xf numFmtId="3" fontId="29" fillId="0" borderId="16" xfId="0" applyNumberFormat="1" applyFont="1" applyFill="1" applyBorder="1" applyAlignment="1">
      <alignment/>
    </xf>
    <xf numFmtId="3" fontId="29" fillId="0" borderId="11" xfId="0" applyNumberFormat="1" applyFont="1" applyFill="1" applyBorder="1" applyAlignment="1">
      <alignment/>
    </xf>
    <xf numFmtId="3" fontId="29" fillId="0" borderId="23" xfId="0" applyNumberFormat="1" applyFont="1" applyFill="1" applyBorder="1" applyAlignment="1">
      <alignment/>
    </xf>
    <xf numFmtId="3" fontId="32" fillId="33" borderId="66" xfId="0" applyNumberFormat="1" applyFont="1" applyFill="1" applyBorder="1" applyAlignment="1">
      <alignment/>
    </xf>
    <xf numFmtId="0" fontId="29" fillId="0" borderId="58" xfId="0" applyFont="1" applyFill="1" applyBorder="1" applyAlignment="1">
      <alignment horizontal="center"/>
    </xf>
    <xf numFmtId="3" fontId="32" fillId="33" borderId="6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66" fillId="0" borderId="0" xfId="0" applyFont="1" applyFill="1" applyAlignment="1">
      <alignment/>
    </xf>
    <xf numFmtId="0" fontId="32" fillId="0" borderId="61" xfId="0" applyFont="1" applyFill="1" applyBorder="1" applyAlignment="1">
      <alignment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47" borderId="51" xfId="0" applyFont="1" applyFill="1" applyBorder="1" applyAlignment="1">
      <alignment horizontal="center"/>
    </xf>
    <xf numFmtId="0" fontId="28" fillId="0" borderId="67" xfId="0" applyFont="1" applyFill="1" applyBorder="1" applyAlignment="1">
      <alignment horizontal="center"/>
    </xf>
    <xf numFmtId="0" fontId="28" fillId="0" borderId="68" xfId="0" applyFont="1" applyFill="1" applyBorder="1" applyAlignment="1">
      <alignment/>
    </xf>
    <xf numFmtId="3" fontId="28" fillId="0" borderId="28" xfId="0" applyNumberFormat="1" applyFont="1" applyFill="1" applyBorder="1" applyAlignment="1">
      <alignment/>
    </xf>
    <xf numFmtId="3" fontId="28" fillId="0" borderId="36" xfId="0" applyNumberFormat="1" applyFont="1" applyFill="1" applyBorder="1" applyAlignment="1">
      <alignment/>
    </xf>
    <xf numFmtId="0" fontId="28" fillId="0" borderId="65" xfId="0" applyFont="1" applyFill="1" applyBorder="1" applyAlignment="1">
      <alignment horizontal="center"/>
    </xf>
    <xf numFmtId="0" fontId="28" fillId="0" borderId="69" xfId="0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0" borderId="23" xfId="0" applyNumberFormat="1" applyFont="1" applyFill="1" applyBorder="1" applyAlignment="1">
      <alignment/>
    </xf>
    <xf numFmtId="0" fontId="28" fillId="48" borderId="69" xfId="0" applyFont="1" applyFill="1" applyBorder="1" applyAlignment="1">
      <alignment/>
    </xf>
    <xf numFmtId="0" fontId="28" fillId="48" borderId="60" xfId="0" applyFont="1" applyFill="1" applyBorder="1" applyAlignment="1">
      <alignment/>
    </xf>
    <xf numFmtId="3" fontId="28" fillId="0" borderId="26" xfId="0" applyNumberFormat="1" applyFont="1" applyFill="1" applyBorder="1" applyAlignment="1">
      <alignment/>
    </xf>
    <xf numFmtId="3" fontId="28" fillId="0" borderId="27" xfId="0" applyNumberFormat="1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3" fontId="28" fillId="0" borderId="18" xfId="0" applyNumberFormat="1" applyFont="1" applyFill="1" applyBorder="1" applyAlignment="1">
      <alignment/>
    </xf>
    <xf numFmtId="10" fontId="28" fillId="0" borderId="19" xfId="0" applyNumberFormat="1" applyFont="1" applyFill="1" applyBorder="1" applyAlignment="1">
      <alignment/>
    </xf>
    <xf numFmtId="3" fontId="28" fillId="0" borderId="24" xfId="0" applyNumberFormat="1" applyFont="1" applyFill="1" applyBorder="1" applyAlignment="1">
      <alignment/>
    </xf>
    <xf numFmtId="0" fontId="29" fillId="0" borderId="14" xfId="0" applyFont="1" applyBorder="1" applyAlignment="1">
      <alignment horizontal="center" wrapText="1"/>
    </xf>
    <xf numFmtId="9" fontId="29" fillId="16" borderId="15" xfId="0" applyNumberFormat="1" applyFont="1" applyFill="1" applyBorder="1" applyAlignment="1">
      <alignment horizontal="center" wrapText="1"/>
    </xf>
    <xf numFmtId="0" fontId="69" fillId="0" borderId="22" xfId="0" applyFont="1" applyFill="1" applyBorder="1" applyAlignment="1">
      <alignment/>
    </xf>
    <xf numFmtId="0" fontId="29" fillId="0" borderId="14" xfId="0" applyFont="1" applyBorder="1" applyAlignment="1">
      <alignment wrapText="1"/>
    </xf>
    <xf numFmtId="0" fontId="70" fillId="16" borderId="14" xfId="97" applyFont="1" applyFill="1" applyBorder="1" applyAlignment="1">
      <alignment horizontal="center" vertical="center"/>
      <protection/>
    </xf>
    <xf numFmtId="0" fontId="70" fillId="16" borderId="15" xfId="97" applyFont="1" applyFill="1" applyBorder="1" applyAlignment="1">
      <alignment horizontal="center" vertical="center"/>
      <protection/>
    </xf>
    <xf numFmtId="0" fontId="29" fillId="48" borderId="15" xfId="97" applyFont="1" applyFill="1" applyBorder="1" applyAlignment="1">
      <alignment horizontal="center" vertical="center"/>
      <protection/>
    </xf>
    <xf numFmtId="49" fontId="29" fillId="0" borderId="16" xfId="0" applyNumberFormat="1" applyFont="1" applyFill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top" wrapText="1"/>
    </xf>
    <xf numFmtId="49" fontId="29" fillId="49" borderId="23" xfId="0" applyNumberFormat="1" applyFont="1" applyFill="1" applyBorder="1" applyAlignment="1">
      <alignment horizontal="center" vertical="top" wrapText="1"/>
    </xf>
    <xf numFmtId="0" fontId="71" fillId="0" borderId="0" xfId="0" applyFont="1" applyAlignment="1">
      <alignment/>
    </xf>
    <xf numFmtId="0" fontId="29" fillId="0" borderId="70" xfId="0" applyFont="1" applyFill="1" applyBorder="1" applyAlignment="1">
      <alignment horizontal="center" wrapText="1"/>
    </xf>
    <xf numFmtId="0" fontId="29" fillId="0" borderId="71" xfId="0" applyFont="1" applyFill="1" applyBorder="1" applyAlignment="1">
      <alignment horizontal="center" wrapText="1"/>
    </xf>
    <xf numFmtId="49" fontId="29" fillId="16" borderId="59" xfId="0" applyNumberFormat="1" applyFont="1" applyFill="1" applyBorder="1" applyAlignment="1">
      <alignment horizontal="center" wrapText="1"/>
    </xf>
    <xf numFmtId="0" fontId="29" fillId="0" borderId="70" xfId="0" applyFont="1" applyFill="1" applyBorder="1" applyAlignment="1">
      <alignment horizontal="center"/>
    </xf>
    <xf numFmtId="0" fontId="29" fillId="0" borderId="71" xfId="0" applyFont="1" applyFill="1" applyBorder="1" applyAlignment="1">
      <alignment/>
    </xf>
    <xf numFmtId="4" fontId="29" fillId="0" borderId="16" xfId="0" applyNumberFormat="1" applyFont="1" applyFill="1" applyBorder="1" applyAlignment="1">
      <alignment/>
    </xf>
    <xf numFmtId="3" fontId="29" fillId="49" borderId="23" xfId="0" applyNumberFormat="1" applyFont="1" applyFill="1" applyBorder="1" applyAlignment="1">
      <alignment/>
    </xf>
    <xf numFmtId="4" fontId="29" fillId="0" borderId="11" xfId="0" applyNumberFormat="1" applyFont="1" applyFill="1" applyBorder="1" applyAlignment="1">
      <alignment/>
    </xf>
    <xf numFmtId="0" fontId="29" fillId="0" borderId="72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26" xfId="0" applyNumberFormat="1" applyFont="1" applyFill="1" applyBorder="1" applyAlignment="1">
      <alignment/>
    </xf>
    <xf numFmtId="4" fontId="29" fillId="0" borderId="27" xfId="0" applyNumberFormat="1" applyFont="1" applyFill="1" applyBorder="1" applyAlignment="1">
      <alignment/>
    </xf>
    <xf numFmtId="0" fontId="29" fillId="0" borderId="40" xfId="0" applyFont="1" applyFill="1" applyBorder="1" applyAlignment="1">
      <alignment/>
    </xf>
    <xf numFmtId="0" fontId="69" fillId="0" borderId="40" xfId="0" applyFont="1" applyFill="1" applyBorder="1" applyAlignment="1">
      <alignment horizontal="left"/>
    </xf>
    <xf numFmtId="4" fontId="69" fillId="0" borderId="18" xfId="0" applyNumberFormat="1" applyFont="1" applyFill="1" applyBorder="1" applyAlignment="1">
      <alignment/>
    </xf>
    <xf numFmtId="3" fontId="69" fillId="49" borderId="24" xfId="0" applyNumberFormat="1" applyFont="1" applyFill="1" applyBorder="1" applyAlignment="1">
      <alignment/>
    </xf>
    <xf numFmtId="3" fontId="69" fillId="0" borderId="18" xfId="0" applyNumberFormat="1" applyFont="1" applyFill="1" applyBorder="1" applyAlignment="1">
      <alignment/>
    </xf>
    <xf numFmtId="4" fontId="69" fillId="0" borderId="19" xfId="0" applyNumberFormat="1" applyFont="1" applyFill="1" applyBorder="1" applyAlignment="1">
      <alignment/>
    </xf>
    <xf numFmtId="3" fontId="69" fillId="0" borderId="19" xfId="0" applyNumberFormat="1" applyFont="1" applyFill="1" applyBorder="1" applyAlignment="1">
      <alignment/>
    </xf>
    <xf numFmtId="0" fontId="29" fillId="48" borderId="73" xfId="123" applyFont="1" applyFill="1" applyBorder="1" applyAlignment="1">
      <alignment vertical="center" wrapText="1"/>
      <protection/>
    </xf>
    <xf numFmtId="182" fontId="29" fillId="0" borderId="11" xfId="0" applyNumberFormat="1" applyFont="1" applyFill="1" applyBorder="1" applyAlignment="1">
      <alignment/>
    </xf>
    <xf numFmtId="0" fontId="69" fillId="16" borderId="16" xfId="0" applyFont="1" applyFill="1" applyBorder="1" applyAlignment="1">
      <alignment/>
    </xf>
    <xf numFmtId="0" fontId="69" fillId="16" borderId="11" xfId="0" applyFont="1" applyFill="1" applyBorder="1" applyAlignment="1">
      <alignment/>
    </xf>
    <xf numFmtId="4" fontId="69" fillId="16" borderId="11" xfId="0" applyNumberFormat="1" applyFont="1" applyFill="1" applyBorder="1" applyAlignment="1">
      <alignment/>
    </xf>
    <xf numFmtId="0" fontId="32" fillId="33" borderId="47" xfId="0" applyFont="1" applyFill="1" applyBorder="1" applyAlignment="1">
      <alignment horizontal="center"/>
    </xf>
    <xf numFmtId="0" fontId="32" fillId="33" borderId="43" xfId="0" applyFont="1" applyFill="1" applyBorder="1" applyAlignment="1">
      <alignment horizontal="center"/>
    </xf>
    <xf numFmtId="0" fontId="32" fillId="33" borderId="49" xfId="0" applyFont="1" applyFill="1" applyBorder="1" applyAlignment="1">
      <alignment horizontal="center"/>
    </xf>
    <xf numFmtId="0" fontId="32" fillId="0" borderId="67" xfId="0" applyFont="1" applyFill="1" applyBorder="1" applyAlignment="1">
      <alignment horizontal="center"/>
    </xf>
    <xf numFmtId="0" fontId="32" fillId="0" borderId="74" xfId="0" applyFont="1" applyFill="1" applyBorder="1" applyAlignment="1">
      <alignment/>
    </xf>
    <xf numFmtId="4" fontId="32" fillId="33" borderId="64" xfId="0" applyNumberFormat="1" applyFont="1" applyFill="1" applyBorder="1" applyAlignment="1">
      <alignment/>
    </xf>
    <xf numFmtId="0" fontId="32" fillId="0" borderId="65" xfId="0" applyFont="1" applyFill="1" applyBorder="1" applyAlignment="1">
      <alignment horizontal="center"/>
    </xf>
    <xf numFmtId="0" fontId="32" fillId="0" borderId="72" xfId="0" applyFont="1" applyFill="1" applyBorder="1" applyAlignment="1">
      <alignment/>
    </xf>
    <xf numFmtId="4" fontId="32" fillId="33" borderId="66" xfId="0" applyNumberFormat="1" applyFont="1" applyFill="1" applyBorder="1" applyAlignment="1">
      <alignment/>
    </xf>
    <xf numFmtId="4" fontId="32" fillId="33" borderId="75" xfId="0" applyNumberFormat="1" applyFont="1" applyFill="1" applyBorder="1" applyAlignment="1">
      <alignment/>
    </xf>
    <xf numFmtId="0" fontId="32" fillId="0" borderId="76" xfId="0" applyFont="1" applyFill="1" applyBorder="1" applyAlignment="1">
      <alignment horizontal="center"/>
    </xf>
    <xf numFmtId="0" fontId="32" fillId="0" borderId="77" xfId="0" applyFont="1" applyFill="1" applyBorder="1" applyAlignment="1">
      <alignment/>
    </xf>
    <xf numFmtId="3" fontId="32" fillId="33" borderId="17" xfId="0" applyNumberFormat="1" applyFont="1" applyFill="1" applyBorder="1" applyAlignment="1">
      <alignment/>
    </xf>
    <xf numFmtId="4" fontId="32" fillId="33" borderId="17" xfId="0" applyNumberFormat="1" applyFont="1" applyFill="1" applyBorder="1" applyAlignment="1">
      <alignment/>
    </xf>
    <xf numFmtId="0" fontId="32" fillId="0" borderId="18" xfId="0" applyFont="1" applyFill="1" applyBorder="1" applyAlignment="1">
      <alignment/>
    </xf>
    <xf numFmtId="4" fontId="32" fillId="33" borderId="40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0" xfId="123" applyFont="1">
      <alignment/>
      <protection/>
    </xf>
    <xf numFmtId="3" fontId="28" fillId="44" borderId="64" xfId="0" applyNumberFormat="1" applyFont="1" applyFill="1" applyBorder="1" applyAlignment="1">
      <alignment/>
    </xf>
    <xf numFmtId="182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28" fillId="0" borderId="0" xfId="123" applyFont="1">
      <alignment/>
      <protection/>
    </xf>
    <xf numFmtId="0" fontId="29" fillId="0" borderId="49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 wrapText="1"/>
    </xf>
    <xf numFmtId="0" fontId="29" fillId="0" borderId="52" xfId="0" applyFont="1" applyFill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3" fontId="63" fillId="0" borderId="34" xfId="0" applyNumberFormat="1" applyFont="1" applyFill="1" applyBorder="1" applyAlignment="1">
      <alignment/>
    </xf>
    <xf numFmtId="3" fontId="32" fillId="0" borderId="78" xfId="0" applyNumberFormat="1" applyFont="1" applyFill="1" applyBorder="1" applyAlignment="1">
      <alignment/>
    </xf>
    <xf numFmtId="3" fontId="32" fillId="0" borderId="15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63" fillId="0" borderId="23" xfId="0" applyNumberFormat="1" applyFont="1" applyFill="1" applyBorder="1" applyAlignment="1">
      <alignment/>
    </xf>
    <xf numFmtId="3" fontId="32" fillId="0" borderId="73" xfId="0" applyNumberFormat="1" applyFont="1" applyFill="1" applyBorder="1" applyAlignment="1">
      <alignment/>
    </xf>
    <xf numFmtId="3" fontId="32" fillId="0" borderId="11" xfId="0" applyNumberFormat="1" applyFont="1" applyFill="1" applyBorder="1" applyAlignment="1">
      <alignment/>
    </xf>
    <xf numFmtId="3" fontId="28" fillId="48" borderId="38" xfId="0" applyNumberFormat="1" applyFont="1" applyFill="1" applyBorder="1" applyAlignment="1">
      <alignment/>
    </xf>
    <xf numFmtId="3" fontId="28" fillId="48" borderId="79" xfId="0" applyNumberFormat="1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30" fillId="0" borderId="80" xfId="0" applyFont="1" applyFill="1" applyBorder="1" applyAlignment="1">
      <alignment/>
    </xf>
    <xf numFmtId="3" fontId="63" fillId="0" borderId="20" xfId="0" applyNumberFormat="1" applyFont="1" applyFill="1" applyBorder="1" applyAlignment="1">
      <alignment/>
    </xf>
    <xf numFmtId="3" fontId="63" fillId="0" borderId="21" xfId="0" applyNumberFormat="1" applyFont="1" applyFill="1" applyBorder="1" applyAlignment="1">
      <alignment/>
    </xf>
    <xf numFmtId="3" fontId="63" fillId="0" borderId="81" xfId="0" applyNumberFormat="1" applyFont="1" applyFill="1" applyBorder="1" applyAlignment="1">
      <alignment/>
    </xf>
    <xf numFmtId="3" fontId="63" fillId="0" borderId="82" xfId="0" applyNumberFormat="1" applyFont="1" applyFill="1" applyBorder="1" applyAlignment="1">
      <alignment/>
    </xf>
    <xf numFmtId="3" fontId="72" fillId="0" borderId="0" xfId="0" applyNumberFormat="1" applyFont="1" applyAlignment="1">
      <alignment/>
    </xf>
    <xf numFmtId="3" fontId="72" fillId="0" borderId="0" xfId="0" applyNumberFormat="1" applyFont="1" applyFill="1" applyBorder="1" applyAlignment="1">
      <alignment/>
    </xf>
    <xf numFmtId="0" fontId="63" fillId="0" borderId="0" xfId="0" applyFont="1" applyBorder="1" applyAlignment="1">
      <alignment/>
    </xf>
    <xf numFmtId="0" fontId="73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83" xfId="124" applyFont="1" applyBorder="1">
      <alignment/>
      <protection/>
    </xf>
    <xf numFmtId="0" fontId="28" fillId="0" borderId="46" xfId="0" applyFont="1" applyBorder="1" applyAlignment="1">
      <alignment/>
    </xf>
    <xf numFmtId="3" fontId="28" fillId="0" borderId="47" xfId="0" applyNumberFormat="1" applyFont="1" applyBorder="1" applyAlignment="1">
      <alignment/>
    </xf>
    <xf numFmtId="0" fontId="28" fillId="0" borderId="84" xfId="0" applyFont="1" applyBorder="1" applyAlignment="1">
      <alignment horizontal="center"/>
    </xf>
    <xf numFmtId="3" fontId="28" fillId="0" borderId="85" xfId="0" applyNumberFormat="1" applyFont="1" applyFill="1" applyBorder="1" applyAlignment="1">
      <alignment/>
    </xf>
    <xf numFmtId="3" fontId="28" fillId="0" borderId="59" xfId="0" applyNumberFormat="1" applyFont="1" applyBorder="1" applyAlignment="1">
      <alignment/>
    </xf>
    <xf numFmtId="0" fontId="69" fillId="0" borderId="0" xfId="0" applyFont="1" applyAlignment="1">
      <alignment/>
    </xf>
    <xf numFmtId="0" fontId="28" fillId="0" borderId="18" xfId="0" applyFont="1" applyBorder="1" applyAlignment="1">
      <alignment horizontal="center"/>
    </xf>
    <xf numFmtId="3" fontId="30" fillId="0" borderId="62" xfId="0" applyNumberFormat="1" applyFont="1" applyBorder="1" applyAlignment="1">
      <alignment/>
    </xf>
    <xf numFmtId="3" fontId="58" fillId="0" borderId="0" xfId="0" applyNumberFormat="1" applyFont="1" applyBorder="1" applyAlignment="1">
      <alignment/>
    </xf>
    <xf numFmtId="0" fontId="74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28" fillId="0" borderId="53" xfId="0" applyFont="1" applyBorder="1" applyAlignment="1">
      <alignment horizontal="center"/>
    </xf>
    <xf numFmtId="0" fontId="28" fillId="0" borderId="55" xfId="0" applyFont="1" applyBorder="1" applyAlignment="1">
      <alignment/>
    </xf>
    <xf numFmtId="3" fontId="28" fillId="0" borderId="56" xfId="0" applyNumberFormat="1" applyFont="1" applyBorder="1" applyAlignment="1">
      <alignment/>
    </xf>
    <xf numFmtId="3" fontId="75" fillId="0" borderId="0" xfId="0" applyNumberFormat="1" applyFont="1" applyAlignment="1">
      <alignment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25" xfId="0" applyFont="1" applyBorder="1" applyAlignment="1">
      <alignment horizontal="center"/>
    </xf>
    <xf numFmtId="3" fontId="38" fillId="0" borderId="47" xfId="0" applyNumberFormat="1" applyFont="1" applyBorder="1" applyAlignment="1">
      <alignment/>
    </xf>
    <xf numFmtId="3" fontId="58" fillId="0" borderId="0" xfId="0" applyNumberFormat="1" applyFont="1" applyAlignment="1">
      <alignment/>
    </xf>
    <xf numFmtId="0" fontId="28" fillId="0" borderId="37" xfId="0" applyFont="1" applyBorder="1" applyAlignment="1">
      <alignment horizontal="center"/>
    </xf>
    <xf numFmtId="0" fontId="28" fillId="0" borderId="86" xfId="0" applyFont="1" applyBorder="1" applyAlignment="1">
      <alignment/>
    </xf>
    <xf numFmtId="3" fontId="28" fillId="0" borderId="75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0" fontId="28" fillId="0" borderId="0" xfId="0" applyFont="1" applyBorder="1" applyAlignment="1">
      <alignment horizontal="center"/>
    </xf>
    <xf numFmtId="0" fontId="58" fillId="0" borderId="0" xfId="0" applyFont="1" applyFill="1" applyAlignment="1">
      <alignment/>
    </xf>
    <xf numFmtId="0" fontId="28" fillId="0" borderId="87" xfId="0" applyFont="1" applyFill="1" applyBorder="1" applyAlignment="1">
      <alignment horizontal="left"/>
    </xf>
    <xf numFmtId="0" fontId="28" fillId="0" borderId="88" xfId="0" applyFont="1" applyFill="1" applyBorder="1" applyAlignment="1">
      <alignment/>
    </xf>
    <xf numFmtId="0" fontId="30" fillId="0" borderId="88" xfId="0" applyFont="1" applyFill="1" applyBorder="1" applyAlignment="1">
      <alignment/>
    </xf>
    <xf numFmtId="0" fontId="30" fillId="0" borderId="89" xfId="0" applyFont="1" applyFill="1" applyBorder="1" applyAlignment="1">
      <alignment/>
    </xf>
    <xf numFmtId="0" fontId="28" fillId="0" borderId="84" xfId="0" applyFont="1" applyFill="1" applyBorder="1" applyAlignment="1">
      <alignment horizontal="center"/>
    </xf>
    <xf numFmtId="0" fontId="28" fillId="0" borderId="90" xfId="0" applyFont="1" applyFill="1" applyBorder="1" applyAlignment="1">
      <alignment/>
    </xf>
    <xf numFmtId="0" fontId="28" fillId="0" borderId="91" xfId="0" applyFont="1" applyFill="1" applyBorder="1" applyAlignment="1">
      <alignment/>
    </xf>
    <xf numFmtId="0" fontId="30" fillId="0" borderId="91" xfId="0" applyFont="1" applyFill="1" applyBorder="1" applyAlignment="1">
      <alignment/>
    </xf>
    <xf numFmtId="0" fontId="30" fillId="0" borderId="92" xfId="0" applyFont="1" applyFill="1" applyBorder="1" applyAlignment="1">
      <alignment/>
    </xf>
    <xf numFmtId="3" fontId="30" fillId="0" borderId="85" xfId="0" applyNumberFormat="1" applyFont="1" applyFill="1" applyBorder="1" applyAlignment="1">
      <alignment/>
    </xf>
    <xf numFmtId="0" fontId="28" fillId="0" borderId="93" xfId="0" applyFont="1" applyFill="1" applyBorder="1" applyAlignment="1">
      <alignment horizontal="center"/>
    </xf>
    <xf numFmtId="0" fontId="28" fillId="0" borderId="94" xfId="0" applyFont="1" applyFill="1" applyBorder="1" applyAlignment="1">
      <alignment/>
    </xf>
    <xf numFmtId="0" fontId="28" fillId="0" borderId="95" xfId="0" applyFont="1" applyFill="1" applyBorder="1" applyAlignment="1">
      <alignment/>
    </xf>
    <xf numFmtId="0" fontId="30" fillId="0" borderId="95" xfId="0" applyFont="1" applyFill="1" applyBorder="1" applyAlignment="1">
      <alignment/>
    </xf>
    <xf numFmtId="0" fontId="30" fillId="0" borderId="96" xfId="0" applyFont="1" applyFill="1" applyBorder="1" applyAlignment="1">
      <alignment/>
    </xf>
    <xf numFmtId="3" fontId="30" fillId="0" borderId="97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28" fillId="0" borderId="18" xfId="0" applyFont="1" applyFill="1" applyBorder="1" applyAlignment="1">
      <alignment horizontal="center"/>
    </xf>
    <xf numFmtId="0" fontId="30" fillId="0" borderId="98" xfId="0" applyFont="1" applyFill="1" applyBorder="1" applyAlignment="1">
      <alignment/>
    </xf>
    <xf numFmtId="0" fontId="30" fillId="0" borderId="99" xfId="0" applyFont="1" applyFill="1" applyBorder="1" applyAlignment="1">
      <alignment/>
    </xf>
    <xf numFmtId="0" fontId="30" fillId="0" borderId="100" xfId="0" applyFont="1" applyFill="1" applyBorder="1" applyAlignment="1">
      <alignment/>
    </xf>
    <xf numFmtId="3" fontId="30" fillId="0" borderId="0" xfId="0" applyNumberFormat="1" applyFont="1" applyFill="1" applyAlignment="1">
      <alignment/>
    </xf>
    <xf numFmtId="2" fontId="52" fillId="0" borderId="0" xfId="0" applyNumberFormat="1" applyFont="1" applyAlignment="1">
      <alignment/>
    </xf>
    <xf numFmtId="0" fontId="62" fillId="0" borderId="0" xfId="0" applyFont="1" applyFill="1" applyAlignment="1">
      <alignment/>
    </xf>
    <xf numFmtId="2" fontId="62" fillId="0" borderId="0" xfId="0" applyNumberFormat="1" applyFont="1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58" xfId="0" applyFont="1" applyFill="1" applyBorder="1" applyAlignment="1">
      <alignment/>
    </xf>
    <xf numFmtId="180" fontId="76" fillId="0" borderId="0" xfId="0" applyNumberFormat="1" applyFont="1" applyFill="1" applyBorder="1" applyAlignment="1">
      <alignment/>
    </xf>
    <xf numFmtId="180" fontId="76" fillId="0" borderId="43" xfId="0" applyNumberFormat="1" applyFont="1" applyFill="1" applyBorder="1" applyAlignment="1">
      <alignment/>
    </xf>
    <xf numFmtId="0" fontId="56" fillId="0" borderId="60" xfId="0" applyFont="1" applyFill="1" applyBorder="1" applyAlignment="1">
      <alignment/>
    </xf>
    <xf numFmtId="0" fontId="59" fillId="0" borderId="43" xfId="0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38" fillId="0" borderId="101" xfId="0" applyFont="1" applyFill="1" applyBorder="1" applyAlignment="1">
      <alignment horizontal="center" wrapText="1"/>
    </xf>
    <xf numFmtId="0" fontId="38" fillId="0" borderId="102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59" fillId="0" borderId="43" xfId="0" applyFont="1" applyFill="1" applyBorder="1" applyAlignment="1">
      <alignment horizontal="left"/>
    </xf>
    <xf numFmtId="0" fontId="59" fillId="0" borderId="34" xfId="0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38" fillId="0" borderId="58" xfId="0" applyFont="1" applyFill="1" applyBorder="1" applyAlignment="1">
      <alignment/>
    </xf>
    <xf numFmtId="0" fontId="38" fillId="0" borderId="103" xfId="0" applyFont="1" applyFill="1" applyBorder="1" applyAlignment="1">
      <alignment horizontal="center" wrapText="1"/>
    </xf>
    <xf numFmtId="0" fontId="38" fillId="0" borderId="10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59" fillId="0" borderId="58" xfId="0" applyFont="1" applyFill="1" applyBorder="1" applyAlignment="1">
      <alignment horizontal="left"/>
    </xf>
    <xf numFmtId="0" fontId="59" fillId="0" borderId="35" xfId="0" applyFont="1" applyFill="1" applyBorder="1" applyAlignment="1">
      <alignment horizontal="center"/>
    </xf>
    <xf numFmtId="0" fontId="59" fillId="0" borderId="49" xfId="0" applyFont="1" applyFill="1" applyBorder="1" applyAlignment="1">
      <alignment/>
    </xf>
    <xf numFmtId="0" fontId="38" fillId="0" borderId="105" xfId="0" applyFont="1" applyFill="1" applyBorder="1" applyAlignment="1">
      <alignment horizontal="center" wrapText="1"/>
    </xf>
    <xf numFmtId="0" fontId="38" fillId="0" borderId="106" xfId="0" applyFont="1" applyFill="1" applyBorder="1" applyAlignment="1">
      <alignment horizontal="center"/>
    </xf>
    <xf numFmtId="0" fontId="38" fillId="0" borderId="44" xfId="0" applyFont="1" applyFill="1" applyBorder="1" applyAlignment="1">
      <alignment horizontal="center"/>
    </xf>
    <xf numFmtId="0" fontId="38" fillId="0" borderId="107" xfId="0" applyFont="1" applyFill="1" applyBorder="1" applyAlignment="1">
      <alignment horizontal="center"/>
    </xf>
    <xf numFmtId="0" fontId="38" fillId="44" borderId="97" xfId="0" applyFont="1" applyFill="1" applyBorder="1" applyAlignment="1">
      <alignment horizontal="center"/>
    </xf>
    <xf numFmtId="0" fontId="59" fillId="0" borderId="49" xfId="0" applyFont="1" applyFill="1" applyBorder="1" applyAlignment="1">
      <alignment horizontal="left"/>
    </xf>
    <xf numFmtId="0" fontId="59" fillId="0" borderId="42" xfId="0" applyFont="1" applyFill="1" applyBorder="1" applyAlignment="1">
      <alignment/>
    </xf>
    <xf numFmtId="0" fontId="38" fillId="0" borderId="108" xfId="0" applyFont="1" applyFill="1" applyBorder="1" applyAlignment="1">
      <alignment/>
    </xf>
    <xf numFmtId="0" fontId="38" fillId="0" borderId="87" xfId="0" applyFont="1" applyFill="1" applyBorder="1" applyAlignment="1">
      <alignment horizontal="center"/>
    </xf>
    <xf numFmtId="0" fontId="38" fillId="0" borderId="88" xfId="0" applyFont="1" applyFill="1" applyBorder="1" applyAlignment="1">
      <alignment horizontal="center"/>
    </xf>
    <xf numFmtId="1" fontId="38" fillId="0" borderId="89" xfId="0" applyNumberFormat="1" applyFont="1" applyFill="1" applyBorder="1" applyAlignment="1">
      <alignment horizontal="center"/>
    </xf>
    <xf numFmtId="1" fontId="38" fillId="0" borderId="108" xfId="0" applyNumberFormat="1" applyFont="1" applyFill="1" applyBorder="1" applyAlignment="1">
      <alignment horizontal="center"/>
    </xf>
    <xf numFmtId="0" fontId="38" fillId="0" borderId="58" xfId="0" applyFont="1" applyFill="1" applyBorder="1" applyAlignment="1">
      <alignment horizontal="left"/>
    </xf>
    <xf numFmtId="0" fontId="38" fillId="0" borderId="35" xfId="0" applyFont="1" applyFill="1" applyBorder="1" applyAlignment="1">
      <alignment/>
    </xf>
    <xf numFmtId="0" fontId="38" fillId="0" borderId="109" xfId="0" applyFont="1" applyFill="1" applyBorder="1" applyAlignment="1">
      <alignment/>
    </xf>
    <xf numFmtId="0" fontId="38" fillId="0" borderId="110" xfId="0" applyFont="1" applyFill="1" applyBorder="1" applyAlignment="1">
      <alignment horizontal="center"/>
    </xf>
    <xf numFmtId="0" fontId="38" fillId="0" borderId="111" xfId="0" applyFont="1" applyFill="1" applyBorder="1" applyAlignment="1">
      <alignment horizontal="center"/>
    </xf>
    <xf numFmtId="0" fontId="38" fillId="0" borderId="112" xfId="0" applyFont="1" applyFill="1" applyBorder="1" applyAlignment="1">
      <alignment horizontal="center"/>
    </xf>
    <xf numFmtId="0" fontId="38" fillId="0" borderId="109" xfId="0" applyFont="1" applyFill="1" applyBorder="1" applyAlignment="1">
      <alignment horizontal="center"/>
    </xf>
    <xf numFmtId="0" fontId="38" fillId="44" borderId="113" xfId="0" applyFont="1" applyFill="1" applyBorder="1" applyAlignment="1">
      <alignment horizontal="center"/>
    </xf>
    <xf numFmtId="3" fontId="38" fillId="0" borderId="87" xfId="0" applyNumberFormat="1" applyFont="1" applyFill="1" applyBorder="1" applyAlignment="1">
      <alignment/>
    </xf>
    <xf numFmtId="3" fontId="38" fillId="0" borderId="88" xfId="0" applyNumberFormat="1" applyFont="1" applyFill="1" applyBorder="1" applyAlignment="1">
      <alignment/>
    </xf>
    <xf numFmtId="10" fontId="38" fillId="0" borderId="88" xfId="0" applyNumberFormat="1" applyFont="1" applyFill="1" applyBorder="1" applyAlignment="1">
      <alignment/>
    </xf>
    <xf numFmtId="3" fontId="38" fillId="0" borderId="43" xfId="0" applyNumberFormat="1" applyFont="1" applyFill="1" applyBorder="1" applyAlignment="1">
      <alignment horizontal="left"/>
    </xf>
    <xf numFmtId="3" fontId="38" fillId="0" borderId="34" xfId="0" applyNumberFormat="1" applyFont="1" applyFill="1" applyBorder="1" applyAlignment="1">
      <alignment/>
    </xf>
    <xf numFmtId="0" fontId="38" fillId="0" borderId="114" xfId="0" applyFont="1" applyFill="1" applyBorder="1" applyAlignment="1">
      <alignment/>
    </xf>
    <xf numFmtId="3" fontId="38" fillId="0" borderId="90" xfId="0" applyNumberFormat="1" applyFont="1" applyFill="1" applyBorder="1" applyAlignment="1">
      <alignment/>
    </xf>
    <xf numFmtId="3" fontId="38" fillId="0" borderId="91" xfId="0" applyNumberFormat="1" applyFont="1" applyFill="1" applyBorder="1" applyAlignment="1">
      <alignment/>
    </xf>
    <xf numFmtId="10" fontId="38" fillId="0" borderId="91" xfId="0" applyNumberFormat="1" applyFont="1" applyFill="1" applyBorder="1" applyAlignment="1">
      <alignment/>
    </xf>
    <xf numFmtId="3" fontId="38" fillId="0" borderId="114" xfId="0" applyNumberFormat="1" applyFont="1" applyFill="1" applyBorder="1" applyAlignment="1">
      <alignment/>
    </xf>
    <xf numFmtId="3" fontId="38" fillId="0" borderId="114" xfId="0" applyNumberFormat="1" applyFont="1" applyFill="1" applyBorder="1" applyAlignment="1">
      <alignment horizontal="left"/>
    </xf>
    <xf numFmtId="3" fontId="38" fillId="0" borderId="115" xfId="0" applyNumberFormat="1" applyFont="1" applyFill="1" applyBorder="1" applyAlignment="1">
      <alignment/>
    </xf>
    <xf numFmtId="3" fontId="38" fillId="0" borderId="116" xfId="0" applyNumberFormat="1" applyFont="1" applyFill="1" applyBorder="1" applyAlignment="1">
      <alignment horizontal="left"/>
    </xf>
    <xf numFmtId="3" fontId="38" fillId="0" borderId="117" xfId="0" applyNumberFormat="1" applyFont="1" applyFill="1" applyBorder="1" applyAlignment="1">
      <alignment/>
    </xf>
    <xf numFmtId="3" fontId="59" fillId="44" borderId="58" xfId="0" applyNumberFormat="1" applyFont="1" applyFill="1" applyBorder="1" applyAlignment="1">
      <alignment horizontal="left"/>
    </xf>
    <xf numFmtId="3" fontId="38" fillId="44" borderId="35" xfId="0" applyNumberFormat="1" applyFont="1" applyFill="1" applyBorder="1" applyAlignment="1">
      <alignment/>
    </xf>
    <xf numFmtId="3" fontId="59" fillId="44" borderId="49" xfId="0" applyNumberFormat="1" applyFont="1" applyFill="1" applyBorder="1" applyAlignment="1">
      <alignment horizontal="left"/>
    </xf>
    <xf numFmtId="3" fontId="38" fillId="44" borderId="42" xfId="0" applyNumberFormat="1" applyFont="1" applyFill="1" applyBorder="1" applyAlignment="1">
      <alignment/>
    </xf>
    <xf numFmtId="0" fontId="28" fillId="0" borderId="114" xfId="93" applyFont="1" applyFill="1" applyBorder="1">
      <alignment/>
      <protection/>
    </xf>
    <xf numFmtId="3" fontId="28" fillId="0" borderId="91" xfId="93" applyNumberFormat="1" applyFont="1" applyFill="1" applyBorder="1">
      <alignment/>
      <protection/>
    </xf>
    <xf numFmtId="3" fontId="76" fillId="0" borderId="0" xfId="0" applyNumberFormat="1" applyFont="1" applyFill="1" applyBorder="1" applyAlignment="1">
      <alignment horizontal="left"/>
    </xf>
    <xf numFmtId="3" fontId="56" fillId="0" borderId="0" xfId="0" applyNumberFormat="1" applyFont="1" applyFill="1" applyBorder="1" applyAlignment="1">
      <alignment/>
    </xf>
    <xf numFmtId="0" fontId="28" fillId="0" borderId="114" xfId="0" applyFont="1" applyFill="1" applyBorder="1" applyAlignment="1">
      <alignment/>
    </xf>
    <xf numFmtId="0" fontId="31" fillId="0" borderId="114" xfId="0" applyFont="1" applyFill="1" applyBorder="1" applyAlignment="1">
      <alignment/>
    </xf>
    <xf numFmtId="3" fontId="69" fillId="0" borderId="0" xfId="0" applyNumberFormat="1" applyFont="1" applyFill="1" applyBorder="1" applyAlignment="1">
      <alignment horizontal="right"/>
    </xf>
    <xf numFmtId="0" fontId="59" fillId="0" borderId="109" xfId="0" applyFont="1" applyFill="1" applyBorder="1" applyAlignment="1">
      <alignment/>
    </xf>
    <xf numFmtId="3" fontId="59" fillId="0" borderId="110" xfId="0" applyNumberFormat="1" applyFont="1" applyFill="1" applyBorder="1" applyAlignment="1">
      <alignment/>
    </xf>
    <xf numFmtId="3" fontId="59" fillId="0" borderId="111" xfId="0" applyNumberFormat="1" applyFont="1" applyFill="1" applyBorder="1" applyAlignment="1">
      <alignment/>
    </xf>
    <xf numFmtId="10" fontId="59" fillId="0" borderId="111" xfId="0" applyNumberFormat="1" applyFont="1" applyFill="1" applyBorder="1" applyAlignment="1">
      <alignment/>
    </xf>
    <xf numFmtId="3" fontId="59" fillId="0" borderId="109" xfId="0" applyNumberFormat="1" applyFont="1" applyFill="1" applyBorder="1" applyAlignment="1">
      <alignment/>
    </xf>
    <xf numFmtId="3" fontId="29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/>
    </xf>
    <xf numFmtId="0" fontId="73" fillId="0" borderId="0" xfId="0" applyFont="1" applyFill="1" applyAlignment="1">
      <alignment horizontal="left"/>
    </xf>
    <xf numFmtId="3" fontId="29" fillId="0" borderId="0" xfId="0" applyNumberFormat="1" applyFont="1" applyFill="1" applyAlignment="1">
      <alignment/>
    </xf>
    <xf numFmtId="0" fontId="56" fillId="0" borderId="14" xfId="0" applyFont="1" applyFill="1" applyBorder="1" applyAlignment="1">
      <alignment horizontal="center"/>
    </xf>
    <xf numFmtId="3" fontId="29" fillId="0" borderId="22" xfId="0" applyNumberFormat="1" applyFont="1" applyFill="1" applyBorder="1" applyAlignment="1">
      <alignment/>
    </xf>
    <xf numFmtId="0" fontId="56" fillId="0" borderId="16" xfId="0" applyFont="1" applyFill="1" applyBorder="1" applyAlignment="1">
      <alignment horizontal="center"/>
    </xf>
    <xf numFmtId="3" fontId="56" fillId="0" borderId="23" xfId="0" applyNumberFormat="1" applyFont="1" applyFill="1" applyBorder="1" applyAlignment="1">
      <alignment/>
    </xf>
    <xf numFmtId="0" fontId="56" fillId="0" borderId="20" xfId="0" applyFont="1" applyFill="1" applyBorder="1" applyAlignment="1">
      <alignment horizontal="center"/>
    </xf>
    <xf numFmtId="3" fontId="77" fillId="37" borderId="81" xfId="0" applyNumberFormat="1" applyFont="1" applyFill="1" applyBorder="1" applyAlignment="1">
      <alignment/>
    </xf>
    <xf numFmtId="2" fontId="56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1" fontId="56" fillId="0" borderId="0" xfId="0" applyNumberFormat="1" applyFont="1" applyFill="1" applyBorder="1" applyAlignment="1">
      <alignment/>
    </xf>
    <xf numFmtId="1" fontId="56" fillId="0" borderId="0" xfId="0" applyNumberFormat="1" applyFont="1" applyFill="1" applyAlignment="1">
      <alignment/>
    </xf>
    <xf numFmtId="3" fontId="56" fillId="0" borderId="0" xfId="0" applyNumberFormat="1" applyFont="1" applyFill="1" applyAlignment="1">
      <alignment/>
    </xf>
    <xf numFmtId="0" fontId="79" fillId="0" borderId="0" xfId="0" applyFont="1" applyAlignment="1">
      <alignment/>
    </xf>
    <xf numFmtId="0" fontId="68" fillId="0" borderId="0" xfId="0" applyFont="1" applyAlignment="1">
      <alignment/>
    </xf>
    <xf numFmtId="0" fontId="28" fillId="0" borderId="45" xfId="0" applyFont="1" applyBorder="1" applyAlignment="1">
      <alignment/>
    </xf>
    <xf numFmtId="0" fontId="28" fillId="0" borderId="58" xfId="0" applyFont="1" applyBorder="1" applyAlignment="1">
      <alignment/>
    </xf>
    <xf numFmtId="0" fontId="28" fillId="0" borderId="118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0" borderId="50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44" xfId="0" applyFont="1" applyBorder="1" applyAlignment="1">
      <alignment horizontal="center"/>
    </xf>
    <xf numFmtId="0" fontId="28" fillId="0" borderId="119" xfId="0" applyFont="1" applyBorder="1" applyAlignment="1">
      <alignment horizontal="center"/>
    </xf>
    <xf numFmtId="0" fontId="39" fillId="0" borderId="120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3" fontId="28" fillId="0" borderId="88" xfId="0" applyNumberFormat="1" applyFont="1" applyBorder="1" applyAlignment="1">
      <alignment/>
    </xf>
    <xf numFmtId="3" fontId="39" fillId="0" borderId="121" xfId="0" applyNumberFormat="1" applyFont="1" applyBorder="1" applyAlignment="1">
      <alignment/>
    </xf>
    <xf numFmtId="3" fontId="28" fillId="50" borderId="25" xfId="0" applyNumberFormat="1" applyFont="1" applyFill="1" applyBorder="1" applyAlignment="1">
      <alignment/>
    </xf>
    <xf numFmtId="3" fontId="28" fillId="0" borderId="0" xfId="0" applyNumberFormat="1" applyFont="1" applyBorder="1" applyAlignment="1">
      <alignment/>
    </xf>
    <xf numFmtId="3" fontId="68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0" fontId="28" fillId="0" borderId="114" xfId="0" applyFont="1" applyBorder="1" applyAlignment="1">
      <alignment horizontal="center"/>
    </xf>
    <xf numFmtId="0" fontId="28" fillId="0" borderId="122" xfId="0" applyFont="1" applyBorder="1" applyAlignment="1">
      <alignment horizontal="center"/>
    </xf>
    <xf numFmtId="3" fontId="28" fillId="0" borderId="123" xfId="0" applyNumberFormat="1" applyFont="1" applyBorder="1" applyAlignment="1">
      <alignment/>
    </xf>
    <xf numFmtId="3" fontId="39" fillId="0" borderId="124" xfId="0" applyNumberFormat="1" applyFont="1" applyBorder="1" applyAlignment="1">
      <alignment/>
    </xf>
    <xf numFmtId="3" fontId="28" fillId="50" borderId="84" xfId="0" applyNumberFormat="1" applyFont="1" applyFill="1" applyBorder="1" applyAlignment="1">
      <alignment/>
    </xf>
    <xf numFmtId="3" fontId="28" fillId="0" borderId="90" xfId="0" applyNumberFormat="1" applyFont="1" applyBorder="1" applyAlignment="1">
      <alignment/>
    </xf>
    <xf numFmtId="3" fontId="28" fillId="0" borderId="91" xfId="0" applyNumberFormat="1" applyFont="1" applyBorder="1" applyAlignment="1">
      <alignment/>
    </xf>
    <xf numFmtId="0" fontId="28" fillId="0" borderId="125" xfId="0" applyFont="1" applyBorder="1" applyAlignment="1">
      <alignment horizontal="center"/>
    </xf>
    <xf numFmtId="3" fontId="39" fillId="0" borderId="126" xfId="0" applyNumberFormat="1" applyFont="1" applyBorder="1" applyAlignment="1">
      <alignment/>
    </xf>
    <xf numFmtId="3" fontId="28" fillId="50" borderId="26" xfId="0" applyNumberFormat="1" applyFont="1" applyFill="1" applyBorder="1" applyAlignment="1">
      <alignment/>
    </xf>
    <xf numFmtId="3" fontId="81" fillId="33" borderId="18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28" fillId="0" borderId="127" xfId="0" applyFont="1" applyBorder="1" applyAlignment="1">
      <alignment horizontal="center"/>
    </xf>
    <xf numFmtId="0" fontId="28" fillId="0" borderId="128" xfId="0" applyFont="1" applyBorder="1" applyAlignment="1">
      <alignment horizontal="center"/>
    </xf>
    <xf numFmtId="3" fontId="30" fillId="33" borderId="129" xfId="0" applyNumberFormat="1" applyFont="1" applyFill="1" applyBorder="1" applyAlignment="1">
      <alignment/>
    </xf>
    <xf numFmtId="3" fontId="28" fillId="0" borderId="130" xfId="0" applyNumberFormat="1" applyFont="1" applyBorder="1" applyAlignment="1">
      <alignment/>
    </xf>
    <xf numFmtId="3" fontId="28" fillId="0" borderId="131" xfId="0" applyNumberFormat="1" applyFont="1" applyBorder="1" applyAlignment="1">
      <alignment/>
    </xf>
    <xf numFmtId="3" fontId="39" fillId="0" borderId="132" xfId="0" applyNumberFormat="1" applyFont="1" applyBorder="1" applyAlignment="1">
      <alignment/>
    </xf>
    <xf numFmtId="3" fontId="39" fillId="0" borderId="92" xfId="0" applyNumberFormat="1" applyFont="1" applyBorder="1" applyAlignment="1">
      <alignment/>
    </xf>
    <xf numFmtId="0" fontId="30" fillId="0" borderId="32" xfId="0" applyFont="1" applyBorder="1" applyAlignment="1">
      <alignment/>
    </xf>
    <xf numFmtId="3" fontId="30" fillId="33" borderId="18" xfId="0" applyNumberFormat="1" applyFont="1" applyFill="1" applyBorder="1" applyAlignment="1">
      <alignment/>
    </xf>
    <xf numFmtId="0" fontId="28" fillId="0" borderId="129" xfId="0" applyFont="1" applyBorder="1" applyAlignment="1">
      <alignment horizontal="center"/>
    </xf>
    <xf numFmtId="0" fontId="28" fillId="0" borderId="29" xfId="0" applyFont="1" applyFill="1" applyBorder="1" applyAlignment="1">
      <alignment/>
    </xf>
    <xf numFmtId="0" fontId="28" fillId="0" borderId="30" xfId="0" applyFont="1" applyFill="1" applyBorder="1" applyAlignment="1">
      <alignment/>
    </xf>
    <xf numFmtId="3" fontId="30" fillId="33" borderId="84" xfId="0" applyNumberFormat="1" applyFont="1" applyFill="1" applyBorder="1" applyAlignment="1">
      <alignment/>
    </xf>
    <xf numFmtId="0" fontId="28" fillId="0" borderId="71" xfId="0" applyFont="1" applyFill="1" applyBorder="1" applyAlignment="1">
      <alignment/>
    </xf>
    <xf numFmtId="3" fontId="28" fillId="0" borderId="133" xfId="0" applyNumberFormat="1" applyFont="1" applyBorder="1" applyAlignment="1">
      <alignment/>
    </xf>
    <xf numFmtId="3" fontId="28" fillId="0" borderId="134" xfId="0" applyNumberFormat="1" applyFont="1" applyBorder="1" applyAlignment="1">
      <alignment/>
    </xf>
    <xf numFmtId="3" fontId="39" fillId="0" borderId="135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32" xfId="0" applyFont="1" applyFill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3" fontId="133" fillId="0" borderId="0" xfId="0" applyNumberFormat="1" applyFont="1" applyFill="1" applyAlignment="1">
      <alignment/>
    </xf>
    <xf numFmtId="0" fontId="28" fillId="0" borderId="41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136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32" xfId="0" applyFont="1" applyBorder="1" applyAlignment="1">
      <alignment horizontal="right"/>
    </xf>
    <xf numFmtId="0" fontId="28" fillId="0" borderId="32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99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28" fillId="34" borderId="18" xfId="0" applyFont="1" applyFill="1" applyBorder="1" applyAlignment="1">
      <alignment horizontal="center"/>
    </xf>
    <xf numFmtId="3" fontId="30" fillId="33" borderId="53" xfId="0" applyNumberFormat="1" applyFont="1" applyFill="1" applyBorder="1" applyAlignment="1">
      <alignment/>
    </xf>
    <xf numFmtId="3" fontId="28" fillId="0" borderId="27" xfId="0" applyNumberFormat="1" applyFont="1" applyBorder="1" applyAlignment="1">
      <alignment/>
    </xf>
    <xf numFmtId="3" fontId="31" fillId="0" borderId="12" xfId="0" applyNumberFormat="1" applyFont="1" applyBorder="1" applyAlignment="1">
      <alignment/>
    </xf>
    <xf numFmtId="3" fontId="84" fillId="0" borderId="104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85" fillId="0" borderId="35" xfId="0" applyNumberFormat="1" applyFont="1" applyFill="1" applyBorder="1" applyAlignment="1">
      <alignment/>
    </xf>
    <xf numFmtId="3" fontId="28" fillId="34" borderId="129" xfId="0" applyNumberFormat="1" applyFont="1" applyFill="1" applyBorder="1" applyAlignment="1">
      <alignment/>
    </xf>
    <xf numFmtId="3" fontId="28" fillId="0" borderId="137" xfId="0" applyNumberFormat="1" applyFont="1" applyBorder="1" applyAlignment="1">
      <alignment/>
    </xf>
    <xf numFmtId="0" fontId="28" fillId="0" borderId="30" xfId="0" applyFont="1" applyBorder="1" applyAlignment="1">
      <alignment horizontal="center"/>
    </xf>
    <xf numFmtId="3" fontId="28" fillId="0" borderId="138" xfId="0" applyNumberFormat="1" applyFont="1" applyBorder="1" applyAlignment="1">
      <alignment/>
    </xf>
    <xf numFmtId="3" fontId="31" fillId="0" borderId="91" xfId="0" applyNumberFormat="1" applyFont="1" applyFill="1" applyBorder="1" applyAlignment="1">
      <alignment/>
    </xf>
    <xf numFmtId="3" fontId="31" fillId="0" borderId="92" xfId="0" applyNumberFormat="1" applyFont="1" applyFill="1" applyBorder="1" applyAlignment="1">
      <alignment/>
    </xf>
    <xf numFmtId="3" fontId="85" fillId="0" borderId="115" xfId="0" applyNumberFormat="1" applyFont="1" applyFill="1" applyBorder="1" applyAlignment="1">
      <alignment/>
    </xf>
    <xf numFmtId="3" fontId="28" fillId="0" borderId="115" xfId="0" applyNumberFormat="1" applyFont="1" applyBorder="1" applyAlignment="1">
      <alignment/>
    </xf>
    <xf numFmtId="3" fontId="86" fillId="0" borderId="91" xfId="0" applyNumberFormat="1" applyFont="1" applyFill="1" applyBorder="1" applyAlignment="1">
      <alignment/>
    </xf>
    <xf numFmtId="0" fontId="28" fillId="0" borderId="139" xfId="0" applyFont="1" applyBorder="1" applyAlignment="1">
      <alignment horizontal="center"/>
    </xf>
    <xf numFmtId="0" fontId="28" fillId="0" borderId="139" xfId="0" applyFont="1" applyBorder="1" applyAlignment="1">
      <alignment/>
    </xf>
    <xf numFmtId="3" fontId="31" fillId="0" borderId="140" xfId="0" applyNumberFormat="1" applyFont="1" applyFill="1" applyBorder="1" applyAlignment="1">
      <alignment/>
    </xf>
    <xf numFmtId="3" fontId="85" fillId="0" borderId="117" xfId="0" applyNumberFormat="1" applyFont="1" applyFill="1" applyBorder="1" applyAlignment="1">
      <alignment/>
    </xf>
    <xf numFmtId="3" fontId="28" fillId="0" borderId="141" xfId="0" applyNumberFormat="1" applyFont="1" applyBorder="1" applyAlignment="1">
      <alignment/>
    </xf>
    <xf numFmtId="3" fontId="28" fillId="0" borderId="142" xfId="0" applyNumberFormat="1" applyFont="1" applyBorder="1" applyAlignment="1">
      <alignment/>
    </xf>
    <xf numFmtId="0" fontId="31" fillId="0" borderId="71" xfId="0" applyFont="1" applyBorder="1" applyAlignment="1">
      <alignment horizontal="left"/>
    </xf>
    <xf numFmtId="0" fontId="31" fillId="0" borderId="71" xfId="0" applyFont="1" applyBorder="1" applyAlignment="1">
      <alignment/>
    </xf>
    <xf numFmtId="3" fontId="31" fillId="0" borderId="72" xfId="0" applyNumberFormat="1" applyFont="1" applyBorder="1" applyAlignment="1">
      <alignment/>
    </xf>
    <xf numFmtId="3" fontId="31" fillId="0" borderId="23" xfId="0" applyNumberFormat="1" applyFont="1" applyBorder="1" applyAlignment="1">
      <alignment/>
    </xf>
    <xf numFmtId="3" fontId="31" fillId="0" borderId="138" xfId="0" applyNumberFormat="1" applyFont="1" applyBorder="1" applyAlignment="1">
      <alignment/>
    </xf>
    <xf numFmtId="3" fontId="31" fillId="0" borderId="143" xfId="0" applyNumberFormat="1" applyFont="1" applyBorder="1" applyAlignment="1">
      <alignment/>
    </xf>
    <xf numFmtId="3" fontId="31" fillId="0" borderId="35" xfId="0" applyNumberFormat="1" applyFont="1" applyBorder="1" applyAlignment="1">
      <alignment/>
    </xf>
    <xf numFmtId="3" fontId="31" fillId="0" borderId="115" xfId="0" applyNumberFormat="1" applyFont="1" applyBorder="1" applyAlignment="1">
      <alignment/>
    </xf>
    <xf numFmtId="0" fontId="28" fillId="0" borderId="144" xfId="0" applyFont="1" applyBorder="1" applyAlignment="1">
      <alignment horizontal="center"/>
    </xf>
    <xf numFmtId="3" fontId="31" fillId="0" borderId="96" xfId="0" applyNumberFormat="1" applyFont="1" applyFill="1" applyBorder="1" applyAlignment="1">
      <alignment/>
    </xf>
    <xf numFmtId="3" fontId="85" fillId="0" borderId="142" xfId="0" applyNumberFormat="1" applyFont="1" applyFill="1" applyBorder="1" applyAlignment="1">
      <alignment/>
    </xf>
    <xf numFmtId="3" fontId="31" fillId="0" borderId="142" xfId="0" applyNumberFormat="1" applyFont="1" applyBorder="1" applyAlignment="1">
      <alignment/>
    </xf>
    <xf numFmtId="0" fontId="64" fillId="0" borderId="0" xfId="0" applyFont="1" applyBorder="1" applyAlignment="1">
      <alignment/>
    </xf>
    <xf numFmtId="3" fontId="31" fillId="0" borderId="145" xfId="0" applyNumberFormat="1" applyFont="1" applyBorder="1" applyAlignment="1">
      <alignment/>
    </xf>
    <xf numFmtId="0" fontId="31" fillId="0" borderId="0" xfId="0" applyFont="1" applyAlignment="1">
      <alignment/>
    </xf>
    <xf numFmtId="3" fontId="31" fillId="0" borderId="73" xfId="0" applyNumberFormat="1" applyFont="1" applyBorder="1" applyAlignment="1">
      <alignment/>
    </xf>
    <xf numFmtId="0" fontId="38" fillId="0" borderId="0" xfId="0" applyFont="1" applyFill="1" applyAlignment="1">
      <alignment/>
    </xf>
    <xf numFmtId="0" fontId="28" fillId="0" borderId="102" xfId="0" applyFont="1" applyBorder="1" applyAlignment="1">
      <alignment horizontal="center"/>
    </xf>
    <xf numFmtId="0" fontId="29" fillId="0" borderId="48" xfId="0" applyFont="1" applyBorder="1" applyAlignment="1">
      <alignment horizontal="left"/>
    </xf>
    <xf numFmtId="0" fontId="30" fillId="0" borderId="25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2" fillId="0" borderId="101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8" fillId="0" borderId="49" xfId="0" applyFont="1" applyBorder="1" applyAlignment="1">
      <alignment/>
    </xf>
    <xf numFmtId="0" fontId="30" fillId="0" borderId="44" xfId="0" applyFont="1" applyBorder="1" applyAlignment="1">
      <alignment/>
    </xf>
    <xf numFmtId="0" fontId="28" fillId="0" borderId="106" xfId="0" applyFont="1" applyBorder="1" applyAlignment="1">
      <alignment horizontal="center"/>
    </xf>
    <xf numFmtId="0" fontId="30" fillId="0" borderId="52" xfId="0" applyFont="1" applyBorder="1" applyAlignment="1">
      <alignment horizontal="left"/>
    </xf>
    <xf numFmtId="0" fontId="30" fillId="0" borderId="146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2" fillId="0" borderId="105" xfId="0" applyFont="1" applyBorder="1" applyAlignment="1">
      <alignment horizontal="center"/>
    </xf>
    <xf numFmtId="0" fontId="32" fillId="0" borderId="106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30" fillId="33" borderId="49" xfId="0" applyFont="1" applyFill="1" applyBorder="1" applyAlignment="1">
      <alignment/>
    </xf>
    <xf numFmtId="0" fontId="30" fillId="33" borderId="44" xfId="0" applyFont="1" applyFill="1" applyBorder="1" applyAlignment="1">
      <alignment/>
    </xf>
    <xf numFmtId="0" fontId="32" fillId="33" borderId="99" xfId="0" applyFont="1" applyFill="1" applyBorder="1" applyAlignment="1">
      <alignment horizontal="center"/>
    </xf>
    <xf numFmtId="0" fontId="69" fillId="33" borderId="52" xfId="0" applyFont="1" applyFill="1" applyBorder="1" applyAlignment="1">
      <alignment horizontal="left"/>
    </xf>
    <xf numFmtId="3" fontId="30" fillId="33" borderId="32" xfId="0" applyNumberFormat="1" applyFont="1" applyFill="1" applyBorder="1" applyAlignment="1">
      <alignment/>
    </xf>
    <xf numFmtId="3" fontId="63" fillId="33" borderId="32" xfId="0" applyNumberFormat="1" applyFont="1" applyFill="1" applyBorder="1" applyAlignment="1">
      <alignment/>
    </xf>
    <xf numFmtId="3" fontId="63" fillId="33" borderId="99" xfId="0" applyNumberFormat="1" applyFont="1" applyFill="1" applyBorder="1" applyAlignment="1">
      <alignment/>
    </xf>
    <xf numFmtId="3" fontId="29" fillId="33" borderId="62" xfId="0" applyNumberFormat="1" applyFont="1" applyFill="1" applyBorder="1" applyAlignment="1">
      <alignment/>
    </xf>
    <xf numFmtId="0" fontId="32" fillId="0" borderId="58" xfId="0" applyFont="1" applyBorder="1" applyAlignment="1">
      <alignment/>
    </xf>
    <xf numFmtId="0" fontId="64" fillId="0" borderId="58" xfId="0" applyFont="1" applyBorder="1" applyAlignment="1">
      <alignment/>
    </xf>
    <xf numFmtId="0" fontId="64" fillId="0" borderId="29" xfId="0" applyFont="1" applyBorder="1" applyAlignment="1">
      <alignment/>
    </xf>
    <xf numFmtId="0" fontId="64" fillId="0" borderId="131" xfId="0" applyFont="1" applyBorder="1" applyAlignment="1">
      <alignment horizontal="center"/>
    </xf>
    <xf numFmtId="0" fontId="73" fillId="0" borderId="147" xfId="0" applyFont="1" applyBorder="1" applyAlignment="1">
      <alignment horizontal="left"/>
    </xf>
    <xf numFmtId="3" fontId="31" fillId="0" borderId="129" xfId="0" applyNumberFormat="1" applyFont="1" applyBorder="1" applyAlignment="1">
      <alignment/>
    </xf>
    <xf numFmtId="3" fontId="64" fillId="0" borderId="29" xfId="0" applyNumberFormat="1" applyFont="1" applyBorder="1" applyAlignment="1">
      <alignment/>
    </xf>
    <xf numFmtId="3" fontId="64" fillId="0" borderId="130" xfId="0" applyNumberFormat="1" applyFont="1" applyBorder="1" applyAlignment="1">
      <alignment/>
    </xf>
    <xf numFmtId="3" fontId="64" fillId="0" borderId="131" xfId="0" applyNumberFormat="1" applyFont="1" applyBorder="1" applyAlignment="1">
      <alignment/>
    </xf>
    <xf numFmtId="3" fontId="73" fillId="0" borderId="148" xfId="0" applyNumberFormat="1" applyFont="1" applyBorder="1" applyAlignment="1">
      <alignment/>
    </xf>
    <xf numFmtId="0" fontId="64" fillId="0" borderId="0" xfId="0" applyFont="1" applyAlignment="1">
      <alignment horizontal="center" wrapText="1"/>
    </xf>
    <xf numFmtId="0" fontId="73" fillId="0" borderId="58" xfId="0" applyFont="1" applyBorder="1" applyAlignment="1">
      <alignment/>
    </xf>
    <xf numFmtId="0" fontId="73" fillId="0" borderId="0" xfId="0" applyFont="1" applyBorder="1" applyAlignment="1">
      <alignment/>
    </xf>
    <xf numFmtId="0" fontId="73" fillId="51" borderId="29" xfId="0" applyFont="1" applyFill="1" applyBorder="1" applyAlignment="1">
      <alignment/>
    </xf>
    <xf numFmtId="0" fontId="73" fillId="51" borderId="147" xfId="0" applyFont="1" applyFill="1" applyBorder="1" applyAlignment="1">
      <alignment horizontal="left"/>
    </xf>
    <xf numFmtId="3" fontId="73" fillId="51" borderId="129" xfId="0" applyNumberFormat="1" applyFont="1" applyFill="1" applyBorder="1" applyAlignment="1">
      <alignment/>
    </xf>
    <xf numFmtId="3" fontId="73" fillId="51" borderId="29" xfId="0" applyNumberFormat="1" applyFont="1" applyFill="1" applyBorder="1" applyAlignment="1">
      <alignment/>
    </xf>
    <xf numFmtId="3" fontId="73" fillId="51" borderId="130" xfId="0" applyNumberFormat="1" applyFont="1" applyFill="1" applyBorder="1" applyAlignment="1">
      <alignment/>
    </xf>
    <xf numFmtId="3" fontId="73" fillId="51" borderId="131" xfId="0" applyNumberFormat="1" applyFont="1" applyFill="1" applyBorder="1" applyAlignment="1">
      <alignment/>
    </xf>
    <xf numFmtId="0" fontId="32" fillId="0" borderId="131" xfId="0" applyFont="1" applyBorder="1" applyAlignment="1">
      <alignment horizontal="center"/>
    </xf>
    <xf numFmtId="0" fontId="29" fillId="0" borderId="147" xfId="0" applyFont="1" applyBorder="1" applyAlignment="1">
      <alignment horizontal="left"/>
    </xf>
    <xf numFmtId="3" fontId="28" fillId="0" borderId="129" xfId="0" applyNumberFormat="1" applyFont="1" applyBorder="1" applyAlignment="1">
      <alignment/>
    </xf>
    <xf numFmtId="3" fontId="32" fillId="0" borderId="29" xfId="0" applyNumberFormat="1" applyFont="1" applyBorder="1" applyAlignment="1">
      <alignment/>
    </xf>
    <xf numFmtId="3" fontId="32" fillId="0" borderId="130" xfId="0" applyNumberFormat="1" applyFont="1" applyBorder="1" applyAlignment="1">
      <alignment/>
    </xf>
    <xf numFmtId="3" fontId="32" fillId="0" borderId="131" xfId="0" applyNumberFormat="1" applyFont="1" applyBorder="1" applyAlignment="1">
      <alignment/>
    </xf>
    <xf numFmtId="3" fontId="29" fillId="0" borderId="148" xfId="0" applyNumberFormat="1" applyFont="1" applyBorder="1" applyAlignment="1">
      <alignment/>
    </xf>
    <xf numFmtId="0" fontId="32" fillId="0" borderId="30" xfId="0" applyFont="1" applyFill="1" applyBorder="1" applyAlignment="1">
      <alignment/>
    </xf>
    <xf numFmtId="0" fontId="32" fillId="0" borderId="29" xfId="0" applyFont="1" applyFill="1" applyBorder="1" applyAlignment="1">
      <alignment/>
    </xf>
    <xf numFmtId="0" fontId="29" fillId="0" borderId="147" xfId="0" applyFont="1" applyFill="1" applyBorder="1" applyAlignment="1">
      <alignment horizontal="left"/>
    </xf>
    <xf numFmtId="0" fontId="29" fillId="0" borderId="149" xfId="0" applyFont="1" applyFill="1" applyBorder="1" applyAlignment="1">
      <alignment horizontal="left"/>
    </xf>
    <xf numFmtId="0" fontId="29" fillId="0" borderId="149" xfId="0" applyFont="1" applyBorder="1" applyAlignment="1">
      <alignment horizontal="left"/>
    </xf>
    <xf numFmtId="0" fontId="30" fillId="33" borderId="40" xfId="0" applyFont="1" applyFill="1" applyBorder="1" applyAlignment="1">
      <alignment/>
    </xf>
    <xf numFmtId="0" fontId="30" fillId="33" borderId="32" xfId="0" applyFont="1" applyFill="1" applyBorder="1" applyAlignment="1">
      <alignment/>
    </xf>
    <xf numFmtId="0" fontId="69" fillId="33" borderId="63" xfId="0" applyFont="1" applyFill="1" applyBorder="1" applyAlignment="1">
      <alignment horizontal="left"/>
    </xf>
    <xf numFmtId="0" fontId="32" fillId="0" borderId="70" xfId="0" applyFont="1" applyBorder="1" applyAlignment="1">
      <alignment/>
    </xf>
    <xf numFmtId="0" fontId="32" fillId="0" borderId="139" xfId="0" applyFont="1" applyBorder="1" applyAlignment="1">
      <alignment/>
    </xf>
    <xf numFmtId="0" fontId="32" fillId="0" borderId="140" xfId="0" applyFont="1" applyBorder="1" applyAlignment="1">
      <alignment horizontal="center"/>
    </xf>
    <xf numFmtId="0" fontId="29" fillId="0" borderId="150" xfId="0" applyFont="1" applyBorder="1" applyAlignment="1">
      <alignment horizontal="left"/>
    </xf>
    <xf numFmtId="3" fontId="32" fillId="0" borderId="139" xfId="0" applyNumberFormat="1" applyFont="1" applyBorder="1" applyAlignment="1">
      <alignment/>
    </xf>
    <xf numFmtId="3" fontId="32" fillId="0" borderId="140" xfId="0" applyNumberFormat="1" applyFont="1" applyBorder="1" applyAlignment="1">
      <alignment/>
    </xf>
    <xf numFmtId="3" fontId="29" fillId="0" borderId="151" xfId="0" applyNumberFormat="1" applyFont="1" applyBorder="1" applyAlignment="1">
      <alignment/>
    </xf>
    <xf numFmtId="0" fontId="32" fillId="0" borderId="49" xfId="0" applyFont="1" applyBorder="1" applyAlignment="1">
      <alignment/>
    </xf>
    <xf numFmtId="0" fontId="32" fillId="0" borderId="44" xfId="0" applyFont="1" applyBorder="1" applyAlignment="1">
      <alignment/>
    </xf>
    <xf numFmtId="0" fontId="32" fillId="0" borderId="52" xfId="0" applyFont="1" applyBorder="1" applyAlignment="1">
      <alignment horizontal="left"/>
    </xf>
    <xf numFmtId="3" fontId="28" fillId="0" borderId="146" xfId="0" applyNumberFormat="1" applyFont="1" applyBorder="1" applyAlignment="1">
      <alignment/>
    </xf>
    <xf numFmtId="3" fontId="32" fillId="0" borderId="44" xfId="0" applyNumberFormat="1" applyFont="1" applyBorder="1" applyAlignment="1">
      <alignment/>
    </xf>
    <xf numFmtId="3" fontId="32" fillId="0" borderId="106" xfId="0" applyNumberFormat="1" applyFont="1" applyBorder="1" applyAlignment="1">
      <alignment/>
    </xf>
    <xf numFmtId="3" fontId="29" fillId="0" borderId="51" xfId="0" applyNumberFormat="1" applyFont="1" applyBorder="1" applyAlignment="1">
      <alignment/>
    </xf>
    <xf numFmtId="0" fontId="29" fillId="0" borderId="0" xfId="0" applyFont="1" applyAlignment="1">
      <alignment horizontal="left"/>
    </xf>
    <xf numFmtId="0" fontId="82" fillId="0" borderId="0" xfId="0" applyFont="1" applyFill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39" fillId="0" borderId="0" xfId="0" applyFont="1" applyAlignment="1">
      <alignment/>
    </xf>
    <xf numFmtId="0" fontId="87" fillId="0" borderId="0" xfId="0" applyFont="1" applyAlignment="1">
      <alignment/>
    </xf>
    <xf numFmtId="0" fontId="28" fillId="0" borderId="0" xfId="0" applyFont="1" applyAlignment="1">
      <alignment horizontal="center"/>
    </xf>
    <xf numFmtId="3" fontId="28" fillId="0" borderId="12" xfId="0" applyNumberFormat="1" applyFont="1" applyBorder="1" applyAlignment="1">
      <alignment/>
    </xf>
    <xf numFmtId="3" fontId="28" fillId="0" borderId="122" xfId="0" applyNumberFormat="1" applyFont="1" applyBorder="1" applyAlignment="1">
      <alignment/>
    </xf>
    <xf numFmtId="3" fontId="31" fillId="0" borderId="122" xfId="0" applyNumberFormat="1" applyFont="1" applyBorder="1" applyAlignment="1">
      <alignment/>
    </xf>
    <xf numFmtId="3" fontId="31" fillId="0" borderId="30" xfId="0" applyNumberFormat="1" applyFont="1" applyFill="1" applyBorder="1" applyAlignment="1">
      <alignment/>
    </xf>
    <xf numFmtId="3" fontId="31" fillId="0" borderId="139" xfId="0" applyNumberFormat="1" applyFont="1" applyFill="1" applyBorder="1" applyAlignment="1">
      <alignment/>
    </xf>
    <xf numFmtId="3" fontId="28" fillId="0" borderId="104" xfId="0" applyNumberFormat="1" applyFont="1" applyBorder="1" applyAlignment="1">
      <alignment/>
    </xf>
    <xf numFmtId="3" fontId="31" fillId="0" borderId="91" xfId="0" applyNumberFormat="1" applyFont="1" applyBorder="1" applyAlignment="1">
      <alignment/>
    </xf>
    <xf numFmtId="0" fontId="30" fillId="33" borderId="37" xfId="0" applyFont="1" applyFill="1" applyBorder="1" applyAlignment="1">
      <alignment horizontal="center"/>
    </xf>
    <xf numFmtId="0" fontId="39" fillId="0" borderId="152" xfId="0" applyFont="1" applyBorder="1" applyAlignment="1">
      <alignment horizontal="center"/>
    </xf>
    <xf numFmtId="0" fontId="28" fillId="50" borderId="26" xfId="0" applyFont="1" applyFill="1" applyBorder="1" applyAlignment="1">
      <alignment horizontal="center"/>
    </xf>
    <xf numFmtId="0" fontId="30" fillId="33" borderId="26" xfId="0" applyFont="1" applyFill="1" applyBorder="1" applyAlignment="1">
      <alignment horizontal="center"/>
    </xf>
    <xf numFmtId="0" fontId="39" fillId="0" borderId="153" xfId="0" applyFont="1" applyBorder="1" applyAlignment="1">
      <alignment horizontal="center"/>
    </xf>
    <xf numFmtId="0" fontId="30" fillId="33" borderId="146" xfId="0" applyFont="1" applyFill="1" applyBorder="1" applyAlignment="1">
      <alignment horizontal="center"/>
    </xf>
    <xf numFmtId="0" fontId="28" fillId="50" borderId="146" xfId="0" applyFont="1" applyFill="1" applyBorder="1" applyAlignment="1">
      <alignment horizontal="center"/>
    </xf>
    <xf numFmtId="0" fontId="28" fillId="0" borderId="122" xfId="124" applyFont="1" applyBorder="1" applyAlignment="1">
      <alignment horizontal="center"/>
      <protection/>
    </xf>
    <xf numFmtId="3" fontId="38" fillId="0" borderId="149" xfId="124" applyNumberFormat="1" applyFont="1" applyFill="1" applyBorder="1">
      <alignment/>
      <protection/>
    </xf>
    <xf numFmtId="3" fontId="39" fillId="0" borderId="0" xfId="0" applyNumberFormat="1" applyFont="1" applyAlignment="1">
      <alignment/>
    </xf>
    <xf numFmtId="0" fontId="88" fillId="0" borderId="0" xfId="0" applyFont="1" applyAlignment="1">
      <alignment/>
    </xf>
    <xf numFmtId="0" fontId="39" fillId="0" borderId="39" xfId="0" applyFont="1" applyFill="1" applyBorder="1" applyAlignment="1">
      <alignment horizontal="center"/>
    </xf>
    <xf numFmtId="0" fontId="28" fillId="34" borderId="26" xfId="0" applyFont="1" applyFill="1" applyBorder="1" applyAlignment="1">
      <alignment horizontal="center"/>
    </xf>
    <xf numFmtId="0" fontId="39" fillId="0" borderId="35" xfId="0" applyFont="1" applyFill="1" applyBorder="1" applyAlignment="1">
      <alignment horizontal="center"/>
    </xf>
    <xf numFmtId="0" fontId="39" fillId="0" borderId="42" xfId="0" applyFont="1" applyFill="1" applyBorder="1" applyAlignment="1">
      <alignment horizontal="center"/>
    </xf>
    <xf numFmtId="0" fontId="28" fillId="34" borderId="146" xfId="0" applyFont="1" applyFill="1" applyBorder="1" applyAlignment="1">
      <alignment horizontal="center"/>
    </xf>
    <xf numFmtId="0" fontId="30" fillId="33" borderId="18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3" fontId="31" fillId="0" borderId="0" xfId="0" applyNumberFormat="1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3" fontId="89" fillId="0" borderId="0" xfId="0" applyNumberFormat="1" applyFont="1" applyAlignment="1">
      <alignment/>
    </xf>
    <xf numFmtId="4" fontId="91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28" fillId="33" borderId="0" xfId="0" applyFont="1" applyFill="1" applyAlignment="1">
      <alignment/>
    </xf>
    <xf numFmtId="4" fontId="134" fillId="0" borderId="19" xfId="0" applyNumberFormat="1" applyFont="1" applyBorder="1" applyAlignment="1">
      <alignment/>
    </xf>
    <xf numFmtId="0" fontId="129" fillId="40" borderId="22" xfId="0" applyFont="1" applyFill="1" applyBorder="1" applyAlignment="1">
      <alignment horizontal="center" wrapText="1"/>
    </xf>
    <xf numFmtId="0" fontId="124" fillId="40" borderId="23" xfId="0" applyFont="1" applyFill="1" applyBorder="1" applyAlignment="1">
      <alignment horizontal="center" wrapText="1"/>
    </xf>
    <xf numFmtId="0" fontId="129" fillId="40" borderId="15" xfId="0" applyFont="1" applyFill="1" applyBorder="1" applyAlignment="1">
      <alignment horizontal="center" wrapText="1"/>
    </xf>
    <xf numFmtId="0" fontId="124" fillId="40" borderId="11" xfId="0" applyFont="1" applyFill="1" applyBorder="1" applyAlignment="1">
      <alignment horizontal="center" wrapText="1"/>
    </xf>
    <xf numFmtId="4" fontId="124" fillId="40" borderId="11" xfId="0" applyNumberFormat="1" applyFont="1" applyFill="1" applyBorder="1" applyAlignment="1">
      <alignment/>
    </xf>
    <xf numFmtId="4" fontId="129" fillId="40" borderId="19" xfId="0" applyNumberFormat="1" applyFont="1" applyFill="1" applyBorder="1" applyAlignment="1">
      <alignment/>
    </xf>
    <xf numFmtId="4" fontId="124" fillId="40" borderId="23" xfId="0" applyNumberFormat="1" applyFont="1" applyFill="1" applyBorder="1" applyAlignment="1">
      <alignment/>
    </xf>
    <xf numFmtId="4" fontId="129" fillId="40" borderId="24" xfId="0" applyNumberFormat="1" applyFont="1" applyFill="1" applyBorder="1" applyAlignment="1">
      <alignment/>
    </xf>
    <xf numFmtId="3" fontId="32" fillId="0" borderId="16" xfId="0" applyNumberFormat="1" applyFont="1" applyFill="1" applyBorder="1" applyAlignment="1">
      <alignment/>
    </xf>
    <xf numFmtId="0" fontId="32" fillId="40" borderId="33" xfId="0" applyFont="1" applyFill="1" applyBorder="1" applyAlignment="1">
      <alignment horizontal="center"/>
    </xf>
    <xf numFmtId="0" fontId="32" fillId="40" borderId="27" xfId="0" applyFont="1" applyFill="1" applyBorder="1" applyAlignment="1">
      <alignment horizontal="center"/>
    </xf>
    <xf numFmtId="0" fontId="32" fillId="40" borderId="13" xfId="0" applyFont="1" applyFill="1" applyBorder="1" applyAlignment="1">
      <alignment horizontal="center"/>
    </xf>
    <xf numFmtId="3" fontId="32" fillId="40" borderId="11" xfId="0" applyNumberFormat="1" applyFont="1" applyFill="1" applyBorder="1" applyAlignment="1">
      <alignment/>
    </xf>
    <xf numFmtId="3" fontId="32" fillId="40" borderId="38" xfId="0" applyNumberFormat="1" applyFont="1" applyFill="1" applyBorder="1" applyAlignment="1">
      <alignment/>
    </xf>
    <xf numFmtId="3" fontId="64" fillId="40" borderId="19" xfId="0" applyNumberFormat="1" applyFont="1" applyFill="1" applyBorder="1" applyAlignment="1">
      <alignment/>
    </xf>
    <xf numFmtId="3" fontId="32" fillId="40" borderId="13" xfId="0" applyNumberFormat="1" applyFont="1" applyFill="1" applyBorder="1" applyAlignment="1">
      <alignment/>
    </xf>
    <xf numFmtId="3" fontId="32" fillId="40" borderId="19" xfId="0" applyNumberFormat="1" applyFont="1" applyFill="1" applyBorder="1" applyAlignment="1">
      <alignment/>
    </xf>
    <xf numFmtId="1" fontId="38" fillId="44" borderId="56" xfId="0" applyNumberFormat="1" applyFont="1" applyFill="1" applyBorder="1" applyAlignment="1">
      <alignment horizontal="center"/>
    </xf>
    <xf numFmtId="0" fontId="38" fillId="40" borderId="111" xfId="0" applyFont="1" applyFill="1" applyBorder="1" applyAlignment="1">
      <alignment horizontal="center"/>
    </xf>
    <xf numFmtId="0" fontId="38" fillId="40" borderId="107" xfId="0" applyFont="1" applyFill="1" applyBorder="1" applyAlignment="1">
      <alignment horizontal="center"/>
    </xf>
    <xf numFmtId="16" fontId="38" fillId="40" borderId="56" xfId="0" applyNumberFormat="1" applyFont="1" applyFill="1" applyBorder="1" applyAlignment="1">
      <alignment horizontal="center"/>
    </xf>
    <xf numFmtId="0" fontId="38" fillId="40" borderId="109" xfId="0" applyFont="1" applyFill="1" applyBorder="1" applyAlignment="1">
      <alignment horizontal="center"/>
    </xf>
    <xf numFmtId="4" fontId="38" fillId="40" borderId="127" xfId="0" applyNumberFormat="1" applyFont="1" applyFill="1" applyBorder="1" applyAlignment="1">
      <alignment/>
    </xf>
    <xf numFmtId="0" fontId="38" fillId="40" borderId="43" xfId="0" applyFont="1" applyFill="1" applyBorder="1" applyAlignment="1">
      <alignment horizontal="center"/>
    </xf>
    <xf numFmtId="0" fontId="38" fillId="40" borderId="58" xfId="0" applyFont="1" applyFill="1" applyBorder="1" applyAlignment="1">
      <alignment horizontal="center"/>
    </xf>
    <xf numFmtId="0" fontId="38" fillId="40" borderId="154" xfId="0" applyFont="1" applyFill="1" applyBorder="1" applyAlignment="1">
      <alignment horizontal="center"/>
    </xf>
    <xf numFmtId="0" fontId="38" fillId="40" borderId="155" xfId="0" applyFont="1" applyFill="1" applyBorder="1" applyAlignment="1">
      <alignment horizontal="center"/>
    </xf>
    <xf numFmtId="3" fontId="38" fillId="40" borderId="156" xfId="0" applyNumberFormat="1" applyFont="1" applyFill="1" applyBorder="1" applyAlignment="1">
      <alignment/>
    </xf>
    <xf numFmtId="3" fontId="59" fillId="40" borderId="155" xfId="0" applyNumberFormat="1" applyFont="1" applyFill="1" applyBorder="1" applyAlignment="1">
      <alignment/>
    </xf>
    <xf numFmtId="4" fontId="128" fillId="0" borderId="0" xfId="0" applyNumberFormat="1" applyFont="1" applyFill="1" applyAlignment="1">
      <alignment/>
    </xf>
    <xf numFmtId="4" fontId="56" fillId="0" borderId="0" xfId="0" applyNumberFormat="1" applyFont="1" applyFill="1" applyAlignment="1">
      <alignment/>
    </xf>
    <xf numFmtId="4" fontId="32" fillId="44" borderId="23" xfId="0" applyNumberFormat="1" applyFont="1" applyFill="1" applyBorder="1" applyAlignment="1">
      <alignment/>
    </xf>
    <xf numFmtId="4" fontId="32" fillId="44" borderId="39" xfId="0" applyNumberFormat="1" applyFont="1" applyFill="1" applyBorder="1" applyAlignment="1">
      <alignment/>
    </xf>
    <xf numFmtId="4" fontId="64" fillId="44" borderId="24" xfId="0" applyNumberFormat="1" applyFont="1" applyFill="1" applyBorder="1" applyAlignment="1">
      <alignment/>
    </xf>
    <xf numFmtId="4" fontId="32" fillId="44" borderId="36" xfId="0" applyNumberFormat="1" applyFont="1" applyFill="1" applyBorder="1" applyAlignment="1">
      <alignment/>
    </xf>
    <xf numFmtId="4" fontId="32" fillId="44" borderId="24" xfId="0" applyNumberFormat="1" applyFont="1" applyFill="1" applyBorder="1" applyAlignment="1">
      <alignment/>
    </xf>
    <xf numFmtId="10" fontId="29" fillId="0" borderId="18" xfId="0" applyNumberFormat="1" applyFont="1" applyBorder="1" applyAlignment="1">
      <alignment horizontal="center"/>
    </xf>
    <xf numFmtId="10" fontId="29" fillId="0" borderId="24" xfId="0" applyNumberFormat="1" applyFont="1" applyBorder="1" applyAlignment="1">
      <alignment horizontal="center"/>
    </xf>
    <xf numFmtId="3" fontId="28" fillId="34" borderId="16" xfId="0" applyNumberFormat="1" applyFont="1" applyFill="1" applyBorder="1" applyAlignment="1">
      <alignment/>
    </xf>
    <xf numFmtId="0" fontId="32" fillId="41" borderId="0" xfId="0" applyFont="1" applyFill="1" applyAlignment="1">
      <alignment/>
    </xf>
    <xf numFmtId="0" fontId="38" fillId="40" borderId="47" xfId="0" applyFont="1" applyFill="1" applyBorder="1" applyAlignment="1">
      <alignment horizontal="center"/>
    </xf>
    <xf numFmtId="0" fontId="38" fillId="44" borderId="47" xfId="0" applyFont="1" applyFill="1" applyBorder="1" applyAlignment="1">
      <alignment horizontal="center"/>
    </xf>
    <xf numFmtId="0" fontId="38" fillId="0" borderId="127" xfId="0" applyFont="1" applyFill="1" applyBorder="1" applyAlignment="1">
      <alignment horizontal="center"/>
    </xf>
    <xf numFmtId="0" fontId="38" fillId="40" borderId="127" xfId="0" applyFont="1" applyFill="1" applyBorder="1" applyAlignment="1">
      <alignment horizontal="center"/>
    </xf>
    <xf numFmtId="0" fontId="38" fillId="44" borderId="148" xfId="0" applyFont="1" applyFill="1" applyBorder="1" applyAlignment="1">
      <alignment horizontal="center"/>
    </xf>
    <xf numFmtId="0" fontId="73" fillId="0" borderId="15" xfId="0" applyFont="1" applyBorder="1" applyAlignment="1">
      <alignment horizontal="right"/>
    </xf>
    <xf numFmtId="0" fontId="28" fillId="0" borderId="11" xfId="0" applyFont="1" applyBorder="1" applyAlignment="1">
      <alignment horizontal="right"/>
    </xf>
    <xf numFmtId="3" fontId="28" fillId="41" borderId="91" xfId="0" applyNumberFormat="1" applyFont="1" applyFill="1" applyBorder="1" applyAlignment="1">
      <alignment/>
    </xf>
    <xf numFmtId="3" fontId="29" fillId="44" borderId="23" xfId="0" applyNumberFormat="1" applyFont="1" applyFill="1" applyBorder="1" applyAlignment="1">
      <alignment/>
    </xf>
    <xf numFmtId="3" fontId="59" fillId="41" borderId="113" xfId="0" applyNumberFormat="1" applyFont="1" applyFill="1" applyBorder="1" applyAlignment="1">
      <alignment/>
    </xf>
    <xf numFmtId="4" fontId="38" fillId="41" borderId="127" xfId="0" applyNumberFormat="1" applyFont="1" applyFill="1" applyBorder="1" applyAlignment="1">
      <alignment/>
    </xf>
    <xf numFmtId="4" fontId="59" fillId="41" borderId="109" xfId="0" applyNumberFormat="1" applyFont="1" applyFill="1" applyBorder="1" applyAlignment="1">
      <alignment/>
    </xf>
    <xf numFmtId="4" fontId="32" fillId="44" borderId="11" xfId="0" applyNumberFormat="1" applyFont="1" applyFill="1" applyBorder="1" applyAlignment="1">
      <alignment/>
    </xf>
    <xf numFmtId="4" fontId="32" fillId="44" borderId="38" xfId="0" applyNumberFormat="1" applyFont="1" applyFill="1" applyBorder="1" applyAlignment="1">
      <alignment/>
    </xf>
    <xf numFmtId="4" fontId="64" fillId="44" borderId="19" xfId="0" applyNumberFormat="1" applyFont="1" applyFill="1" applyBorder="1" applyAlignment="1">
      <alignment/>
    </xf>
    <xf numFmtId="4" fontId="32" fillId="44" borderId="13" xfId="0" applyNumberFormat="1" applyFont="1" applyFill="1" applyBorder="1" applyAlignment="1">
      <alignment/>
    </xf>
    <xf numFmtId="4" fontId="32" fillId="44" borderId="19" xfId="0" applyNumberFormat="1" applyFont="1" applyFill="1" applyBorder="1" applyAlignment="1">
      <alignment/>
    </xf>
    <xf numFmtId="0" fontId="28" fillId="40" borderId="47" xfId="0" applyFont="1" applyFill="1" applyBorder="1" applyAlignment="1">
      <alignment horizontal="center"/>
    </xf>
    <xf numFmtId="0" fontId="28" fillId="40" borderId="51" xfId="0" applyFont="1" applyFill="1" applyBorder="1" applyAlignment="1">
      <alignment horizontal="center"/>
    </xf>
    <xf numFmtId="0" fontId="28" fillId="52" borderId="47" xfId="0" applyFont="1" applyFill="1" applyBorder="1" applyAlignment="1">
      <alignment horizontal="center"/>
    </xf>
    <xf numFmtId="0" fontId="28" fillId="52" borderId="51" xfId="0" applyFont="1" applyFill="1" applyBorder="1" applyAlignment="1">
      <alignment horizontal="center"/>
    </xf>
    <xf numFmtId="0" fontId="28" fillId="44" borderId="40" xfId="0" applyFont="1" applyFill="1" applyBorder="1" applyAlignment="1">
      <alignment/>
    </xf>
    <xf numFmtId="0" fontId="32" fillId="0" borderId="69" xfId="0" applyFont="1" applyFill="1" applyBorder="1" applyAlignment="1">
      <alignment/>
    </xf>
    <xf numFmtId="0" fontId="32" fillId="0" borderId="157" xfId="0" applyFont="1" applyFill="1" applyBorder="1" applyAlignment="1">
      <alignment/>
    </xf>
    <xf numFmtId="0" fontId="28" fillId="0" borderId="67" xfId="0" applyFont="1" applyFill="1" applyBorder="1" applyAlignment="1">
      <alignment horizontal="right"/>
    </xf>
    <xf numFmtId="0" fontId="28" fillId="0" borderId="65" xfId="0" applyFont="1" applyFill="1" applyBorder="1" applyAlignment="1">
      <alignment horizontal="right"/>
    </xf>
    <xf numFmtId="0" fontId="28" fillId="0" borderId="158" xfId="0" applyFont="1" applyFill="1" applyBorder="1" applyAlignment="1">
      <alignment horizontal="center"/>
    </xf>
    <xf numFmtId="0" fontId="28" fillId="48" borderId="159" xfId="0" applyFont="1" applyFill="1" applyBorder="1" applyAlignment="1">
      <alignment/>
    </xf>
    <xf numFmtId="0" fontId="28" fillId="0" borderId="16" xfId="0" applyFont="1" applyBorder="1" applyAlignment="1">
      <alignment horizontal="center"/>
    </xf>
    <xf numFmtId="0" fontId="28" fillId="0" borderId="160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1" fillId="0" borderId="32" xfId="0" applyFont="1" applyFill="1" applyBorder="1" applyAlignment="1">
      <alignment/>
    </xf>
    <xf numFmtId="3" fontId="81" fillId="0" borderId="0" xfId="0" applyNumberFormat="1" applyFont="1" applyAlignment="1">
      <alignment/>
    </xf>
    <xf numFmtId="0" fontId="92" fillId="0" borderId="0" xfId="0" applyFont="1" applyAlignment="1">
      <alignment/>
    </xf>
    <xf numFmtId="0" fontId="81" fillId="0" borderId="0" xfId="0" applyFont="1" applyAlignment="1">
      <alignment/>
    </xf>
    <xf numFmtId="3" fontId="30" fillId="33" borderId="26" xfId="0" applyNumberFormat="1" applyFont="1" applyFill="1" applyBorder="1" applyAlignment="1">
      <alignment/>
    </xf>
    <xf numFmtId="3" fontId="28" fillId="0" borderId="103" xfId="0" applyNumberFormat="1" applyFont="1" applyBorder="1" applyAlignment="1">
      <alignment/>
    </xf>
    <xf numFmtId="3" fontId="28" fillId="0" borderId="161" xfId="0" applyNumberFormat="1" applyFont="1" applyBorder="1" applyAlignment="1">
      <alignment/>
    </xf>
    <xf numFmtId="3" fontId="81" fillId="33" borderId="16" xfId="0" applyNumberFormat="1" applyFont="1" applyFill="1" applyBorder="1" applyAlignment="1">
      <alignment/>
    </xf>
    <xf numFmtId="3" fontId="31" fillId="34" borderId="16" xfId="0" applyNumberFormat="1" applyFont="1" applyFill="1" applyBorder="1" applyAlignment="1">
      <alignment/>
    </xf>
    <xf numFmtId="4" fontId="31" fillId="0" borderId="0" xfId="0" applyNumberFormat="1" applyFont="1" applyAlignment="1">
      <alignment/>
    </xf>
    <xf numFmtId="0" fontId="4" fillId="0" borderId="0" xfId="94" applyFont="1" applyBorder="1" applyAlignment="1">
      <alignment horizontal="center"/>
      <protection/>
    </xf>
    <xf numFmtId="0" fontId="4" fillId="0" borderId="0" xfId="94" applyFont="1" applyBorder="1">
      <alignment/>
      <protection/>
    </xf>
    <xf numFmtId="0" fontId="4" fillId="0" borderId="0" xfId="94" applyFont="1" applyFill="1" applyBorder="1">
      <alignment/>
      <protection/>
    </xf>
    <xf numFmtId="0" fontId="4" fillId="0" borderId="0" xfId="94" applyBorder="1">
      <alignment/>
      <protection/>
    </xf>
    <xf numFmtId="9" fontId="37" fillId="0" borderId="0" xfId="0" applyNumberFormat="1" applyFont="1" applyAlignment="1">
      <alignment/>
    </xf>
    <xf numFmtId="0" fontId="28" fillId="0" borderId="76" xfId="0" applyFont="1" applyFill="1" applyBorder="1" applyAlignment="1">
      <alignment horizontal="center" wrapText="1"/>
    </xf>
    <xf numFmtId="0" fontId="28" fillId="0" borderId="21" xfId="0" applyFont="1" applyFill="1" applyBorder="1" applyAlignment="1">
      <alignment horizontal="center" wrapText="1"/>
    </xf>
    <xf numFmtId="0" fontId="28" fillId="0" borderId="81" xfId="0" applyFont="1" applyFill="1" applyBorder="1" applyAlignment="1">
      <alignment horizontal="center" wrapText="1"/>
    </xf>
    <xf numFmtId="0" fontId="133" fillId="0" borderId="16" xfId="0" applyFont="1" applyBorder="1" applyAlignment="1">
      <alignment/>
    </xf>
    <xf numFmtId="3" fontId="32" fillId="0" borderId="22" xfId="0" applyNumberFormat="1" applyFont="1" applyFill="1" applyBorder="1" applyAlignment="1">
      <alignment/>
    </xf>
    <xf numFmtId="3" fontId="32" fillId="0" borderId="23" xfId="0" applyNumberFormat="1" applyFont="1" applyFill="1" applyBorder="1" applyAlignment="1">
      <alignment/>
    </xf>
    <xf numFmtId="3" fontId="32" fillId="0" borderId="37" xfId="0" applyNumberFormat="1" applyFont="1" applyFill="1" applyBorder="1" applyAlignment="1">
      <alignment/>
    </xf>
    <xf numFmtId="3" fontId="32" fillId="0" borderId="28" xfId="0" applyNumberFormat="1" applyFont="1" applyFill="1" applyBorder="1" applyAlignment="1">
      <alignment/>
    </xf>
    <xf numFmtId="3" fontId="32" fillId="0" borderId="25" xfId="0" applyNumberFormat="1" applyFont="1" applyFill="1" applyBorder="1" applyAlignment="1">
      <alignment/>
    </xf>
    <xf numFmtId="0" fontId="34" fillId="0" borderId="0" xfId="0" applyFont="1" applyAlignment="1">
      <alignment/>
    </xf>
    <xf numFmtId="3" fontId="37" fillId="0" borderId="0" xfId="0" applyNumberFormat="1" applyFont="1" applyAlignment="1">
      <alignment/>
    </xf>
    <xf numFmtId="3" fontId="31" fillId="0" borderId="11" xfId="0" applyNumberFormat="1" applyFont="1" applyBorder="1" applyAlignment="1">
      <alignment/>
    </xf>
    <xf numFmtId="9" fontId="127" fillId="40" borderId="23" xfId="0" applyNumberFormat="1" applyFont="1" applyFill="1" applyBorder="1" applyAlignment="1">
      <alignment/>
    </xf>
    <xf numFmtId="9" fontId="127" fillId="0" borderId="23" xfId="0" applyNumberFormat="1" applyFont="1" applyBorder="1" applyAlignment="1">
      <alignment/>
    </xf>
    <xf numFmtId="9" fontId="127" fillId="0" borderId="23" xfId="0" applyNumberFormat="1" applyFont="1" applyFill="1" applyBorder="1" applyAlignment="1">
      <alignment/>
    </xf>
    <xf numFmtId="9" fontId="131" fillId="43" borderId="81" xfId="0" applyNumberFormat="1" applyFont="1" applyFill="1" applyBorder="1" applyAlignment="1">
      <alignment/>
    </xf>
    <xf numFmtId="3" fontId="121" fillId="53" borderId="11" xfId="0" applyNumberFormat="1" applyFont="1" applyFill="1" applyBorder="1" applyAlignment="1">
      <alignment/>
    </xf>
    <xf numFmtId="3" fontId="31" fillId="0" borderId="31" xfId="0" applyNumberFormat="1" applyFont="1" applyFill="1" applyBorder="1" applyAlignment="1">
      <alignment/>
    </xf>
    <xf numFmtId="3" fontId="31" fillId="0" borderId="162" xfId="0" applyNumberFormat="1" applyFont="1" applyFill="1" applyBorder="1" applyAlignment="1">
      <alignment/>
    </xf>
    <xf numFmtId="3" fontId="31" fillId="0" borderId="163" xfId="0" applyNumberFormat="1" applyFont="1" applyFill="1" applyBorder="1" applyAlignment="1">
      <alignment/>
    </xf>
    <xf numFmtId="3" fontId="30" fillId="33" borderId="99" xfId="0" applyNumberFormat="1" applyFont="1" applyFill="1" applyBorder="1" applyAlignment="1">
      <alignment/>
    </xf>
    <xf numFmtId="3" fontId="30" fillId="33" borderId="164" xfId="0" applyNumberFormat="1" applyFont="1" applyFill="1" applyBorder="1" applyAlignment="1">
      <alignment/>
    </xf>
    <xf numFmtId="0" fontId="31" fillId="0" borderId="44" xfId="0" applyFont="1" applyBorder="1" applyAlignment="1">
      <alignment/>
    </xf>
    <xf numFmtId="3" fontId="31" fillId="0" borderId="44" xfId="0" applyNumberFormat="1" applyFont="1" applyBorder="1" applyAlignment="1">
      <alignment/>
    </xf>
    <xf numFmtId="3" fontId="31" fillId="0" borderId="50" xfId="0" applyNumberFormat="1" applyFont="1" applyBorder="1" applyAlignment="1">
      <alignment/>
    </xf>
    <xf numFmtId="3" fontId="31" fillId="0" borderId="106" xfId="0" applyNumberFormat="1" applyFont="1" applyBorder="1" applyAlignment="1">
      <alignment/>
    </xf>
    <xf numFmtId="3" fontId="85" fillId="0" borderId="42" xfId="0" applyNumberFormat="1" applyFont="1" applyFill="1" applyBorder="1" applyAlignment="1">
      <alignment/>
    </xf>
    <xf numFmtId="3" fontId="31" fillId="34" borderId="26" xfId="0" applyNumberFormat="1" applyFont="1" applyFill="1" applyBorder="1" applyAlignment="1">
      <alignment/>
    </xf>
    <xf numFmtId="0" fontId="31" fillId="0" borderId="72" xfId="0" applyFont="1" applyBorder="1" applyAlignment="1">
      <alignment/>
    </xf>
    <xf numFmtId="3" fontId="81" fillId="33" borderId="163" xfId="0" applyNumberFormat="1" applyFont="1" applyFill="1" applyBorder="1" applyAlignment="1">
      <alignment/>
    </xf>
    <xf numFmtId="3" fontId="81" fillId="33" borderId="73" xfId="0" applyNumberFormat="1" applyFont="1" applyFill="1" applyBorder="1" applyAlignment="1">
      <alignment/>
    </xf>
    <xf numFmtId="3" fontId="31" fillId="34" borderId="65" xfId="0" applyNumberFormat="1" applyFont="1" applyFill="1" applyBorder="1" applyAlignment="1">
      <alignment/>
    </xf>
    <xf numFmtId="0" fontId="41" fillId="0" borderId="0" xfId="0" applyFont="1" applyAlignment="1">
      <alignment/>
    </xf>
    <xf numFmtId="3" fontId="0" fillId="0" borderId="0" xfId="0" applyNumberFormat="1" applyAlignment="1">
      <alignment/>
    </xf>
    <xf numFmtId="4" fontId="32" fillId="0" borderId="0" xfId="0" applyNumberFormat="1" applyFont="1" applyAlignment="1">
      <alignment/>
    </xf>
    <xf numFmtId="3" fontId="28" fillId="0" borderId="165" xfId="0" applyNumberFormat="1" applyFont="1" applyBorder="1" applyAlignment="1">
      <alignment/>
    </xf>
    <xf numFmtId="3" fontId="28" fillId="0" borderId="144" xfId="0" applyNumberFormat="1" applyFont="1" applyBorder="1" applyAlignment="1">
      <alignment/>
    </xf>
    <xf numFmtId="3" fontId="31" fillId="0" borderId="140" xfId="0" applyNumberFormat="1" applyFont="1" applyBorder="1" applyAlignment="1">
      <alignment/>
    </xf>
    <xf numFmtId="3" fontId="29" fillId="16" borderId="62" xfId="0" applyNumberFormat="1" applyFont="1" applyFill="1" applyBorder="1" applyAlignment="1">
      <alignment/>
    </xf>
    <xf numFmtId="3" fontId="59" fillId="44" borderId="42" xfId="0" applyNumberFormat="1" applyFont="1" applyFill="1" applyBorder="1" applyAlignment="1">
      <alignment/>
    </xf>
    <xf numFmtId="3" fontId="28" fillId="0" borderId="125" xfId="0" applyNumberFormat="1" applyFont="1" applyBorder="1" applyAlignment="1">
      <alignment/>
    </xf>
    <xf numFmtId="3" fontId="28" fillId="0" borderId="95" xfId="0" applyNumberFormat="1" applyFont="1" applyBorder="1" applyAlignment="1">
      <alignment/>
    </xf>
    <xf numFmtId="3" fontId="28" fillId="34" borderId="26" xfId="0" applyNumberFormat="1" applyFont="1" applyFill="1" applyBorder="1" applyAlignment="1">
      <alignment/>
    </xf>
    <xf numFmtId="3" fontId="28" fillId="0" borderId="166" xfId="0" applyNumberFormat="1" applyFont="1" applyBorder="1" applyAlignment="1">
      <alignment/>
    </xf>
    <xf numFmtId="0" fontId="28" fillId="50" borderId="37" xfId="0" applyFont="1" applyFill="1" applyBorder="1" applyAlignment="1">
      <alignment horizontal="center"/>
    </xf>
    <xf numFmtId="3" fontId="81" fillId="33" borderId="167" xfId="0" applyNumberFormat="1" applyFont="1" applyFill="1" applyBorder="1" applyAlignment="1">
      <alignment/>
    </xf>
    <xf numFmtId="3" fontId="81" fillId="33" borderId="99" xfId="0" applyNumberFormat="1" applyFont="1" applyFill="1" applyBorder="1" applyAlignment="1">
      <alignment/>
    </xf>
    <xf numFmtId="3" fontId="28" fillId="50" borderId="76" xfId="0" applyNumberFormat="1" applyFont="1" applyFill="1" applyBorder="1" applyAlignment="1">
      <alignment/>
    </xf>
    <xf numFmtId="3" fontId="28" fillId="50" borderId="168" xfId="0" applyNumberFormat="1" applyFont="1" applyFill="1" applyBorder="1" applyAlignment="1">
      <alignment/>
    </xf>
    <xf numFmtId="3" fontId="81" fillId="33" borderId="32" xfId="0" applyNumberFormat="1" applyFont="1" applyFill="1" applyBorder="1" applyAlignment="1">
      <alignment/>
    </xf>
    <xf numFmtId="3" fontId="31" fillId="50" borderId="40" xfId="0" applyNumberFormat="1" applyFont="1" applyFill="1" applyBorder="1" applyAlignment="1">
      <alignment/>
    </xf>
    <xf numFmtId="3" fontId="31" fillId="50" borderId="99" xfId="0" applyNumberFormat="1" applyFont="1" applyFill="1" applyBorder="1" applyAlignment="1">
      <alignment/>
    </xf>
    <xf numFmtId="3" fontId="31" fillId="0" borderId="163" xfId="0" applyNumberFormat="1" applyFont="1" applyBorder="1" applyAlignment="1">
      <alignment/>
    </xf>
    <xf numFmtId="3" fontId="81" fillId="33" borderId="162" xfId="0" applyNumberFormat="1" applyFont="1" applyFill="1" applyBorder="1" applyAlignment="1">
      <alignment/>
    </xf>
    <xf numFmtId="3" fontId="81" fillId="33" borderId="166" xfId="0" applyNumberFormat="1" applyFont="1" applyFill="1" applyBorder="1" applyAlignment="1">
      <alignment/>
    </xf>
    <xf numFmtId="3" fontId="28" fillId="0" borderId="92" xfId="0" applyNumberFormat="1" applyFont="1" applyBorder="1" applyAlignment="1">
      <alignment/>
    </xf>
    <xf numFmtId="0" fontId="30" fillId="52" borderId="0" xfId="0" applyFont="1" applyFill="1" applyAlignment="1">
      <alignment/>
    </xf>
    <xf numFmtId="0" fontId="28" fillId="52" borderId="0" xfId="0" applyFont="1" applyFill="1" applyAlignment="1">
      <alignment/>
    </xf>
    <xf numFmtId="0" fontId="79" fillId="52" borderId="0" xfId="0" applyFont="1" applyFill="1" applyAlignment="1">
      <alignment/>
    </xf>
    <xf numFmtId="0" fontId="132" fillId="0" borderId="0" xfId="0" applyFont="1" applyAlignment="1">
      <alignment/>
    </xf>
    <xf numFmtId="0" fontId="121" fillId="0" borderId="11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4" fontId="38" fillId="0" borderId="127" xfId="0" applyNumberFormat="1" applyFont="1" applyFill="1" applyBorder="1" applyAlignment="1">
      <alignment/>
    </xf>
    <xf numFmtId="4" fontId="38" fillId="0" borderId="114" xfId="0" applyNumberFormat="1" applyFont="1" applyFill="1" applyBorder="1" applyAlignment="1">
      <alignment/>
    </xf>
    <xf numFmtId="3" fontId="41" fillId="0" borderId="11" xfId="0" applyNumberFormat="1" applyFont="1" applyBorder="1" applyAlignment="1">
      <alignment/>
    </xf>
    <xf numFmtId="0" fontId="30" fillId="33" borderId="47" xfId="0" applyFont="1" applyFill="1" applyBorder="1" applyAlignment="1">
      <alignment horizontal="center"/>
    </xf>
    <xf numFmtId="0" fontId="30" fillId="33" borderId="51" xfId="0" applyFont="1" applyFill="1" applyBorder="1" applyAlignment="1">
      <alignment horizontal="center"/>
    </xf>
    <xf numFmtId="3" fontId="30" fillId="33" borderId="85" xfId="0" applyNumberFormat="1" applyFont="1" applyFill="1" applyBorder="1" applyAlignment="1">
      <alignment/>
    </xf>
    <xf numFmtId="0" fontId="28" fillId="0" borderId="46" xfId="0" applyFont="1" applyBorder="1" applyAlignment="1">
      <alignment horizontal="right"/>
    </xf>
    <xf numFmtId="0" fontId="28" fillId="0" borderId="86" xfId="0" applyFont="1" applyBorder="1" applyAlignment="1">
      <alignment horizontal="center"/>
    </xf>
    <xf numFmtId="3" fontId="30" fillId="33" borderId="169" xfId="0" applyNumberFormat="1" applyFont="1" applyFill="1" applyBorder="1" applyAlignment="1">
      <alignment/>
    </xf>
    <xf numFmtId="3" fontId="30" fillId="33" borderId="151" xfId="0" applyNumberFormat="1" applyFont="1" applyFill="1" applyBorder="1" applyAlignment="1">
      <alignment/>
    </xf>
    <xf numFmtId="3" fontId="30" fillId="33" borderId="40" xfId="0" applyNumberFormat="1" applyFont="1" applyFill="1" applyBorder="1" applyAlignment="1">
      <alignment/>
    </xf>
    <xf numFmtId="3" fontId="30" fillId="33" borderId="24" xfId="0" applyNumberFormat="1" applyFont="1" applyFill="1" applyBorder="1" applyAlignment="1">
      <alignment/>
    </xf>
    <xf numFmtId="3" fontId="32" fillId="0" borderId="13" xfId="0" applyNumberFormat="1" applyFont="1" applyFill="1" applyBorder="1" applyAlignment="1">
      <alignment/>
    </xf>
    <xf numFmtId="0" fontId="135" fillId="0" borderId="0" xfId="0" applyFont="1" applyAlignment="1">
      <alignment/>
    </xf>
    <xf numFmtId="0" fontId="94" fillId="0" borderId="0" xfId="0" applyFont="1" applyAlignment="1">
      <alignment/>
    </xf>
    <xf numFmtId="0" fontId="67" fillId="0" borderId="0" xfId="94" applyFont="1">
      <alignment/>
      <protection/>
    </xf>
    <xf numFmtId="0" fontId="66" fillId="0" borderId="0" xfId="94" applyFont="1" applyFill="1">
      <alignment/>
      <protection/>
    </xf>
    <xf numFmtId="0" fontId="136" fillId="54" borderId="170" xfId="0" applyFont="1" applyFill="1" applyBorder="1" applyAlignment="1">
      <alignment horizontal="left" vertical="center"/>
    </xf>
    <xf numFmtId="0" fontId="136" fillId="54" borderId="170" xfId="0" applyFont="1" applyFill="1" applyBorder="1" applyAlignment="1">
      <alignment horizontal="center" vertical="center"/>
    </xf>
    <xf numFmtId="0" fontId="137" fillId="54" borderId="170" xfId="0" applyFont="1" applyFill="1" applyBorder="1" applyAlignment="1">
      <alignment horizontal="center" vertical="center"/>
    </xf>
    <xf numFmtId="0" fontId="135" fillId="44" borderId="0" xfId="0" applyFont="1" applyFill="1" applyBorder="1" applyAlignment="1">
      <alignment vertical="center"/>
    </xf>
    <xf numFmtId="3" fontId="135" fillId="44" borderId="0" xfId="0" applyNumberFormat="1" applyFont="1" applyFill="1" applyBorder="1" applyAlignment="1">
      <alignment vertical="center"/>
    </xf>
    <xf numFmtId="0" fontId="135" fillId="43" borderId="171" xfId="0" applyFont="1" applyFill="1" applyBorder="1" applyAlignment="1">
      <alignment horizontal="left"/>
    </xf>
    <xf numFmtId="0" fontId="135" fillId="43" borderId="172" xfId="0" applyFont="1" applyFill="1" applyBorder="1" applyAlignment="1">
      <alignment horizontal="left"/>
    </xf>
    <xf numFmtId="3" fontId="138" fillId="43" borderId="170" xfId="0" applyNumberFormat="1" applyFont="1" applyFill="1" applyBorder="1" applyAlignment="1">
      <alignment horizontal="right" vertical="center"/>
    </xf>
    <xf numFmtId="3" fontId="135" fillId="43" borderId="170" xfId="0" applyNumberFormat="1" applyFont="1" applyFill="1" applyBorder="1" applyAlignment="1">
      <alignment horizontal="right" vertical="center"/>
    </xf>
    <xf numFmtId="0" fontId="139" fillId="0" borderId="173" xfId="0" applyFont="1" applyBorder="1" applyAlignment="1">
      <alignment horizontal="left" indent="2"/>
    </xf>
    <xf numFmtId="0" fontId="139" fillId="0" borderId="172" xfId="0" applyFont="1" applyBorder="1" applyAlignment="1">
      <alignment horizontal="left" indent="2"/>
    </xf>
    <xf numFmtId="3" fontId="140" fillId="0" borderId="170" xfId="0" applyNumberFormat="1" applyFont="1" applyBorder="1" applyAlignment="1">
      <alignment horizontal="right" vertical="center"/>
    </xf>
    <xf numFmtId="3" fontId="139" fillId="0" borderId="170" xfId="0" applyNumberFormat="1" applyFont="1" applyBorder="1" applyAlignment="1">
      <alignment horizontal="right" vertical="center"/>
    </xf>
    <xf numFmtId="0" fontId="135" fillId="43" borderId="173" xfId="0" applyFont="1" applyFill="1" applyBorder="1" applyAlignment="1">
      <alignment horizontal="left"/>
    </xf>
    <xf numFmtId="0" fontId="100" fillId="0" borderId="0" xfId="94" applyFont="1">
      <alignment/>
      <protection/>
    </xf>
    <xf numFmtId="0" fontId="66" fillId="0" borderId="0" xfId="94" applyFont="1">
      <alignment/>
      <protection/>
    </xf>
    <xf numFmtId="3" fontId="30" fillId="33" borderId="61" xfId="0" applyNumberFormat="1" applyFont="1" applyFill="1" applyBorder="1" applyAlignment="1">
      <alignment/>
    </xf>
    <xf numFmtId="3" fontId="30" fillId="33" borderId="98" xfId="0" applyNumberFormat="1" applyFont="1" applyFill="1" applyBorder="1" applyAlignment="1">
      <alignment/>
    </xf>
    <xf numFmtId="3" fontId="30" fillId="33" borderId="19" xfId="0" applyNumberFormat="1" applyFont="1" applyFill="1" applyBorder="1" applyAlignment="1">
      <alignment/>
    </xf>
    <xf numFmtId="3" fontId="28" fillId="34" borderId="40" xfId="0" applyNumberFormat="1" applyFont="1" applyFill="1" applyBorder="1" applyAlignment="1">
      <alignment/>
    </xf>
    <xf numFmtId="3" fontId="28" fillId="34" borderId="19" xfId="0" applyNumberFormat="1" applyFont="1" applyFill="1" applyBorder="1" applyAlignment="1">
      <alignment/>
    </xf>
    <xf numFmtId="3" fontId="28" fillId="0" borderId="174" xfId="0" applyNumberFormat="1" applyFont="1" applyBorder="1" applyAlignment="1">
      <alignment/>
    </xf>
    <xf numFmtId="3" fontId="28" fillId="0" borderId="175" xfId="0" applyNumberFormat="1" applyFont="1" applyBorder="1" applyAlignment="1">
      <alignment/>
    </xf>
    <xf numFmtId="3" fontId="31" fillId="0" borderId="72" xfId="0" applyNumberFormat="1" applyFont="1" applyFill="1" applyBorder="1" applyAlignment="1">
      <alignment/>
    </xf>
    <xf numFmtId="3" fontId="81" fillId="33" borderId="72" xfId="0" applyNumberFormat="1" applyFont="1" applyFill="1" applyBorder="1" applyAlignment="1">
      <alignment/>
    </xf>
    <xf numFmtId="3" fontId="81" fillId="33" borderId="176" xfId="0" applyNumberFormat="1" applyFont="1" applyFill="1" applyBorder="1" applyAlignment="1">
      <alignment/>
    </xf>
    <xf numFmtId="3" fontId="81" fillId="33" borderId="23" xfId="0" applyNumberFormat="1" applyFont="1" applyFill="1" applyBorder="1" applyAlignment="1">
      <alignment/>
    </xf>
    <xf numFmtId="3" fontId="31" fillId="34" borderId="72" xfId="0" applyNumberFormat="1" applyFont="1" applyFill="1" applyBorder="1" applyAlignment="1">
      <alignment/>
    </xf>
    <xf numFmtId="3" fontId="31" fillId="34" borderId="11" xfId="0" applyNumberFormat="1" applyFont="1" applyFill="1" applyBorder="1" applyAlignment="1">
      <alignment/>
    </xf>
    <xf numFmtId="3" fontId="30" fillId="33" borderId="177" xfId="0" applyNumberFormat="1" applyFont="1" applyFill="1" applyBorder="1" applyAlignment="1">
      <alignment/>
    </xf>
    <xf numFmtId="3" fontId="31" fillId="0" borderId="38" xfId="0" applyNumberFormat="1" applyFont="1" applyBorder="1" applyAlignment="1">
      <alignment/>
    </xf>
    <xf numFmtId="3" fontId="28" fillId="0" borderId="178" xfId="0" applyNumberFormat="1" applyFont="1" applyBorder="1" applyAlignment="1">
      <alignment/>
    </xf>
    <xf numFmtId="3" fontId="28" fillId="0" borderId="178" xfId="0" applyNumberFormat="1" applyFont="1" applyFill="1" applyBorder="1" applyAlignment="1">
      <alignment/>
    </xf>
    <xf numFmtId="3" fontId="28" fillId="0" borderId="132" xfId="0" applyNumberFormat="1" applyFont="1" applyBorder="1" applyAlignment="1">
      <alignment/>
    </xf>
    <xf numFmtId="3" fontId="38" fillId="0" borderId="92" xfId="0" applyNumberFormat="1" applyFont="1" applyBorder="1" applyAlignment="1">
      <alignment/>
    </xf>
    <xf numFmtId="3" fontId="38" fillId="0" borderId="92" xfId="124" applyNumberFormat="1" applyFont="1" applyFill="1" applyBorder="1">
      <alignment/>
      <protection/>
    </xf>
    <xf numFmtId="3" fontId="28" fillId="0" borderId="179" xfId="0" applyNumberFormat="1" applyFont="1" applyBorder="1" applyAlignment="1">
      <alignment/>
    </xf>
    <xf numFmtId="3" fontId="28" fillId="50" borderId="0" xfId="0" applyNumberFormat="1" applyFont="1" applyFill="1" applyBorder="1" applyAlignment="1">
      <alignment/>
    </xf>
    <xf numFmtId="3" fontId="31" fillId="50" borderId="32" xfId="0" applyNumberFormat="1" applyFont="1" applyFill="1" applyBorder="1" applyAlignment="1">
      <alignment/>
    </xf>
    <xf numFmtId="3" fontId="39" fillId="0" borderId="35" xfId="0" applyNumberFormat="1" applyFont="1" applyBorder="1" applyAlignment="1">
      <alignment horizontal="center"/>
    </xf>
    <xf numFmtId="3" fontId="39" fillId="0" borderId="42" xfId="0" applyNumberFormat="1" applyFont="1" applyBorder="1" applyAlignment="1">
      <alignment/>
    </xf>
    <xf numFmtId="3" fontId="39" fillId="0" borderId="35" xfId="0" applyNumberFormat="1" applyFont="1" applyBorder="1" applyAlignment="1">
      <alignment/>
    </xf>
    <xf numFmtId="3" fontId="39" fillId="0" borderId="115" xfId="0" applyNumberFormat="1" applyFont="1" applyBorder="1" applyAlignment="1">
      <alignment/>
    </xf>
    <xf numFmtId="3" fontId="39" fillId="0" borderId="142" xfId="0" applyNumberFormat="1" applyFont="1" applyBorder="1" applyAlignment="1">
      <alignment/>
    </xf>
    <xf numFmtId="3" fontId="28" fillId="0" borderId="180" xfId="0" applyNumberFormat="1" applyFont="1" applyBorder="1" applyAlignment="1">
      <alignment/>
    </xf>
    <xf numFmtId="3" fontId="38" fillId="0" borderId="115" xfId="0" applyNumberFormat="1" applyFont="1" applyBorder="1" applyAlignment="1">
      <alignment/>
    </xf>
    <xf numFmtId="3" fontId="38" fillId="0" borderId="115" xfId="124" applyNumberFormat="1" applyFont="1" applyFill="1" applyBorder="1">
      <alignment/>
      <protection/>
    </xf>
    <xf numFmtId="0" fontId="31" fillId="0" borderId="115" xfId="0" applyFont="1" applyBorder="1" applyAlignment="1">
      <alignment/>
    </xf>
    <xf numFmtId="3" fontId="31" fillId="0" borderId="117" xfId="0" applyNumberFormat="1" applyFont="1" applyFill="1" applyBorder="1" applyAlignment="1">
      <alignment/>
    </xf>
    <xf numFmtId="3" fontId="28" fillId="50" borderId="35" xfId="0" applyNumberFormat="1" applyFont="1" applyFill="1" applyBorder="1" applyAlignment="1">
      <alignment/>
    </xf>
    <xf numFmtId="3" fontId="31" fillId="50" borderId="24" xfId="0" applyNumberFormat="1" applyFont="1" applyFill="1" applyBorder="1" applyAlignment="1">
      <alignment/>
    </xf>
    <xf numFmtId="3" fontId="39" fillId="0" borderId="39" xfId="0" applyNumberFormat="1" applyFont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3" fontId="31" fillId="0" borderId="166" xfId="0" applyNumberFormat="1" applyFont="1" applyBorder="1" applyAlignment="1">
      <alignment/>
    </xf>
    <xf numFmtId="3" fontId="31" fillId="0" borderId="125" xfId="0" applyNumberFormat="1" applyFont="1" applyBorder="1" applyAlignment="1">
      <alignment/>
    </xf>
    <xf numFmtId="3" fontId="28" fillId="34" borderId="32" xfId="0" applyNumberFormat="1" applyFont="1" applyFill="1" applyBorder="1" applyAlignment="1">
      <alignment/>
    </xf>
    <xf numFmtId="3" fontId="39" fillId="0" borderId="42" xfId="0" applyNumberFormat="1" applyFont="1" applyBorder="1" applyAlignment="1">
      <alignment horizontal="center"/>
    </xf>
    <xf numFmtId="3" fontId="39" fillId="0" borderId="24" xfId="0" applyNumberFormat="1" applyFont="1" applyBorder="1" applyAlignment="1">
      <alignment/>
    </xf>
    <xf numFmtId="3" fontId="31" fillId="0" borderId="181" xfId="0" applyNumberFormat="1" applyFont="1" applyBorder="1" applyAlignment="1">
      <alignment/>
    </xf>
    <xf numFmtId="3" fontId="31" fillId="0" borderId="128" xfId="0" applyNumberFormat="1" applyFont="1" applyBorder="1" applyAlignment="1">
      <alignment/>
    </xf>
    <xf numFmtId="3" fontId="85" fillId="0" borderId="23" xfId="0" applyNumberFormat="1" applyFont="1" applyBorder="1" applyAlignment="1">
      <alignment/>
    </xf>
    <xf numFmtId="3" fontId="141" fillId="0" borderId="115" xfId="0" applyNumberFormat="1" applyFont="1" applyBorder="1" applyAlignment="1">
      <alignment/>
    </xf>
    <xf numFmtId="3" fontId="31" fillId="34" borderId="23" xfId="0" applyNumberFormat="1" applyFont="1" applyFill="1" applyBorder="1" applyAlignment="1">
      <alignment/>
    </xf>
    <xf numFmtId="3" fontId="141" fillId="0" borderId="42" xfId="0" applyNumberFormat="1" applyFont="1" applyBorder="1" applyAlignment="1">
      <alignment/>
    </xf>
    <xf numFmtId="0" fontId="28" fillId="0" borderId="93" xfId="0" applyFont="1" applyBorder="1" applyAlignment="1">
      <alignment horizontal="center"/>
    </xf>
    <xf numFmtId="0" fontId="28" fillId="0" borderId="146" xfId="0" applyFont="1" applyBorder="1" applyAlignment="1">
      <alignment horizontal="center"/>
    </xf>
    <xf numFmtId="0" fontId="31" fillId="0" borderId="86" xfId="0" applyFont="1" applyBorder="1" applyAlignment="1">
      <alignment/>
    </xf>
    <xf numFmtId="3" fontId="81" fillId="33" borderId="37" xfId="0" applyNumberFormat="1" applyFont="1" applyFill="1" applyBorder="1" applyAlignment="1">
      <alignment/>
    </xf>
    <xf numFmtId="3" fontId="31" fillId="0" borderId="182" xfId="0" applyNumberFormat="1" applyFont="1" applyBorder="1" applyAlignment="1">
      <alignment/>
    </xf>
    <xf numFmtId="3" fontId="31" fillId="0" borderId="86" xfId="0" applyNumberFormat="1" applyFont="1" applyBorder="1" applyAlignment="1">
      <alignment/>
    </xf>
    <xf numFmtId="3" fontId="31" fillId="34" borderId="37" xfId="0" applyNumberFormat="1" applyFont="1" applyFill="1" applyBorder="1" applyAlignment="1">
      <alignment/>
    </xf>
    <xf numFmtId="3" fontId="85" fillId="0" borderId="39" xfId="0" applyNumberFormat="1" applyFont="1" applyFill="1" applyBorder="1" applyAlignment="1">
      <alignment/>
    </xf>
    <xf numFmtId="0" fontId="31" fillId="0" borderId="20" xfId="0" applyFont="1" applyBorder="1" applyAlignment="1">
      <alignment horizontal="center"/>
    </xf>
    <xf numFmtId="0" fontId="31" fillId="0" borderId="77" xfId="0" applyFont="1" applyBorder="1" applyAlignment="1">
      <alignment/>
    </xf>
    <xf numFmtId="3" fontId="81" fillId="33" borderId="20" xfId="0" applyNumberFormat="1" applyFont="1" applyFill="1" applyBorder="1" applyAlignment="1">
      <alignment/>
    </xf>
    <xf numFmtId="3" fontId="31" fillId="0" borderId="77" xfId="0" applyNumberFormat="1" applyFont="1" applyBorder="1" applyAlignment="1">
      <alignment/>
    </xf>
    <xf numFmtId="3" fontId="31" fillId="0" borderId="21" xfId="0" applyNumberFormat="1" applyFont="1" applyBorder="1" applyAlignment="1">
      <alignment/>
    </xf>
    <xf numFmtId="3" fontId="31" fillId="0" borderId="80" xfId="0" applyNumberFormat="1" applyFont="1" applyBorder="1" applyAlignment="1">
      <alignment/>
    </xf>
    <xf numFmtId="3" fontId="31" fillId="0" borderId="136" xfId="0" applyNumberFormat="1" applyFont="1" applyBorder="1" applyAlignment="1">
      <alignment/>
    </xf>
    <xf numFmtId="3" fontId="85" fillId="0" borderId="81" xfId="0" applyNumberFormat="1" applyFont="1" applyFill="1" applyBorder="1" applyAlignment="1">
      <alignment/>
    </xf>
    <xf numFmtId="3" fontId="31" fillId="34" borderId="20" xfId="0" applyNumberFormat="1" applyFont="1" applyFill="1" applyBorder="1" applyAlignment="1">
      <alignment/>
    </xf>
    <xf numFmtId="3" fontId="31" fillId="0" borderId="81" xfId="0" applyNumberFormat="1" applyFont="1" applyBorder="1" applyAlignment="1">
      <alignment/>
    </xf>
    <xf numFmtId="0" fontId="28" fillId="0" borderId="107" xfId="0" applyFont="1" applyBorder="1" applyAlignment="1">
      <alignment horizontal="center"/>
    </xf>
    <xf numFmtId="3" fontId="28" fillId="0" borderId="183" xfId="0" applyNumberFormat="1" applyFont="1" applyBorder="1" applyAlignment="1">
      <alignment/>
    </xf>
    <xf numFmtId="0" fontId="81" fillId="0" borderId="65" xfId="0" applyFont="1" applyBorder="1" applyAlignment="1">
      <alignment horizontal="center"/>
    </xf>
    <xf numFmtId="0" fontId="81" fillId="0" borderId="166" xfId="0" applyFont="1" applyBorder="1" applyAlignment="1">
      <alignment horizontal="left"/>
    </xf>
    <xf numFmtId="0" fontId="81" fillId="0" borderId="72" xfId="0" applyFont="1" applyBorder="1" applyAlignment="1">
      <alignment/>
    </xf>
    <xf numFmtId="3" fontId="81" fillId="0" borderId="184" xfId="0" applyNumberFormat="1" applyFont="1" applyBorder="1" applyAlignment="1">
      <alignment/>
    </xf>
    <xf numFmtId="3" fontId="81" fillId="0" borderId="163" xfId="0" applyNumberFormat="1" applyFont="1" applyBorder="1" applyAlignment="1">
      <alignment/>
    </xf>
    <xf numFmtId="3" fontId="102" fillId="0" borderId="185" xfId="0" applyNumberFormat="1" applyFont="1" applyBorder="1" applyAlignment="1">
      <alignment/>
    </xf>
    <xf numFmtId="3" fontId="31" fillId="50" borderId="16" xfId="0" applyNumberFormat="1" applyFont="1" applyFill="1" applyBorder="1" applyAlignment="1">
      <alignment/>
    </xf>
    <xf numFmtId="3" fontId="31" fillId="0" borderId="184" xfId="0" applyNumberFormat="1" applyFont="1" applyBorder="1" applyAlignment="1">
      <alignment/>
    </xf>
    <xf numFmtId="0" fontId="28" fillId="0" borderId="12" xfId="124" applyFont="1" applyBorder="1" applyAlignment="1">
      <alignment horizontal="center"/>
      <protection/>
    </xf>
    <xf numFmtId="3" fontId="38" fillId="0" borderId="60" xfId="124" applyNumberFormat="1" applyFont="1" applyFill="1" applyBorder="1">
      <alignment/>
      <protection/>
    </xf>
    <xf numFmtId="3" fontId="28" fillId="0" borderId="94" xfId="0" applyNumberFormat="1" applyFont="1" applyBorder="1" applyAlignment="1">
      <alignment/>
    </xf>
    <xf numFmtId="3" fontId="28" fillId="0" borderId="96" xfId="0" applyNumberFormat="1" applyFont="1" applyBorder="1" applyAlignment="1">
      <alignment/>
    </xf>
    <xf numFmtId="3" fontId="28" fillId="50" borderId="129" xfId="0" applyNumberFormat="1" applyFont="1" applyFill="1" applyBorder="1" applyAlignment="1">
      <alignment/>
    </xf>
    <xf numFmtId="3" fontId="31" fillId="0" borderId="180" xfId="0" applyNumberFormat="1" applyFont="1" applyBorder="1" applyAlignment="1">
      <alignment/>
    </xf>
    <xf numFmtId="0" fontId="81" fillId="0" borderId="16" xfId="0" applyFont="1" applyBorder="1" applyAlignment="1">
      <alignment horizontal="center"/>
    </xf>
    <xf numFmtId="3" fontId="28" fillId="50" borderId="16" xfId="0" applyNumberFormat="1" applyFont="1" applyFill="1" applyBorder="1" applyAlignment="1">
      <alignment/>
    </xf>
    <xf numFmtId="3" fontId="31" fillId="0" borderId="162" xfId="0" applyNumberFormat="1" applyFont="1" applyBorder="1" applyAlignment="1">
      <alignment/>
    </xf>
    <xf numFmtId="3" fontId="31" fillId="0" borderId="176" xfId="0" applyNumberFormat="1" applyFont="1" applyBorder="1" applyAlignment="1">
      <alignment/>
    </xf>
    <xf numFmtId="0" fontId="28" fillId="0" borderId="31" xfId="0" applyFont="1" applyBorder="1" applyAlignment="1">
      <alignment horizontal="center"/>
    </xf>
    <xf numFmtId="3" fontId="30" fillId="33" borderId="93" xfId="0" applyNumberFormat="1" applyFont="1" applyFill="1" applyBorder="1" applyAlignment="1">
      <alignment/>
    </xf>
    <xf numFmtId="3" fontId="31" fillId="0" borderId="95" xfId="0" applyNumberFormat="1" applyFont="1" applyFill="1" applyBorder="1" applyAlignment="1">
      <alignment/>
    </xf>
    <xf numFmtId="3" fontId="31" fillId="0" borderId="104" xfId="0" applyNumberFormat="1" applyFont="1" applyFill="1" applyBorder="1" applyAlignment="1">
      <alignment/>
    </xf>
    <xf numFmtId="0" fontId="31" fillId="0" borderId="72" xfId="0" applyFont="1" applyBorder="1" applyAlignment="1">
      <alignment horizontal="left"/>
    </xf>
    <xf numFmtId="0" fontId="32" fillId="0" borderId="67" xfId="0" applyFont="1" applyFill="1" applyBorder="1" applyAlignment="1">
      <alignment horizontal="right"/>
    </xf>
    <xf numFmtId="0" fontId="32" fillId="0" borderId="68" xfId="0" applyFont="1" applyFill="1" applyBorder="1" applyAlignment="1">
      <alignment/>
    </xf>
    <xf numFmtId="0" fontId="32" fillId="0" borderId="65" xfId="0" applyFont="1" applyFill="1" applyBorder="1" applyAlignment="1">
      <alignment horizontal="right"/>
    </xf>
    <xf numFmtId="0" fontId="32" fillId="0" borderId="158" xfId="0" applyFont="1" applyFill="1" applyBorder="1" applyAlignment="1">
      <alignment horizontal="right"/>
    </xf>
    <xf numFmtId="0" fontId="32" fillId="0" borderId="127" xfId="0" applyFont="1" applyBorder="1" applyAlignment="1">
      <alignment horizontal="right"/>
    </xf>
    <xf numFmtId="0" fontId="32" fillId="0" borderId="147" xfId="0" applyFont="1" applyBorder="1" applyAlignment="1">
      <alignment/>
    </xf>
    <xf numFmtId="0" fontId="32" fillId="0" borderId="114" xfId="0" applyFont="1" applyBorder="1" applyAlignment="1">
      <alignment horizontal="right"/>
    </xf>
    <xf numFmtId="0" fontId="32" fillId="0" borderId="149" xfId="0" applyFont="1" applyBorder="1" applyAlignment="1">
      <alignment/>
    </xf>
    <xf numFmtId="0" fontId="32" fillId="0" borderId="107" xfId="0" applyFont="1" applyBorder="1" applyAlignment="1">
      <alignment horizontal="right"/>
    </xf>
    <xf numFmtId="0" fontId="32" fillId="0" borderId="186" xfId="0" applyFont="1" applyBorder="1" applyAlignment="1">
      <alignment/>
    </xf>
    <xf numFmtId="0" fontId="29" fillId="0" borderId="58" xfId="0" applyFont="1" applyBorder="1" applyAlignment="1">
      <alignment/>
    </xf>
    <xf numFmtId="0" fontId="29" fillId="0" borderId="60" xfId="0" applyFont="1" applyBorder="1" applyAlignment="1">
      <alignment/>
    </xf>
    <xf numFmtId="0" fontId="32" fillId="0" borderId="63" xfId="0" applyFont="1" applyBorder="1" applyAlignment="1">
      <alignment/>
    </xf>
    <xf numFmtId="0" fontId="0" fillId="0" borderId="0" xfId="0" applyFont="1" applyAlignment="1">
      <alignment/>
    </xf>
    <xf numFmtId="3" fontId="0" fillId="0" borderId="7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3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42" fillId="40" borderId="37" xfId="0" applyFont="1" applyFill="1" applyBorder="1" applyAlignment="1">
      <alignment horizontal="center"/>
    </xf>
    <xf numFmtId="0" fontId="142" fillId="40" borderId="26" xfId="0" applyFont="1" applyFill="1" applyBorder="1" applyAlignment="1">
      <alignment horizontal="center"/>
    </xf>
    <xf numFmtId="0" fontId="142" fillId="40" borderId="146" xfId="0" applyFont="1" applyFill="1" applyBorder="1" applyAlignment="1">
      <alignment horizontal="center"/>
    </xf>
    <xf numFmtId="0" fontId="142" fillId="40" borderId="18" xfId="0" applyFont="1" applyFill="1" applyBorder="1" applyAlignment="1">
      <alignment horizontal="center"/>
    </xf>
    <xf numFmtId="3" fontId="142" fillId="40" borderId="129" xfId="0" applyNumberFormat="1" applyFont="1" applyFill="1" applyBorder="1" applyAlignment="1">
      <alignment/>
    </xf>
    <xf numFmtId="3" fontId="142" fillId="40" borderId="84" xfId="0" applyNumberFormat="1" applyFont="1" applyFill="1" applyBorder="1" applyAlignment="1">
      <alignment/>
    </xf>
    <xf numFmtId="3" fontId="143" fillId="40" borderId="16" xfId="0" applyNumberFormat="1" applyFont="1" applyFill="1" applyBorder="1" applyAlignment="1">
      <alignment/>
    </xf>
    <xf numFmtId="3" fontId="142" fillId="40" borderId="37" xfId="0" applyNumberFormat="1" applyFont="1" applyFill="1" applyBorder="1" applyAlignment="1">
      <alignment/>
    </xf>
    <xf numFmtId="3" fontId="142" fillId="40" borderId="93" xfId="0" applyNumberFormat="1" applyFont="1" applyFill="1" applyBorder="1" applyAlignment="1">
      <alignment/>
    </xf>
    <xf numFmtId="3" fontId="142" fillId="40" borderId="160" xfId="0" applyNumberFormat="1" applyFont="1" applyFill="1" applyBorder="1" applyAlignment="1">
      <alignment/>
    </xf>
    <xf numFmtId="3" fontId="143" fillId="40" borderId="146" xfId="0" applyNumberFormat="1" applyFont="1" applyFill="1" applyBorder="1" applyAlignment="1">
      <alignment/>
    </xf>
    <xf numFmtId="3" fontId="142" fillId="40" borderId="18" xfId="0" applyNumberFormat="1" applyFont="1" applyFill="1" applyBorder="1" applyAlignment="1">
      <alignment/>
    </xf>
    <xf numFmtId="3" fontId="31" fillId="0" borderId="69" xfId="0" applyNumberFormat="1" applyFont="1" applyFill="1" applyBorder="1" applyAlignment="1">
      <alignment/>
    </xf>
    <xf numFmtId="3" fontId="31" fillId="0" borderId="187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4" fillId="0" borderId="11" xfId="0" applyFont="1" applyFill="1" applyBorder="1" applyAlignment="1">
      <alignment horizontal="right"/>
    </xf>
    <xf numFmtId="3" fontId="44" fillId="0" borderId="11" xfId="0" applyNumberFormat="1" applyFont="1" applyBorder="1" applyAlignment="1">
      <alignment/>
    </xf>
    <xf numFmtId="3" fontId="144" fillId="0" borderId="11" xfId="0" applyNumberFormat="1" applyFont="1" applyFill="1" applyBorder="1" applyAlignment="1">
      <alignment/>
    </xf>
    <xf numFmtId="3" fontId="145" fillId="0" borderId="0" xfId="0" applyNumberFormat="1" applyFont="1" applyAlignment="1">
      <alignment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10" fontId="28" fillId="0" borderId="11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 horizontal="left"/>
    </xf>
    <xf numFmtId="0" fontId="0" fillId="0" borderId="43" xfId="0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0" fillId="0" borderId="16" xfId="0" applyBorder="1" applyAlignment="1">
      <alignment/>
    </xf>
    <xf numFmtId="0" fontId="121" fillId="0" borderId="23" xfId="0" applyFont="1" applyBorder="1" applyAlignment="1">
      <alignment horizontal="center"/>
    </xf>
    <xf numFmtId="0" fontId="3" fillId="0" borderId="16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42" fillId="0" borderId="20" xfId="0" applyFont="1" applyBorder="1" applyAlignment="1">
      <alignment/>
    </xf>
    <xf numFmtId="3" fontId="42" fillId="0" borderId="21" xfId="0" applyNumberFormat="1" applyFont="1" applyBorder="1" applyAlignment="1">
      <alignment/>
    </xf>
    <xf numFmtId="3" fontId="42" fillId="0" borderId="81" xfId="0" applyNumberFormat="1" applyFont="1" applyBorder="1" applyAlignment="1">
      <alignment/>
    </xf>
    <xf numFmtId="0" fontId="32" fillId="0" borderId="58" xfId="0" applyFont="1" applyBorder="1" applyAlignment="1">
      <alignment vertical="center"/>
    </xf>
    <xf numFmtId="0" fontId="32" fillId="0" borderId="55" xfId="0" applyFont="1" applyBorder="1" applyAlignment="1">
      <alignment vertical="center"/>
    </xf>
    <xf numFmtId="0" fontId="64" fillId="0" borderId="131" xfId="0" applyFont="1" applyBorder="1" applyAlignment="1">
      <alignment horizontal="center" vertical="center"/>
    </xf>
    <xf numFmtId="0" fontId="29" fillId="0" borderId="57" xfId="0" applyFont="1" applyBorder="1" applyAlignment="1">
      <alignment horizontal="left" vertical="center" wrapText="1"/>
    </xf>
    <xf numFmtId="3" fontId="28" fillId="0" borderId="53" xfId="0" applyNumberFormat="1" applyFont="1" applyBorder="1" applyAlignment="1">
      <alignment vertical="center"/>
    </xf>
    <xf numFmtId="3" fontId="32" fillId="0" borderId="55" xfId="0" applyNumberFormat="1" applyFont="1" applyBorder="1" applyAlignment="1">
      <alignment vertical="center"/>
    </xf>
    <xf numFmtId="3" fontId="32" fillId="0" borderId="88" xfId="0" applyNumberFormat="1" applyFont="1" applyBorder="1" applyAlignment="1">
      <alignment vertical="center"/>
    </xf>
    <xf numFmtId="3" fontId="29" fillId="0" borderId="56" xfId="0" applyNumberFormat="1" applyFont="1" applyBorder="1" applyAlignment="1">
      <alignment vertical="center"/>
    </xf>
    <xf numFmtId="0" fontId="29" fillId="0" borderId="149" xfId="0" applyFont="1" applyFill="1" applyBorder="1" applyAlignment="1">
      <alignment horizontal="left"/>
    </xf>
    <xf numFmtId="4" fontId="124" fillId="0" borderId="11" xfId="0" applyNumberFormat="1" applyFont="1" applyFill="1" applyBorder="1" applyAlignment="1">
      <alignment/>
    </xf>
    <xf numFmtId="3" fontId="124" fillId="0" borderId="75" xfId="0" applyNumberFormat="1" applyFont="1" applyBorder="1" applyAlignment="1">
      <alignment/>
    </xf>
    <xf numFmtId="3" fontId="133" fillId="0" borderId="0" xfId="0" applyNumberFormat="1" applyFont="1" applyFill="1" applyAlignment="1">
      <alignment horizontal="left"/>
    </xf>
    <xf numFmtId="0" fontId="23" fillId="0" borderId="0" xfId="94" applyFont="1" applyFill="1" applyAlignment="1">
      <alignment vertical="center"/>
      <protection/>
    </xf>
    <xf numFmtId="0" fontId="23" fillId="0" borderId="0" xfId="94" applyFont="1" applyAlignment="1">
      <alignment vertical="center"/>
      <protection/>
    </xf>
    <xf numFmtId="0" fontId="135" fillId="43" borderId="188" xfId="0" applyFont="1" applyFill="1" applyBorder="1" applyAlignment="1">
      <alignment horizontal="left"/>
    </xf>
    <xf numFmtId="0" fontId="139" fillId="0" borderId="188" xfId="0" applyFont="1" applyBorder="1" applyAlignment="1">
      <alignment horizontal="left" indent="2"/>
    </xf>
    <xf numFmtId="0" fontId="139" fillId="0" borderId="188" xfId="0" applyFont="1" applyBorder="1" applyAlignment="1">
      <alignment horizontal="left" wrapText="1" indent="2"/>
    </xf>
    <xf numFmtId="0" fontId="131" fillId="43" borderId="11" xfId="0" applyFont="1" applyFill="1" applyBorder="1" applyAlignment="1">
      <alignment horizontal="center" vertical="center" wrapText="1"/>
    </xf>
    <xf numFmtId="0" fontId="131" fillId="43" borderId="23" xfId="0" applyFont="1" applyFill="1" applyBorder="1" applyAlignment="1">
      <alignment horizontal="center" vertical="center" wrapText="1"/>
    </xf>
    <xf numFmtId="10" fontId="28" fillId="0" borderId="15" xfId="0" applyNumberFormat="1" applyFont="1" applyBorder="1" applyAlignment="1">
      <alignment/>
    </xf>
    <xf numFmtId="186" fontId="29" fillId="16" borderId="22" xfId="0" applyNumberFormat="1" applyFont="1" applyFill="1" applyBorder="1" applyAlignment="1">
      <alignment horizontal="center" wrapText="1"/>
    </xf>
    <xf numFmtId="186" fontId="29" fillId="16" borderId="15" xfId="0" applyNumberFormat="1" applyFont="1" applyFill="1" applyBorder="1" applyAlignment="1">
      <alignment horizontal="center" wrapText="1"/>
    </xf>
    <xf numFmtId="0" fontId="37" fillId="0" borderId="0" xfId="0" applyFont="1" applyAlignment="1">
      <alignment horizontal="right"/>
    </xf>
    <xf numFmtId="4" fontId="48" fillId="0" borderId="11" xfId="97" applyNumberFormat="1" applyFont="1" applyFill="1" applyBorder="1">
      <alignment/>
      <protection/>
    </xf>
    <xf numFmtId="0" fontId="73" fillId="51" borderId="0" xfId="0" applyFont="1" applyFill="1" applyBorder="1" applyAlignment="1">
      <alignment/>
    </xf>
    <xf numFmtId="0" fontId="64" fillId="0" borderId="104" xfId="0" applyFont="1" applyBorder="1" applyAlignment="1">
      <alignment horizontal="center"/>
    </xf>
    <xf numFmtId="0" fontId="73" fillId="51" borderId="60" xfId="0" applyFont="1" applyFill="1" applyBorder="1" applyAlignment="1">
      <alignment horizontal="left"/>
    </xf>
    <xf numFmtId="3" fontId="73" fillId="51" borderId="26" xfId="0" applyNumberFormat="1" applyFont="1" applyFill="1" applyBorder="1" applyAlignment="1">
      <alignment/>
    </xf>
    <xf numFmtId="3" fontId="73" fillId="51" borderId="0" xfId="0" applyNumberFormat="1" applyFont="1" applyFill="1" applyBorder="1" applyAlignment="1">
      <alignment/>
    </xf>
    <xf numFmtId="3" fontId="73" fillId="51" borderId="103" xfId="0" applyNumberFormat="1" applyFont="1" applyFill="1" applyBorder="1" applyAlignment="1">
      <alignment/>
    </xf>
    <xf numFmtId="3" fontId="73" fillId="51" borderId="104" xfId="0" applyNumberFormat="1" applyFont="1" applyFill="1" applyBorder="1" applyAlignment="1">
      <alignment/>
    </xf>
    <xf numFmtId="3" fontId="73" fillId="0" borderId="59" xfId="0" applyNumberFormat="1" applyFont="1" applyBorder="1" applyAlignment="1">
      <alignment/>
    </xf>
    <xf numFmtId="0" fontId="32" fillId="0" borderId="189" xfId="0" applyFont="1" applyBorder="1" applyAlignment="1">
      <alignment/>
    </xf>
    <xf numFmtId="0" fontId="64" fillId="0" borderId="145" xfId="0" applyFont="1" applyBorder="1" applyAlignment="1">
      <alignment horizontal="center"/>
    </xf>
    <xf numFmtId="0" fontId="29" fillId="0" borderId="190" xfId="0" applyFont="1" applyBorder="1" applyAlignment="1">
      <alignment horizontal="left"/>
    </xf>
    <xf numFmtId="3" fontId="28" fillId="0" borderId="191" xfId="0" applyNumberFormat="1" applyFont="1" applyBorder="1" applyAlignment="1">
      <alignment/>
    </xf>
    <xf numFmtId="3" fontId="32" fillId="0" borderId="189" xfId="0" applyNumberFormat="1" applyFont="1" applyBorder="1" applyAlignment="1">
      <alignment/>
    </xf>
    <xf numFmtId="3" fontId="32" fillId="0" borderId="192" xfId="0" applyNumberFormat="1" applyFont="1" applyBorder="1" applyAlignment="1">
      <alignment/>
    </xf>
    <xf numFmtId="3" fontId="29" fillId="0" borderId="169" xfId="0" applyNumberFormat="1" applyFont="1" applyBorder="1" applyAlignment="1">
      <alignment/>
    </xf>
    <xf numFmtId="3" fontId="28" fillId="0" borderId="28" xfId="0" applyNumberFormat="1" applyFont="1" applyBorder="1" applyAlignment="1">
      <alignment/>
    </xf>
    <xf numFmtId="9" fontId="32" fillId="49" borderId="0" xfId="0" applyNumberFormat="1" applyFont="1" applyFill="1" applyAlignment="1">
      <alignment horizontal="center"/>
    </xf>
    <xf numFmtId="10" fontId="146" fillId="53" borderId="11" xfId="0" applyNumberFormat="1" applyFont="1" applyFill="1" applyBorder="1" applyAlignment="1">
      <alignment/>
    </xf>
    <xf numFmtId="10" fontId="127" fillId="40" borderId="23" xfId="0" applyNumberFormat="1" applyFont="1" applyFill="1" applyBorder="1" applyAlignment="1">
      <alignment/>
    </xf>
    <xf numFmtId="10" fontId="127" fillId="0" borderId="23" xfId="0" applyNumberFormat="1" applyFont="1" applyBorder="1" applyAlignment="1">
      <alignment/>
    </xf>
    <xf numFmtId="10" fontId="127" fillId="0" borderId="23" xfId="0" applyNumberFormat="1" applyFont="1" applyFill="1" applyBorder="1" applyAlignment="1">
      <alignment/>
    </xf>
    <xf numFmtId="10" fontId="131" fillId="43" borderId="81" xfId="0" applyNumberFormat="1" applyFont="1" applyFill="1" applyBorder="1" applyAlignment="1">
      <alignment/>
    </xf>
    <xf numFmtId="9" fontId="146" fillId="53" borderId="11" xfId="0" applyNumberFormat="1" applyFont="1" applyFill="1" applyBorder="1" applyAlignment="1">
      <alignment horizontal="center"/>
    </xf>
    <xf numFmtId="9" fontId="121" fillId="40" borderId="193" xfId="0" applyNumberFormat="1" applyFont="1" applyFill="1" applyBorder="1" applyAlignment="1">
      <alignment horizontal="center"/>
    </xf>
    <xf numFmtId="10" fontId="65" fillId="53" borderId="11" xfId="0" applyNumberFormat="1" applyFont="1" applyFill="1" applyBorder="1" applyAlignment="1">
      <alignment/>
    </xf>
    <xf numFmtId="3" fontId="28" fillId="0" borderId="143" xfId="0" applyNumberFormat="1" applyFont="1" applyBorder="1" applyAlignment="1">
      <alignment/>
    </xf>
    <xf numFmtId="3" fontId="31" fillId="0" borderId="194" xfId="0" applyNumberFormat="1" applyFont="1" applyBorder="1" applyAlignment="1">
      <alignment/>
    </xf>
    <xf numFmtId="0" fontId="31" fillId="0" borderId="177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6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3" fontId="91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3" fontId="89" fillId="0" borderId="0" xfId="0" applyNumberFormat="1" applyFont="1" applyAlignment="1">
      <alignment vertical="center"/>
    </xf>
    <xf numFmtId="4" fontId="91" fillId="0" borderId="0" xfId="0" applyNumberFormat="1" applyFont="1" applyAlignment="1">
      <alignment vertical="center"/>
    </xf>
    <xf numFmtId="3" fontId="28" fillId="0" borderId="73" xfId="0" applyNumberFormat="1" applyFont="1" applyBorder="1" applyAlignment="1">
      <alignment/>
    </xf>
    <xf numFmtId="3" fontId="28" fillId="0" borderId="72" xfId="0" applyNumberFormat="1" applyFont="1" applyBorder="1" applyAlignment="1">
      <alignment/>
    </xf>
    <xf numFmtId="0" fontId="32" fillId="40" borderId="27" xfId="0" applyFont="1" applyFill="1" applyBorder="1" applyAlignment="1">
      <alignment horizontal="center" wrapText="1"/>
    </xf>
    <xf numFmtId="0" fontId="32" fillId="44" borderId="33" xfId="0" applyFont="1" applyFill="1" applyBorder="1" applyAlignment="1">
      <alignment horizontal="center"/>
    </xf>
    <xf numFmtId="0" fontId="28" fillId="0" borderId="45" xfId="0" applyFont="1" applyBorder="1" applyAlignment="1">
      <alignment horizontal="center" wrapText="1"/>
    </xf>
    <xf numFmtId="0" fontId="28" fillId="0" borderId="38" xfId="0" applyFont="1" applyBorder="1" applyAlignment="1">
      <alignment horizontal="center"/>
    </xf>
    <xf numFmtId="10" fontId="28" fillId="0" borderId="165" xfId="0" applyNumberFormat="1" applyFont="1" applyBorder="1" applyAlignment="1">
      <alignment/>
    </xf>
    <xf numFmtId="0" fontId="28" fillId="0" borderId="138" xfId="0" applyFont="1" applyBorder="1" applyAlignment="1">
      <alignment horizontal="center"/>
    </xf>
    <xf numFmtId="10" fontId="28" fillId="0" borderId="122" xfId="0" applyNumberFormat="1" applyFont="1" applyBorder="1" applyAlignment="1">
      <alignment/>
    </xf>
    <xf numFmtId="0" fontId="28" fillId="0" borderId="195" xfId="0" applyFont="1" applyBorder="1" applyAlignment="1">
      <alignment horizontal="center"/>
    </xf>
    <xf numFmtId="10" fontId="28" fillId="0" borderId="144" xfId="0" applyNumberFormat="1" applyFont="1" applyBorder="1" applyAlignment="1">
      <alignment/>
    </xf>
    <xf numFmtId="10" fontId="28" fillId="44" borderId="166" xfId="0" applyNumberFormat="1" applyFont="1" applyFill="1" applyBorder="1" applyAlignment="1">
      <alignment/>
    </xf>
    <xf numFmtId="3" fontId="30" fillId="44" borderId="66" xfId="0" applyNumberFormat="1" applyFont="1" applyFill="1" applyBorder="1" applyAlignment="1">
      <alignment/>
    </xf>
    <xf numFmtId="10" fontId="28" fillId="0" borderId="166" xfId="0" applyNumberFormat="1" applyFont="1" applyBorder="1" applyAlignment="1">
      <alignment/>
    </xf>
    <xf numFmtId="3" fontId="30" fillId="33" borderId="66" xfId="0" applyNumberFormat="1" applyFont="1" applyFill="1" applyBorder="1" applyAlignment="1">
      <alignment/>
    </xf>
    <xf numFmtId="10" fontId="28" fillId="0" borderId="181" xfId="0" applyNumberFormat="1" applyFont="1" applyBorder="1" applyAlignment="1">
      <alignment/>
    </xf>
    <xf numFmtId="3" fontId="30" fillId="33" borderId="75" xfId="0" applyNumberFormat="1" applyFont="1" applyFill="1" applyBorder="1" applyAlignment="1">
      <alignment/>
    </xf>
    <xf numFmtId="0" fontId="45" fillId="44" borderId="181" xfId="0" applyFont="1" applyFill="1" applyBorder="1" applyAlignment="1">
      <alignment/>
    </xf>
    <xf numFmtId="3" fontId="81" fillId="44" borderId="75" xfId="0" applyNumberFormat="1" applyFont="1" applyFill="1" applyBorder="1" applyAlignment="1">
      <alignment/>
    </xf>
    <xf numFmtId="10" fontId="28" fillId="0" borderId="61" xfId="0" applyNumberFormat="1" applyFont="1" applyBorder="1" applyAlignment="1">
      <alignment/>
    </xf>
    <xf numFmtId="3" fontId="30" fillId="33" borderId="62" xfId="0" applyNumberFormat="1" applyFont="1" applyFill="1" applyBorder="1" applyAlignment="1">
      <alignment/>
    </xf>
    <xf numFmtId="3" fontId="51" fillId="33" borderId="62" xfId="0" applyNumberFormat="1" applyFont="1" applyFill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9" fillId="11" borderId="26" xfId="0" applyFont="1" applyFill="1" applyBorder="1" applyAlignment="1">
      <alignment horizontal="center"/>
    </xf>
    <xf numFmtId="0" fontId="39" fillId="11" borderId="35" xfId="0" applyFont="1" applyFill="1" applyBorder="1" applyAlignment="1">
      <alignment horizontal="center"/>
    </xf>
    <xf numFmtId="0" fontId="28" fillId="11" borderId="26" xfId="0" applyFont="1" applyFill="1" applyBorder="1" applyAlignment="1">
      <alignment horizontal="center"/>
    </xf>
    <xf numFmtId="0" fontId="28" fillId="11" borderId="35" xfId="0" applyFont="1" applyFill="1" applyBorder="1" applyAlignment="1">
      <alignment horizontal="center"/>
    </xf>
    <xf numFmtId="3" fontId="31" fillId="11" borderId="196" xfId="0" applyNumberFormat="1" applyFont="1" applyFill="1" applyBorder="1" applyAlignment="1">
      <alignment/>
    </xf>
    <xf numFmtId="3" fontId="31" fillId="11" borderId="129" xfId="0" applyNumberFormat="1" applyFont="1" applyFill="1" applyBorder="1" applyAlignment="1">
      <alignment/>
    </xf>
    <xf numFmtId="3" fontId="31" fillId="11" borderId="180" xfId="0" applyNumberFormat="1" applyFont="1" applyFill="1" applyBorder="1" applyAlignment="1">
      <alignment/>
    </xf>
    <xf numFmtId="3" fontId="31" fillId="11" borderId="16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1" fillId="11" borderId="26" xfId="0" applyNumberFormat="1" applyFont="1" applyFill="1" applyBorder="1" applyAlignment="1">
      <alignment/>
    </xf>
    <xf numFmtId="3" fontId="31" fillId="11" borderId="35" xfId="0" applyNumberFormat="1" applyFont="1" applyFill="1" applyBorder="1" applyAlignment="1">
      <alignment/>
    </xf>
    <xf numFmtId="3" fontId="31" fillId="11" borderId="84" xfId="0" applyNumberFormat="1" applyFont="1" applyFill="1" applyBorder="1" applyAlignment="1">
      <alignment/>
    </xf>
    <xf numFmtId="3" fontId="31" fillId="11" borderId="115" xfId="0" applyNumberFormat="1" applyFont="1" applyFill="1" applyBorder="1" applyAlignment="1">
      <alignment/>
    </xf>
    <xf numFmtId="3" fontId="81" fillId="11" borderId="16" xfId="0" applyNumberFormat="1" applyFont="1" applyFill="1" applyBorder="1" applyAlignment="1">
      <alignment/>
    </xf>
    <xf numFmtId="3" fontId="81" fillId="11" borderId="23" xfId="0" applyNumberFormat="1" applyFont="1" applyFill="1" applyBorder="1" applyAlignment="1">
      <alignment/>
    </xf>
    <xf numFmtId="3" fontId="30" fillId="11" borderId="18" xfId="0" applyNumberFormat="1" applyFont="1" applyFill="1" applyBorder="1" applyAlignment="1">
      <alignment/>
    </xf>
    <xf numFmtId="3" fontId="30" fillId="11" borderId="24" xfId="0" applyNumberFormat="1" applyFont="1" applyFill="1" applyBorder="1" applyAlignment="1">
      <alignment/>
    </xf>
    <xf numFmtId="0" fontId="31" fillId="0" borderId="73" xfId="0" applyFont="1" applyBorder="1" applyAlignment="1">
      <alignment/>
    </xf>
    <xf numFmtId="4" fontId="28" fillId="0" borderId="12" xfId="0" applyNumberFormat="1" applyFont="1" applyBorder="1" applyAlignment="1">
      <alignment/>
    </xf>
    <xf numFmtId="4" fontId="31" fillId="0" borderId="174" xfId="0" applyNumberFormat="1" applyFont="1" applyBorder="1" applyAlignment="1">
      <alignment/>
    </xf>
    <xf numFmtId="4" fontId="133" fillId="0" borderId="12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4" fontId="28" fillId="0" borderId="27" xfId="0" applyNumberFormat="1" applyFont="1" applyBorder="1" applyAlignment="1">
      <alignment/>
    </xf>
    <xf numFmtId="0" fontId="29" fillId="11" borderId="18" xfId="0" applyFont="1" applyFill="1" applyBorder="1" applyAlignment="1">
      <alignment horizontal="center"/>
    </xf>
    <xf numFmtId="0" fontId="29" fillId="11" borderId="24" xfId="0" applyFont="1" applyFill="1" applyBorder="1" applyAlignment="1">
      <alignment horizontal="center"/>
    </xf>
    <xf numFmtId="0" fontId="40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3" fontId="59" fillId="33" borderId="84" xfId="0" applyNumberFormat="1" applyFont="1" applyFill="1" applyBorder="1" applyAlignment="1">
      <alignment/>
    </xf>
    <xf numFmtId="3" fontId="59" fillId="33" borderId="129" xfId="0" applyNumberFormat="1" applyFont="1" applyFill="1" applyBorder="1" applyAlignment="1">
      <alignment/>
    </xf>
    <xf numFmtId="3" fontId="59" fillId="33" borderId="93" xfId="0" applyNumberFormat="1" applyFont="1" applyFill="1" applyBorder="1" applyAlignment="1">
      <alignment/>
    </xf>
    <xf numFmtId="3" fontId="142" fillId="33" borderId="85" xfId="0" applyNumberFormat="1" applyFont="1" applyFill="1" applyBorder="1" applyAlignment="1">
      <alignment/>
    </xf>
    <xf numFmtId="3" fontId="147" fillId="0" borderId="0" xfId="0" applyNumberFormat="1" applyFont="1" applyAlignment="1">
      <alignment vertical="center"/>
    </xf>
    <xf numFmtId="3" fontId="148" fillId="0" borderId="0" xfId="0" applyNumberFormat="1" applyFont="1" applyAlignment="1">
      <alignment vertical="center"/>
    </xf>
    <xf numFmtId="3" fontId="133" fillId="0" borderId="0" xfId="0" applyNumberFormat="1" applyFont="1" applyAlignment="1">
      <alignment/>
    </xf>
    <xf numFmtId="3" fontId="147" fillId="0" borderId="0" xfId="0" applyNumberFormat="1" applyFont="1" applyAlignment="1">
      <alignment/>
    </xf>
    <xf numFmtId="4" fontId="133" fillId="0" borderId="0" xfId="0" applyNumberFormat="1" applyFont="1" applyAlignment="1">
      <alignment/>
    </xf>
    <xf numFmtId="3" fontId="28" fillId="47" borderId="64" xfId="0" applyNumberFormat="1" applyFont="1" applyFill="1" applyBorder="1" applyAlignment="1">
      <alignment/>
    </xf>
    <xf numFmtId="3" fontId="28" fillId="47" borderId="62" xfId="0" applyNumberFormat="1" applyFont="1" applyFill="1" applyBorder="1" applyAlignment="1">
      <alignment/>
    </xf>
    <xf numFmtId="3" fontId="38" fillId="44" borderId="148" xfId="0" applyNumberFormat="1" applyFont="1" applyFill="1" applyBorder="1" applyAlignment="1">
      <alignment/>
    </xf>
    <xf numFmtId="3" fontId="38" fillId="40" borderId="102" xfId="0" applyNumberFormat="1" applyFont="1" applyFill="1" applyBorder="1" applyAlignment="1">
      <alignment/>
    </xf>
    <xf numFmtId="3" fontId="38" fillId="40" borderId="91" xfId="0" applyNumberFormat="1" applyFont="1" applyFill="1" applyBorder="1" applyAlignment="1">
      <alignment/>
    </xf>
    <xf numFmtId="3" fontId="38" fillId="40" borderId="131" xfId="0" applyNumberFormat="1" applyFont="1" applyFill="1" applyBorder="1" applyAlignment="1">
      <alignment/>
    </xf>
    <xf numFmtId="3" fontId="149" fillId="0" borderId="0" xfId="0" applyNumberFormat="1" applyFont="1" applyAlignment="1">
      <alignment/>
    </xf>
    <xf numFmtId="3" fontId="149" fillId="0" borderId="146" xfId="0" applyNumberFormat="1" applyFont="1" applyFill="1" applyBorder="1" applyAlignment="1">
      <alignment/>
    </xf>
    <xf numFmtId="3" fontId="149" fillId="0" borderId="41" xfId="0" applyNumberFormat="1" applyFont="1" applyFill="1" applyBorder="1" applyAlignment="1">
      <alignment/>
    </xf>
    <xf numFmtId="0" fontId="34" fillId="0" borderId="0" xfId="124" applyFont="1" applyAlignment="1">
      <alignment horizontal="left"/>
      <protection/>
    </xf>
    <xf numFmtId="0" fontId="34" fillId="0" borderId="0" xfId="124" applyFont="1" applyAlignment="1">
      <alignment horizontal="center"/>
      <protection/>
    </xf>
    <xf numFmtId="0" fontId="34" fillId="0" borderId="0" xfId="124" applyFont="1" applyAlignment="1">
      <alignment/>
      <protection/>
    </xf>
    <xf numFmtId="0" fontId="32" fillId="0" borderId="0" xfId="124" applyFont="1">
      <alignment/>
      <protection/>
    </xf>
    <xf numFmtId="0" fontId="29" fillId="0" borderId="0" xfId="124" applyFont="1">
      <alignment/>
      <protection/>
    </xf>
    <xf numFmtId="2" fontId="28" fillId="0" borderId="0" xfId="124" applyNumberFormat="1" applyFont="1" applyAlignment="1">
      <alignment horizontal="center"/>
      <protection/>
    </xf>
    <xf numFmtId="0" fontId="28" fillId="0" borderId="0" xfId="124" applyFont="1">
      <alignment/>
      <protection/>
    </xf>
    <xf numFmtId="0" fontId="37" fillId="0" borderId="0" xfId="124" applyFont="1" applyAlignment="1">
      <alignment horizontal="left"/>
      <protection/>
    </xf>
    <xf numFmtId="0" fontId="150" fillId="0" borderId="0" xfId="124" applyFont="1" applyAlignment="1">
      <alignment horizontal="left"/>
      <protection/>
    </xf>
    <xf numFmtId="49" fontId="151" fillId="0" borderId="0" xfId="124" applyNumberFormat="1" applyFont="1" applyAlignment="1">
      <alignment horizontal="center" wrapText="1"/>
      <protection/>
    </xf>
    <xf numFmtId="0" fontId="30" fillId="0" borderId="0" xfId="124" applyFont="1" applyAlignment="1">
      <alignment horizontal="left"/>
      <protection/>
    </xf>
    <xf numFmtId="0" fontId="30" fillId="0" borderId="0" xfId="124" applyFont="1" applyAlignment="1">
      <alignment horizontal="center"/>
      <protection/>
    </xf>
    <xf numFmtId="0" fontId="30" fillId="0" borderId="0" xfId="124" applyFont="1" applyAlignment="1">
      <alignment/>
      <protection/>
    </xf>
    <xf numFmtId="0" fontId="30" fillId="0" borderId="0" xfId="124" applyFont="1">
      <alignment/>
      <protection/>
    </xf>
    <xf numFmtId="0" fontId="152" fillId="0" borderId="0" xfId="124" applyFont="1">
      <alignment/>
      <protection/>
    </xf>
    <xf numFmtId="0" fontId="32" fillId="0" borderId="0" xfId="124" applyFont="1" applyAlignment="1">
      <alignment horizontal="center"/>
      <protection/>
    </xf>
    <xf numFmtId="0" fontId="32" fillId="0" borderId="0" xfId="124" applyFont="1" applyAlignment="1">
      <alignment/>
      <protection/>
    </xf>
    <xf numFmtId="0" fontId="63" fillId="0" borderId="0" xfId="124" applyFont="1">
      <alignment/>
      <protection/>
    </xf>
    <xf numFmtId="14" fontId="73" fillId="0" borderId="0" xfId="124" applyNumberFormat="1" applyFont="1">
      <alignment/>
      <protection/>
    </xf>
    <xf numFmtId="49" fontId="151" fillId="0" borderId="0" xfId="124" applyNumberFormat="1" applyFont="1" applyAlignment="1">
      <alignment horizontal="center"/>
      <protection/>
    </xf>
    <xf numFmtId="0" fontId="29" fillId="0" borderId="67" xfId="124" applyFont="1" applyBorder="1" applyAlignment="1">
      <alignment horizontal="center"/>
      <protection/>
    </xf>
    <xf numFmtId="0" fontId="29" fillId="0" borderId="33" xfId="124" applyFont="1" applyBorder="1" applyAlignment="1">
      <alignment horizontal="center"/>
      <protection/>
    </xf>
    <xf numFmtId="0" fontId="29" fillId="0" borderId="45" xfId="124" applyFont="1" applyBorder="1" applyAlignment="1">
      <alignment/>
      <protection/>
    </xf>
    <xf numFmtId="0" fontId="29" fillId="0" borderId="197" xfId="124" applyFont="1" applyBorder="1">
      <alignment/>
      <protection/>
    </xf>
    <xf numFmtId="0" fontId="69" fillId="0" borderId="64" xfId="124" applyFont="1" applyBorder="1" applyAlignment="1">
      <alignment horizontal="center"/>
      <protection/>
    </xf>
    <xf numFmtId="0" fontId="69" fillId="0" borderId="22" xfId="124" applyFont="1" applyBorder="1" applyAlignment="1">
      <alignment horizontal="center"/>
      <protection/>
    </xf>
    <xf numFmtId="0" fontId="69" fillId="55" borderId="14" xfId="124" applyFont="1" applyFill="1" applyBorder="1" applyAlignment="1">
      <alignment horizontal="center"/>
      <protection/>
    </xf>
    <xf numFmtId="0" fontId="69" fillId="55" borderId="22" xfId="124" applyFont="1" applyFill="1" applyBorder="1" applyAlignment="1">
      <alignment horizontal="center"/>
      <protection/>
    </xf>
    <xf numFmtId="2" fontId="29" fillId="0" borderId="25" xfId="124" applyNumberFormat="1" applyFont="1" applyBorder="1" applyAlignment="1">
      <alignment horizontal="center"/>
      <protection/>
    </xf>
    <xf numFmtId="0" fontId="29" fillId="0" borderId="34" xfId="124" applyFont="1" applyBorder="1" applyAlignment="1">
      <alignment horizontal="center"/>
      <protection/>
    </xf>
    <xf numFmtId="0" fontId="69" fillId="0" borderId="25" xfId="124" applyFont="1" applyBorder="1" applyAlignment="1">
      <alignment horizontal="center"/>
      <protection/>
    </xf>
    <xf numFmtId="0" fontId="69" fillId="0" borderId="34" xfId="124" applyFont="1" applyBorder="1" applyAlignment="1">
      <alignment horizontal="center"/>
      <protection/>
    </xf>
    <xf numFmtId="0" fontId="29" fillId="0" borderId="198" xfId="124" applyFont="1" applyBorder="1" applyAlignment="1">
      <alignment horizontal="center"/>
      <protection/>
    </xf>
    <xf numFmtId="0" fontId="29" fillId="0" borderId="199" xfId="124" applyFont="1" applyBorder="1" applyAlignment="1">
      <alignment horizontal="center"/>
      <protection/>
    </xf>
    <xf numFmtId="0" fontId="29" fillId="0" borderId="200" xfId="124" applyFont="1" applyBorder="1" applyAlignment="1">
      <alignment/>
      <protection/>
    </xf>
    <xf numFmtId="0" fontId="29" fillId="0" borderId="200" xfId="124" applyFont="1" applyBorder="1">
      <alignment/>
      <protection/>
    </xf>
    <xf numFmtId="0" fontId="69" fillId="0" borderId="201" xfId="124" applyFont="1" applyBorder="1" applyAlignment="1">
      <alignment horizontal="center"/>
      <protection/>
    </xf>
    <xf numFmtId="0" fontId="69" fillId="0" borderId="202" xfId="124" applyFont="1" applyBorder="1" applyAlignment="1">
      <alignment horizontal="center"/>
      <protection/>
    </xf>
    <xf numFmtId="0" fontId="69" fillId="55" borderId="203" xfId="124" applyFont="1" applyFill="1" applyBorder="1" applyAlignment="1">
      <alignment horizontal="center"/>
      <protection/>
    </xf>
    <xf numFmtId="0" fontId="69" fillId="55" borderId="202" xfId="124" applyFont="1" applyFill="1" applyBorder="1" applyAlignment="1">
      <alignment horizontal="center"/>
      <protection/>
    </xf>
    <xf numFmtId="0" fontId="29" fillId="0" borderId="204" xfId="124" applyFont="1" applyBorder="1" applyAlignment="1">
      <alignment horizontal="center"/>
      <protection/>
    </xf>
    <xf numFmtId="0" fontId="29" fillId="0" borderId="205" xfId="124" applyFont="1" applyBorder="1" applyAlignment="1">
      <alignment horizontal="center"/>
      <protection/>
    </xf>
    <xf numFmtId="0" fontId="69" fillId="0" borderId="206" xfId="124" applyFont="1" applyBorder="1" applyAlignment="1">
      <alignment horizontal="center"/>
      <protection/>
    </xf>
    <xf numFmtId="0" fontId="69" fillId="0" borderId="205" xfId="124" applyFont="1" applyBorder="1" applyAlignment="1">
      <alignment horizontal="center"/>
      <protection/>
    </xf>
    <xf numFmtId="0" fontId="77" fillId="56" borderId="70" xfId="124" applyFont="1" applyFill="1" applyBorder="1" applyAlignment="1">
      <alignment horizontal="center"/>
      <protection/>
    </xf>
    <xf numFmtId="0" fontId="77" fillId="56" borderId="13" xfId="124" applyFont="1" applyFill="1" applyBorder="1" applyAlignment="1">
      <alignment horizontal="center"/>
      <protection/>
    </xf>
    <xf numFmtId="0" fontId="77" fillId="56" borderId="13" xfId="124" applyFont="1" applyFill="1" applyBorder="1" applyAlignment="1">
      <alignment/>
      <protection/>
    </xf>
    <xf numFmtId="0" fontId="77" fillId="56" borderId="207" xfId="124" applyFont="1" applyFill="1" applyBorder="1" applyAlignment="1">
      <alignment horizontal="left"/>
      <protection/>
    </xf>
    <xf numFmtId="3" fontId="77" fillId="56" borderId="208" xfId="124" applyNumberFormat="1" applyFont="1" applyFill="1" applyBorder="1" applyAlignment="1">
      <alignment horizontal="right"/>
      <protection/>
    </xf>
    <xf numFmtId="3" fontId="77" fillId="56" borderId="36" xfId="124" applyNumberFormat="1" applyFont="1" applyFill="1" applyBorder="1" applyAlignment="1">
      <alignment horizontal="right"/>
      <protection/>
    </xf>
    <xf numFmtId="3" fontId="77" fillId="56" borderId="28" xfId="124" applyNumberFormat="1" applyFont="1" applyFill="1" applyBorder="1" applyAlignment="1">
      <alignment horizontal="right"/>
      <protection/>
    </xf>
    <xf numFmtId="3" fontId="77" fillId="56" borderId="28" xfId="124" applyNumberFormat="1" applyFont="1" applyFill="1" applyBorder="1" applyAlignment="1">
      <alignment horizontal="center"/>
      <protection/>
    </xf>
    <xf numFmtId="3" fontId="77" fillId="56" borderId="13" xfId="124" applyNumberFormat="1" applyFont="1" applyFill="1" applyBorder="1" applyAlignment="1">
      <alignment horizontal="right"/>
      <protection/>
    </xf>
    <xf numFmtId="0" fontId="29" fillId="33" borderId="65" xfId="124" applyFont="1" applyFill="1" applyBorder="1" applyAlignment="1">
      <alignment horizontal="center"/>
      <protection/>
    </xf>
    <xf numFmtId="0" fontId="29" fillId="33" borderId="11" xfId="124" applyFont="1" applyFill="1" applyBorder="1" applyAlignment="1">
      <alignment horizontal="center"/>
      <protection/>
    </xf>
    <xf numFmtId="0" fontId="29" fillId="33" borderId="166" xfId="124" applyFont="1" applyFill="1" applyBorder="1" applyAlignment="1">
      <alignment/>
      <protection/>
    </xf>
    <xf numFmtId="0" fontId="29" fillId="33" borderId="166" xfId="124" applyFont="1" applyFill="1" applyBorder="1">
      <alignment/>
      <protection/>
    </xf>
    <xf numFmtId="3" fontId="69" fillId="33" borderId="66" xfId="124" applyNumberFormat="1" applyFont="1" applyFill="1" applyBorder="1">
      <alignment/>
      <protection/>
    </xf>
    <xf numFmtId="3" fontId="69" fillId="33" borderId="23" xfId="124" applyNumberFormat="1" applyFont="1" applyFill="1" applyBorder="1">
      <alignment/>
      <protection/>
    </xf>
    <xf numFmtId="3" fontId="69" fillId="33" borderId="16" xfId="124" applyNumberFormat="1" applyFont="1" applyFill="1" applyBorder="1">
      <alignment/>
      <protection/>
    </xf>
    <xf numFmtId="3" fontId="69" fillId="33" borderId="16" xfId="124" applyNumberFormat="1" applyFont="1" applyFill="1" applyBorder="1" applyAlignment="1">
      <alignment horizontal="center"/>
      <protection/>
    </xf>
    <xf numFmtId="3" fontId="69" fillId="33" borderId="11" xfId="124" applyNumberFormat="1" applyFont="1" applyFill="1" applyBorder="1">
      <alignment/>
      <protection/>
    </xf>
    <xf numFmtId="0" fontId="29" fillId="0" borderId="65" xfId="124" applyFont="1" applyFill="1" applyBorder="1" applyAlignment="1">
      <alignment horizontal="center"/>
      <protection/>
    </xf>
    <xf numFmtId="0" fontId="29" fillId="0" borderId="11" xfId="124" applyFont="1" applyFill="1" applyBorder="1" applyAlignment="1">
      <alignment horizontal="center"/>
      <protection/>
    </xf>
    <xf numFmtId="0" fontId="29" fillId="0" borderId="166" xfId="124" applyFont="1" applyFill="1" applyBorder="1" applyAlignment="1">
      <alignment/>
      <protection/>
    </xf>
    <xf numFmtId="0" fontId="29" fillId="0" borderId="166" xfId="124" applyFont="1" applyFill="1" applyBorder="1">
      <alignment/>
      <protection/>
    </xf>
    <xf numFmtId="3" fontId="69" fillId="0" borderId="66" xfId="124" applyNumberFormat="1" applyFont="1" applyFill="1" applyBorder="1">
      <alignment/>
      <protection/>
    </xf>
    <xf numFmtId="3" fontId="69" fillId="0" borderId="23" xfId="124" applyNumberFormat="1" applyFont="1" applyFill="1" applyBorder="1">
      <alignment/>
      <protection/>
    </xf>
    <xf numFmtId="3" fontId="69" fillId="55" borderId="16" xfId="124" applyNumberFormat="1" applyFont="1" applyFill="1" applyBorder="1">
      <alignment/>
      <protection/>
    </xf>
    <xf numFmtId="3" fontId="69" fillId="55" borderId="23" xfId="124" applyNumberFormat="1" applyFont="1" applyFill="1" applyBorder="1">
      <alignment/>
      <protection/>
    </xf>
    <xf numFmtId="2" fontId="29" fillId="0" borderId="16" xfId="124" applyNumberFormat="1" applyFont="1" applyFill="1" applyBorder="1" applyAlignment="1">
      <alignment horizontal="center"/>
      <protection/>
    </xf>
    <xf numFmtId="3" fontId="29" fillId="0" borderId="11" xfId="124" applyNumberFormat="1" applyFont="1" applyFill="1" applyBorder="1">
      <alignment/>
      <protection/>
    </xf>
    <xf numFmtId="3" fontId="29" fillId="0" borderId="23" xfId="124" applyNumberFormat="1" applyFont="1" applyFill="1" applyBorder="1">
      <alignment/>
      <protection/>
    </xf>
    <xf numFmtId="3" fontId="69" fillId="0" borderId="16" xfId="124" applyNumberFormat="1" applyFont="1" applyFill="1" applyBorder="1">
      <alignment/>
      <protection/>
    </xf>
    <xf numFmtId="3" fontId="69" fillId="0" borderId="11" xfId="124" applyNumberFormat="1" applyFont="1" applyFill="1" applyBorder="1">
      <alignment/>
      <protection/>
    </xf>
    <xf numFmtId="2" fontId="153" fillId="0" borderId="0" xfId="124" applyNumberFormat="1" applyFont="1" applyAlignment="1">
      <alignment horizontal="left" wrapText="1"/>
      <protection/>
    </xf>
    <xf numFmtId="3" fontId="69" fillId="41" borderId="66" xfId="124" applyNumberFormat="1" applyFont="1" applyFill="1" applyBorder="1">
      <alignment/>
      <protection/>
    </xf>
    <xf numFmtId="3" fontId="69" fillId="48" borderId="23" xfId="124" applyNumberFormat="1" applyFont="1" applyFill="1" applyBorder="1">
      <alignment/>
      <protection/>
    </xf>
    <xf numFmtId="3" fontId="69" fillId="33" borderId="11" xfId="124" applyNumberFormat="1" applyFont="1" applyFill="1" applyBorder="1" applyAlignment="1">
      <alignment horizontal="center"/>
      <protection/>
    </xf>
    <xf numFmtId="3" fontId="69" fillId="33" borderId="66" xfId="124" applyNumberFormat="1" applyFont="1" applyFill="1" applyBorder="1" applyAlignment="1">
      <alignment horizontal="right"/>
      <protection/>
    </xf>
    <xf numFmtId="3" fontId="69" fillId="33" borderId="23" xfId="124" applyNumberFormat="1" applyFont="1" applyFill="1" applyBorder="1" applyAlignment="1">
      <alignment horizontal="right"/>
      <protection/>
    </xf>
    <xf numFmtId="3" fontId="69" fillId="33" borderId="16" xfId="124" applyNumberFormat="1" applyFont="1" applyFill="1" applyBorder="1" applyAlignment="1">
      <alignment horizontal="right"/>
      <protection/>
    </xf>
    <xf numFmtId="3" fontId="69" fillId="33" borderId="11" xfId="124" applyNumberFormat="1" applyFont="1" applyFill="1" applyBorder="1" applyAlignment="1">
      <alignment horizontal="right"/>
      <protection/>
    </xf>
    <xf numFmtId="0" fontId="73" fillId="0" borderId="65" xfId="124" applyFont="1" applyBorder="1" applyAlignment="1">
      <alignment horizontal="center"/>
      <protection/>
    </xf>
    <xf numFmtId="0" fontId="73" fillId="0" borderId="166" xfId="124" applyFont="1" applyBorder="1">
      <alignment/>
      <protection/>
    </xf>
    <xf numFmtId="3" fontId="69" fillId="48" borderId="66" xfId="124" applyNumberFormat="1" applyFont="1" applyFill="1" applyBorder="1" applyAlignment="1">
      <alignment horizontal="right"/>
      <protection/>
    </xf>
    <xf numFmtId="3" fontId="69" fillId="48" borderId="23" xfId="124" applyNumberFormat="1" applyFont="1" applyFill="1" applyBorder="1" applyAlignment="1">
      <alignment horizontal="right"/>
      <protection/>
    </xf>
    <xf numFmtId="3" fontId="69" fillId="55" borderId="16" xfId="124" applyNumberFormat="1" applyFont="1" applyFill="1" applyBorder="1" applyAlignment="1">
      <alignment horizontal="right"/>
      <protection/>
    </xf>
    <xf numFmtId="3" fontId="69" fillId="55" borderId="23" xfId="124" applyNumberFormat="1" applyFont="1" applyFill="1" applyBorder="1" applyAlignment="1">
      <alignment horizontal="right"/>
      <protection/>
    </xf>
    <xf numFmtId="3" fontId="69" fillId="0" borderId="16" xfId="124" applyNumberFormat="1" applyFont="1" applyFill="1" applyBorder="1" applyAlignment="1">
      <alignment horizontal="right"/>
      <protection/>
    </xf>
    <xf numFmtId="3" fontId="69" fillId="0" borderId="11" xfId="124" applyNumberFormat="1" applyFont="1" applyFill="1" applyBorder="1" applyAlignment="1">
      <alignment horizontal="right"/>
      <protection/>
    </xf>
    <xf numFmtId="3" fontId="151" fillId="55" borderId="16" xfId="124" applyNumberFormat="1" applyFont="1" applyFill="1" applyBorder="1" applyAlignment="1">
      <alignment horizontal="right"/>
      <protection/>
    </xf>
    <xf numFmtId="3" fontId="151" fillId="0" borderId="16" xfId="124" applyNumberFormat="1" applyFont="1" applyFill="1" applyBorder="1" applyAlignment="1">
      <alignment horizontal="right"/>
      <protection/>
    </xf>
    <xf numFmtId="3" fontId="151" fillId="0" borderId="11" xfId="124" applyNumberFormat="1" applyFont="1" applyFill="1" applyBorder="1" applyAlignment="1">
      <alignment horizontal="right"/>
      <protection/>
    </xf>
    <xf numFmtId="2" fontId="29" fillId="8" borderId="16" xfId="124" applyNumberFormat="1" applyFont="1" applyFill="1" applyBorder="1" applyAlignment="1">
      <alignment horizontal="center"/>
      <protection/>
    </xf>
    <xf numFmtId="3" fontId="69" fillId="0" borderId="66" xfId="124" applyNumberFormat="1" applyFont="1" applyFill="1" applyBorder="1" applyAlignment="1">
      <alignment horizontal="right"/>
      <protection/>
    </xf>
    <xf numFmtId="3" fontId="69" fillId="0" borderId="23" xfId="124" applyNumberFormat="1" applyFont="1" applyFill="1" applyBorder="1" applyAlignment="1">
      <alignment horizontal="right"/>
      <protection/>
    </xf>
    <xf numFmtId="0" fontId="29" fillId="33" borderId="76" xfId="124" applyFont="1" applyFill="1" applyBorder="1" applyAlignment="1">
      <alignment horizontal="center" vertical="center"/>
      <protection/>
    </xf>
    <xf numFmtId="0" fontId="29" fillId="33" borderId="21" xfId="124" applyFont="1" applyFill="1" applyBorder="1" applyAlignment="1">
      <alignment horizontal="center" vertical="center"/>
      <protection/>
    </xf>
    <xf numFmtId="0" fontId="29" fillId="33" borderId="80" xfId="124" applyFont="1" applyFill="1" applyBorder="1" applyAlignment="1">
      <alignment vertical="center"/>
      <protection/>
    </xf>
    <xf numFmtId="3" fontId="69" fillId="33" borderId="17" xfId="124" applyNumberFormat="1" applyFont="1" applyFill="1" applyBorder="1" applyAlignment="1">
      <alignment horizontal="right" vertical="center"/>
      <protection/>
    </xf>
    <xf numFmtId="3" fontId="69" fillId="33" borderId="81" xfId="124" applyNumberFormat="1" applyFont="1" applyFill="1" applyBorder="1" applyAlignment="1">
      <alignment horizontal="right" vertical="center"/>
      <protection/>
    </xf>
    <xf numFmtId="3" fontId="69" fillId="33" borderId="20" xfId="124" applyNumberFormat="1" applyFont="1" applyFill="1" applyBorder="1" applyAlignment="1">
      <alignment horizontal="right" vertical="center"/>
      <protection/>
    </xf>
    <xf numFmtId="3" fontId="69" fillId="52" borderId="81" xfId="124" applyNumberFormat="1" applyFont="1" applyFill="1" applyBorder="1" applyAlignment="1">
      <alignment horizontal="right" vertical="center"/>
      <protection/>
    </xf>
    <xf numFmtId="3" fontId="69" fillId="33" borderId="21" xfId="124" applyNumberFormat="1" applyFont="1" applyFill="1" applyBorder="1" applyAlignment="1">
      <alignment horizontal="right" vertical="center"/>
      <protection/>
    </xf>
    <xf numFmtId="0" fontId="77" fillId="56" borderId="14" xfId="124" applyFont="1" applyFill="1" applyBorder="1" applyAlignment="1">
      <alignment horizontal="center"/>
      <protection/>
    </xf>
    <xf numFmtId="0" fontId="77" fillId="56" borderId="74" xfId="124" applyFont="1" applyFill="1" applyBorder="1" applyAlignment="1">
      <alignment horizontal="center"/>
      <protection/>
    </xf>
    <xf numFmtId="0" fontId="77" fillId="56" borderId="15" xfId="124" applyFont="1" applyFill="1" applyBorder="1" applyAlignment="1">
      <alignment/>
      <protection/>
    </xf>
    <xf numFmtId="0" fontId="77" fillId="56" borderId="197" xfId="124" applyFont="1" applyFill="1" applyBorder="1" applyAlignment="1">
      <alignment horizontal="left"/>
      <protection/>
    </xf>
    <xf numFmtId="3" fontId="77" fillId="56" borderId="64" xfId="124" applyNumberFormat="1" applyFont="1" applyFill="1" applyBorder="1" applyAlignment="1">
      <alignment horizontal="right"/>
      <protection/>
    </xf>
    <xf numFmtId="3" fontId="77" fillId="56" borderId="22" xfId="124" applyNumberFormat="1" applyFont="1" applyFill="1" applyBorder="1" applyAlignment="1">
      <alignment horizontal="right"/>
      <protection/>
    </xf>
    <xf numFmtId="3" fontId="77" fillId="56" borderId="14" xfId="124" applyNumberFormat="1" applyFont="1" applyFill="1" applyBorder="1" applyAlignment="1">
      <alignment horizontal="right"/>
      <protection/>
    </xf>
    <xf numFmtId="2" fontId="52" fillId="56" borderId="14" xfId="124" applyNumberFormat="1" applyFont="1" applyFill="1" applyBorder="1" applyAlignment="1">
      <alignment horizontal="center"/>
      <protection/>
    </xf>
    <xf numFmtId="3" fontId="52" fillId="56" borderId="15" xfId="124" applyNumberFormat="1" applyFont="1" applyFill="1" applyBorder="1" applyAlignment="1">
      <alignment horizontal="right"/>
      <protection/>
    </xf>
    <xf numFmtId="3" fontId="52" fillId="56" borderId="22" xfId="124" applyNumberFormat="1" applyFont="1" applyFill="1" applyBorder="1" applyAlignment="1">
      <alignment horizontal="right"/>
      <protection/>
    </xf>
    <xf numFmtId="0" fontId="52" fillId="56" borderId="14" xfId="124" applyFont="1" applyFill="1" applyBorder="1" applyAlignment="1">
      <alignment horizontal="center"/>
      <protection/>
    </xf>
    <xf numFmtId="0" fontId="151" fillId="56" borderId="22" xfId="124" applyFont="1" applyFill="1" applyBorder="1" applyAlignment="1">
      <alignment horizontal="center"/>
      <protection/>
    </xf>
    <xf numFmtId="0" fontId="29" fillId="0" borderId="16" xfId="124" applyFont="1" applyBorder="1" applyAlignment="1">
      <alignment horizontal="center"/>
      <protection/>
    </xf>
    <xf numFmtId="0" fontId="29" fillId="0" borderId="72" xfId="124" applyFont="1" applyBorder="1" applyAlignment="1">
      <alignment horizontal="center"/>
      <protection/>
    </xf>
    <xf numFmtId="3" fontId="134" fillId="0" borderId="66" xfId="124" applyNumberFormat="1" applyFont="1" applyFill="1" applyBorder="1">
      <alignment/>
      <protection/>
    </xf>
    <xf numFmtId="49" fontId="153" fillId="0" borderId="16" xfId="124" applyNumberFormat="1" applyFont="1" applyFill="1" applyBorder="1" applyAlignment="1">
      <alignment horizontal="center"/>
      <protection/>
    </xf>
    <xf numFmtId="0" fontId="153" fillId="0" borderId="23" xfId="124" applyFont="1" applyBorder="1" applyAlignment="1">
      <alignment horizontal="center"/>
      <protection/>
    </xf>
    <xf numFmtId="0" fontId="29" fillId="0" borderId="166" xfId="124" applyFont="1" applyBorder="1">
      <alignment/>
      <protection/>
    </xf>
    <xf numFmtId="3" fontId="69" fillId="48" borderId="66" xfId="124" applyNumberFormat="1" applyFont="1" applyFill="1" applyBorder="1">
      <alignment/>
      <protection/>
    </xf>
    <xf numFmtId="0" fontId="56" fillId="0" borderId="166" xfId="124" applyFont="1" applyFill="1" applyBorder="1">
      <alignment/>
      <protection/>
    </xf>
    <xf numFmtId="3" fontId="29" fillId="0" borderId="0" xfId="124" applyNumberFormat="1" applyFont="1" applyFill="1" applyBorder="1" applyAlignment="1">
      <alignment horizontal="left" wrapText="1"/>
      <protection/>
    </xf>
    <xf numFmtId="0" fontId="29" fillId="8" borderId="16" xfId="124" applyFont="1" applyFill="1" applyBorder="1" applyAlignment="1">
      <alignment horizontal="center"/>
      <protection/>
    </xf>
    <xf numFmtId="0" fontId="29" fillId="8" borderId="72" xfId="124" applyFont="1" applyFill="1" applyBorder="1" applyAlignment="1">
      <alignment horizontal="center"/>
      <protection/>
    </xf>
    <xf numFmtId="0" fontId="29" fillId="8" borderId="166" xfId="124" applyFont="1" applyFill="1" applyBorder="1" applyAlignment="1">
      <alignment/>
      <protection/>
    </xf>
    <xf numFmtId="3" fontId="69" fillId="8" borderId="66" xfId="124" applyNumberFormat="1" applyFont="1" applyFill="1" applyBorder="1">
      <alignment/>
      <protection/>
    </xf>
    <xf numFmtId="3" fontId="69" fillId="8" borderId="23" xfId="124" applyNumberFormat="1" applyFont="1" applyFill="1" applyBorder="1">
      <alignment/>
      <protection/>
    </xf>
    <xf numFmtId="3" fontId="69" fillId="8" borderId="16" xfId="124" applyNumberFormat="1" applyFont="1" applyFill="1" applyBorder="1">
      <alignment/>
      <protection/>
    </xf>
    <xf numFmtId="2" fontId="29" fillId="8" borderId="11" xfId="124" applyNumberFormat="1" applyFont="1" applyFill="1" applyBorder="1">
      <alignment/>
      <protection/>
    </xf>
    <xf numFmtId="3" fontId="29" fillId="8" borderId="23" xfId="124" applyNumberFormat="1" applyFont="1" applyFill="1" applyBorder="1">
      <alignment/>
      <protection/>
    </xf>
    <xf numFmtId="49" fontId="153" fillId="8" borderId="16" xfId="124" applyNumberFormat="1" applyFont="1" applyFill="1" applyBorder="1" applyAlignment="1">
      <alignment horizontal="center"/>
      <protection/>
    </xf>
    <xf numFmtId="0" fontId="153" fillId="8" borderId="23" xfId="124" applyFont="1" applyFill="1" applyBorder="1" applyAlignment="1">
      <alignment horizontal="center"/>
      <protection/>
    </xf>
    <xf numFmtId="3" fontId="151" fillId="55" borderId="16" xfId="124" applyNumberFormat="1" applyFont="1" applyFill="1" applyBorder="1">
      <alignment/>
      <protection/>
    </xf>
    <xf numFmtId="0" fontId="29" fillId="41" borderId="166" xfId="124" applyFont="1" applyFill="1" applyBorder="1" applyAlignment="1">
      <alignment horizontal="left"/>
      <protection/>
    </xf>
    <xf numFmtId="0" fontId="128" fillId="0" borderId="166" xfId="124" applyFont="1" applyFill="1" applyBorder="1">
      <alignment/>
      <protection/>
    </xf>
    <xf numFmtId="49" fontId="153" fillId="57" borderId="16" xfId="124" applyNumberFormat="1" applyFont="1" applyFill="1" applyBorder="1" applyAlignment="1">
      <alignment horizontal="center"/>
      <protection/>
    </xf>
    <xf numFmtId="0" fontId="29" fillId="0" borderId="86" xfId="124" applyFont="1" applyBorder="1" applyAlignment="1">
      <alignment horizontal="center"/>
      <protection/>
    </xf>
    <xf numFmtId="0" fontId="128" fillId="0" borderId="181" xfId="124" applyFont="1" applyFill="1" applyBorder="1">
      <alignment/>
      <protection/>
    </xf>
    <xf numFmtId="3" fontId="69" fillId="0" borderId="75" xfId="124" applyNumberFormat="1" applyFont="1" applyFill="1" applyBorder="1">
      <alignment/>
      <protection/>
    </xf>
    <xf numFmtId="3" fontId="69" fillId="0" borderId="39" xfId="124" applyNumberFormat="1" applyFont="1" applyFill="1" applyBorder="1">
      <alignment/>
      <protection/>
    </xf>
    <xf numFmtId="3" fontId="69" fillId="55" borderId="37" xfId="124" applyNumberFormat="1" applyFont="1" applyFill="1" applyBorder="1">
      <alignment/>
      <protection/>
    </xf>
    <xf numFmtId="3" fontId="69" fillId="55" borderId="39" xfId="124" applyNumberFormat="1" applyFont="1" applyFill="1" applyBorder="1">
      <alignment/>
      <protection/>
    </xf>
    <xf numFmtId="49" fontId="128" fillId="57" borderId="16" xfId="124" applyNumberFormat="1" applyFont="1" applyFill="1" applyBorder="1" applyAlignment="1">
      <alignment horizontal="center"/>
      <protection/>
    </xf>
    <xf numFmtId="3" fontId="69" fillId="48" borderId="75" xfId="124" applyNumberFormat="1" applyFont="1" applyFill="1" applyBorder="1">
      <alignment/>
      <protection/>
    </xf>
    <xf numFmtId="3" fontId="69" fillId="48" borderId="39" xfId="124" applyNumberFormat="1" applyFont="1" applyFill="1" applyBorder="1">
      <alignment/>
      <protection/>
    </xf>
    <xf numFmtId="0" fontId="153" fillId="0" borderId="39" xfId="124" applyFont="1" applyBorder="1" applyAlignment="1">
      <alignment horizontal="center"/>
      <protection/>
    </xf>
    <xf numFmtId="3" fontId="58" fillId="13" borderId="24" xfId="124" applyNumberFormat="1" applyFont="1" applyFill="1" applyBorder="1">
      <alignment/>
      <protection/>
    </xf>
    <xf numFmtId="0" fontId="29" fillId="13" borderId="18" xfId="124" applyFont="1" applyFill="1" applyBorder="1" applyAlignment="1">
      <alignment horizontal="center"/>
      <protection/>
    </xf>
    <xf numFmtId="0" fontId="73" fillId="33" borderId="28" xfId="124" applyFont="1" applyFill="1" applyBorder="1" applyAlignment="1">
      <alignment horizontal="center"/>
      <protection/>
    </xf>
    <xf numFmtId="0" fontId="73" fillId="33" borderId="71" xfId="124" applyFont="1" applyFill="1" applyBorder="1" applyAlignment="1">
      <alignment horizontal="center"/>
      <protection/>
    </xf>
    <xf numFmtId="0" fontId="73" fillId="33" borderId="13" xfId="124" applyFont="1" applyFill="1" applyBorder="1" applyAlignment="1">
      <alignment/>
      <protection/>
    </xf>
    <xf numFmtId="0" fontId="73" fillId="33" borderId="207" xfId="124" applyFont="1" applyFill="1" applyBorder="1" applyAlignment="1">
      <alignment horizontal="center"/>
      <protection/>
    </xf>
    <xf numFmtId="3" fontId="111" fillId="52" borderId="66" xfId="124" applyNumberFormat="1" applyFont="1" applyFill="1" applyBorder="1">
      <alignment/>
      <protection/>
    </xf>
    <xf numFmtId="3" fontId="111" fillId="52" borderId="23" xfId="124" applyNumberFormat="1" applyFont="1" applyFill="1" applyBorder="1">
      <alignment/>
      <protection/>
    </xf>
    <xf numFmtId="3" fontId="111" fillId="52" borderId="16" xfId="124" applyNumberFormat="1" applyFont="1" applyFill="1" applyBorder="1">
      <alignment/>
      <protection/>
    </xf>
    <xf numFmtId="2" fontId="73" fillId="52" borderId="16" xfId="124" applyNumberFormat="1" applyFont="1" applyFill="1" applyBorder="1" applyAlignment="1">
      <alignment horizontal="center"/>
      <protection/>
    </xf>
    <xf numFmtId="3" fontId="29" fillId="52" borderId="15" xfId="124" applyNumberFormat="1" applyFont="1" applyFill="1" applyBorder="1">
      <alignment/>
      <protection/>
    </xf>
    <xf numFmtId="3" fontId="29" fillId="52" borderId="23" xfId="124" applyNumberFormat="1" applyFont="1" applyFill="1" applyBorder="1">
      <alignment/>
      <protection/>
    </xf>
    <xf numFmtId="0" fontId="154" fillId="33" borderId="36" xfId="124" applyFont="1" applyFill="1" applyBorder="1" applyAlignment="1">
      <alignment horizontal="center"/>
      <protection/>
    </xf>
    <xf numFmtId="0" fontId="29" fillId="0" borderId="11" xfId="124" applyFont="1" applyBorder="1" applyAlignment="1">
      <alignment/>
      <protection/>
    </xf>
    <xf numFmtId="0" fontId="76" fillId="0" borderId="66" xfId="124" applyFont="1" applyBorder="1">
      <alignment/>
      <protection/>
    </xf>
    <xf numFmtId="0" fontId="76" fillId="0" borderId="23" xfId="124" applyFont="1" applyBorder="1">
      <alignment/>
      <protection/>
    </xf>
    <xf numFmtId="0" fontId="76" fillId="55" borderId="16" xfId="124" applyFont="1" applyFill="1" applyBorder="1">
      <alignment/>
      <protection/>
    </xf>
    <xf numFmtId="0" fontId="76" fillId="55" borderId="23" xfId="124" applyFont="1" applyFill="1" applyBorder="1">
      <alignment/>
      <protection/>
    </xf>
    <xf numFmtId="2" fontId="56" fillId="0" borderId="16" xfId="124" applyNumberFormat="1" applyFont="1" applyBorder="1" applyAlignment="1">
      <alignment horizontal="center"/>
      <protection/>
    </xf>
    <xf numFmtId="0" fontId="73" fillId="33" borderId="16" xfId="124" applyFont="1" applyFill="1" applyBorder="1" applyAlignment="1">
      <alignment horizontal="center"/>
      <protection/>
    </xf>
    <xf numFmtId="0" fontId="73" fillId="52" borderId="72" xfId="124" applyFont="1" applyFill="1" applyBorder="1" applyAlignment="1">
      <alignment horizontal="center"/>
      <protection/>
    </xf>
    <xf numFmtId="0" fontId="73" fillId="52" borderId="11" xfId="124" applyFont="1" applyFill="1" applyBorder="1" applyAlignment="1">
      <alignment/>
      <protection/>
    </xf>
    <xf numFmtId="0" fontId="73" fillId="52" borderId="166" xfId="124" applyFont="1" applyFill="1" applyBorder="1" applyAlignment="1">
      <alignment horizontal="center"/>
      <protection/>
    </xf>
    <xf numFmtId="3" fontId="111" fillId="33" borderId="66" xfId="124" applyNumberFormat="1" applyFont="1" applyFill="1" applyBorder="1" applyAlignment="1">
      <alignment horizontal="right"/>
      <protection/>
    </xf>
    <xf numFmtId="3" fontId="111" fillId="33" borderId="23" xfId="124" applyNumberFormat="1" applyFont="1" applyFill="1" applyBorder="1" applyAlignment="1">
      <alignment horizontal="right"/>
      <protection/>
    </xf>
    <xf numFmtId="3" fontId="111" fillId="33" borderId="16" xfId="124" applyNumberFormat="1" applyFont="1" applyFill="1" applyBorder="1" applyAlignment="1">
      <alignment horizontal="right"/>
      <protection/>
    </xf>
    <xf numFmtId="3" fontId="29" fillId="33" borderId="11" xfId="124" applyNumberFormat="1" applyFont="1" applyFill="1" applyBorder="1" applyAlignment="1">
      <alignment horizontal="right"/>
      <protection/>
    </xf>
    <xf numFmtId="3" fontId="29" fillId="33" borderId="23" xfId="124" applyNumberFormat="1" applyFont="1" applyFill="1" applyBorder="1" applyAlignment="1">
      <alignment horizontal="right"/>
      <protection/>
    </xf>
    <xf numFmtId="0" fontId="73" fillId="52" borderId="16" xfId="124" applyFont="1" applyFill="1" applyBorder="1" applyAlignment="1">
      <alignment horizontal="center"/>
      <protection/>
    </xf>
    <xf numFmtId="0" fontId="154" fillId="33" borderId="23" xfId="124" applyFont="1" applyFill="1" applyBorder="1" applyAlignment="1">
      <alignment horizontal="center"/>
      <protection/>
    </xf>
    <xf numFmtId="0" fontId="29" fillId="0" borderId="28" xfId="124" applyFont="1" applyBorder="1" applyAlignment="1">
      <alignment horizontal="center"/>
      <protection/>
    </xf>
    <xf numFmtId="0" fontId="29" fillId="0" borderId="71" xfId="124" applyFont="1" applyBorder="1" applyAlignment="1">
      <alignment horizontal="center"/>
      <protection/>
    </xf>
    <xf numFmtId="0" fontId="29" fillId="0" borderId="13" xfId="124" applyFont="1" applyBorder="1" applyAlignment="1">
      <alignment/>
      <protection/>
    </xf>
    <xf numFmtId="0" fontId="29" fillId="0" borderId="207" xfId="124" applyFont="1" applyBorder="1">
      <alignment/>
      <protection/>
    </xf>
    <xf numFmtId="3" fontId="69" fillId="48" borderId="208" xfId="124" applyNumberFormat="1" applyFont="1" applyFill="1" applyBorder="1" applyAlignment="1">
      <alignment horizontal="right"/>
      <protection/>
    </xf>
    <xf numFmtId="3" fontId="69" fillId="48" borderId="36" xfId="124" applyNumberFormat="1" applyFont="1" applyFill="1" applyBorder="1" applyAlignment="1">
      <alignment horizontal="right"/>
      <protection/>
    </xf>
    <xf numFmtId="3" fontId="69" fillId="55" borderId="28" xfId="124" applyNumberFormat="1" applyFont="1" applyFill="1" applyBorder="1" applyAlignment="1">
      <alignment horizontal="right"/>
      <protection/>
    </xf>
    <xf numFmtId="3" fontId="69" fillId="55" borderId="36" xfId="124" applyNumberFormat="1" applyFont="1" applyFill="1" applyBorder="1" applyAlignment="1">
      <alignment horizontal="right"/>
      <protection/>
    </xf>
    <xf numFmtId="2" fontId="29" fillId="48" borderId="28" xfId="124" applyNumberFormat="1" applyFont="1" applyFill="1" applyBorder="1" applyAlignment="1">
      <alignment horizontal="center"/>
      <protection/>
    </xf>
    <xf numFmtId="3" fontId="29" fillId="0" borderId="13" xfId="124" applyNumberFormat="1" applyFont="1" applyFill="1" applyBorder="1">
      <alignment/>
      <protection/>
    </xf>
    <xf numFmtId="3" fontId="29" fillId="0" borderId="36" xfId="124" applyNumberFormat="1" applyFont="1" applyFill="1" applyBorder="1">
      <alignment/>
      <protection/>
    </xf>
    <xf numFmtId="0" fontId="153" fillId="0" borderId="36" xfId="124" applyFont="1" applyBorder="1" applyAlignment="1">
      <alignment horizontal="center"/>
      <protection/>
    </xf>
    <xf numFmtId="3" fontId="111" fillId="33" borderId="23" xfId="124" applyNumberFormat="1" applyFont="1" applyFill="1" applyBorder="1">
      <alignment/>
      <protection/>
    </xf>
    <xf numFmtId="3" fontId="29" fillId="52" borderId="11" xfId="124" applyNumberFormat="1" applyFont="1" applyFill="1" applyBorder="1">
      <alignment/>
      <protection/>
    </xf>
    <xf numFmtId="0" fontId="154" fillId="52" borderId="23" xfId="124" applyFont="1" applyFill="1" applyBorder="1" applyAlignment="1">
      <alignment horizontal="center"/>
      <protection/>
    </xf>
    <xf numFmtId="3" fontId="155" fillId="0" borderId="66" xfId="124" applyNumberFormat="1" applyFont="1" applyFill="1" applyBorder="1">
      <alignment/>
      <protection/>
    </xf>
    <xf numFmtId="3" fontId="29" fillId="0" borderId="0" xfId="124" applyNumberFormat="1" applyFont="1" applyFill="1" applyBorder="1" applyAlignment="1">
      <alignment wrapText="1"/>
      <protection/>
    </xf>
    <xf numFmtId="0" fontId="29" fillId="0" borderId="38" xfId="124" applyFont="1" applyBorder="1" applyAlignment="1">
      <alignment/>
      <protection/>
    </xf>
    <xf numFmtId="0" fontId="29" fillId="0" borderId="181" xfId="124" applyFont="1" applyBorder="1" applyAlignment="1">
      <alignment horizontal="left"/>
      <protection/>
    </xf>
    <xf numFmtId="0" fontId="29" fillId="0" borderId="37" xfId="124" applyFont="1" applyBorder="1" applyAlignment="1">
      <alignment horizontal="center"/>
      <protection/>
    </xf>
    <xf numFmtId="2" fontId="153" fillId="48" borderId="16" xfId="124" applyNumberFormat="1" applyFont="1" applyFill="1" applyBorder="1" applyAlignment="1">
      <alignment horizontal="center"/>
      <protection/>
    </xf>
    <xf numFmtId="3" fontId="111" fillId="0" borderId="66" xfId="124" applyNumberFormat="1" applyFont="1" applyFill="1" applyBorder="1">
      <alignment/>
      <protection/>
    </xf>
    <xf numFmtId="3" fontId="111" fillId="0" borderId="23" xfId="124" applyNumberFormat="1" applyFont="1" applyFill="1" applyBorder="1">
      <alignment/>
      <protection/>
    </xf>
    <xf numFmtId="3" fontId="111" fillId="55" borderId="16" xfId="124" applyNumberFormat="1" applyFont="1" applyFill="1" applyBorder="1">
      <alignment/>
      <protection/>
    </xf>
    <xf numFmtId="3" fontId="111" fillId="55" borderId="23" xfId="124" applyNumberFormat="1" applyFont="1" applyFill="1" applyBorder="1">
      <alignment/>
      <protection/>
    </xf>
    <xf numFmtId="3" fontId="69" fillId="48" borderId="75" xfId="124" applyNumberFormat="1" applyFont="1" applyFill="1" applyBorder="1" applyAlignment="1">
      <alignment horizontal="right"/>
      <protection/>
    </xf>
    <xf numFmtId="3" fontId="69" fillId="48" borderId="39" xfId="124" applyNumberFormat="1" applyFont="1" applyFill="1" applyBorder="1" applyAlignment="1">
      <alignment horizontal="right"/>
      <protection/>
    </xf>
    <xf numFmtId="3" fontId="69" fillId="55" borderId="37" xfId="124" applyNumberFormat="1" applyFont="1" applyFill="1" applyBorder="1" applyAlignment="1">
      <alignment horizontal="right"/>
      <protection/>
    </xf>
    <xf numFmtId="3" fontId="69" fillId="55" borderId="39" xfId="124" applyNumberFormat="1" applyFont="1" applyFill="1" applyBorder="1" applyAlignment="1">
      <alignment horizontal="right"/>
      <protection/>
    </xf>
    <xf numFmtId="3" fontId="69" fillId="0" borderId="75" xfId="124" applyNumberFormat="1" applyFont="1" applyFill="1" applyBorder="1" applyAlignment="1">
      <alignment horizontal="right"/>
      <protection/>
    </xf>
    <xf numFmtId="3" fontId="69" fillId="0" borderId="39" xfId="124" applyNumberFormat="1" applyFont="1" applyFill="1" applyBorder="1" applyAlignment="1">
      <alignment horizontal="right"/>
      <protection/>
    </xf>
    <xf numFmtId="0" fontId="56" fillId="0" borderId="166" xfId="124" applyFont="1" applyBorder="1">
      <alignment/>
      <protection/>
    </xf>
    <xf numFmtId="0" fontId="77" fillId="56" borderId="100" xfId="124" applyFont="1" applyFill="1" applyBorder="1" applyAlignment="1">
      <alignment horizontal="left"/>
      <protection/>
    </xf>
    <xf numFmtId="3" fontId="77" fillId="56" borderId="62" xfId="124" applyNumberFormat="1" applyFont="1" applyFill="1" applyBorder="1">
      <alignment/>
      <protection/>
    </xf>
    <xf numFmtId="3" fontId="77" fillId="56" borderId="24" xfId="124" applyNumberFormat="1" applyFont="1" applyFill="1" applyBorder="1">
      <alignment/>
      <protection/>
    </xf>
    <xf numFmtId="3" fontId="77" fillId="56" borderId="18" xfId="124" applyNumberFormat="1" applyFont="1" applyFill="1" applyBorder="1">
      <alignment/>
      <protection/>
    </xf>
    <xf numFmtId="2" fontId="52" fillId="56" borderId="18" xfId="124" applyNumberFormat="1" applyFont="1" applyFill="1" applyBorder="1" applyAlignment="1">
      <alignment horizontal="center"/>
      <protection/>
    </xf>
    <xf numFmtId="3" fontId="52" fillId="56" borderId="19" xfId="124" applyNumberFormat="1" applyFont="1" applyFill="1" applyBorder="1">
      <alignment/>
      <protection/>
    </xf>
    <xf numFmtId="3" fontId="52" fillId="56" borderId="24" xfId="124" applyNumberFormat="1" applyFont="1" applyFill="1" applyBorder="1">
      <alignment/>
      <protection/>
    </xf>
    <xf numFmtId="3" fontId="52" fillId="56" borderId="18" xfId="124" applyNumberFormat="1" applyFont="1" applyFill="1" applyBorder="1">
      <alignment/>
      <protection/>
    </xf>
    <xf numFmtId="0" fontId="29" fillId="0" borderId="207" xfId="124" applyFont="1" applyBorder="1" applyAlignment="1">
      <alignment horizontal="center"/>
      <protection/>
    </xf>
    <xf numFmtId="0" fontId="29" fillId="0" borderId="207" xfId="124" applyFont="1" applyBorder="1" applyAlignment="1">
      <alignment/>
      <protection/>
    </xf>
    <xf numFmtId="3" fontId="76" fillId="0" borderId="208" xfId="124" applyNumberFormat="1" applyFont="1" applyBorder="1">
      <alignment/>
      <protection/>
    </xf>
    <xf numFmtId="3" fontId="76" fillId="0" borderId="36" xfId="124" applyNumberFormat="1" applyFont="1" applyBorder="1">
      <alignment/>
      <protection/>
    </xf>
    <xf numFmtId="3" fontId="76" fillId="55" borderId="28" xfId="124" applyNumberFormat="1" applyFont="1" applyFill="1" applyBorder="1">
      <alignment/>
      <protection/>
    </xf>
    <xf numFmtId="3" fontId="76" fillId="55" borderId="36" xfId="124" applyNumberFormat="1" applyFont="1" applyFill="1" applyBorder="1">
      <alignment/>
      <protection/>
    </xf>
    <xf numFmtId="2" fontId="29" fillId="0" borderId="207" xfId="124" applyNumberFormat="1" applyFont="1" applyBorder="1">
      <alignment/>
      <protection/>
    </xf>
    <xf numFmtId="0" fontId="29" fillId="0" borderId="65" xfId="124" applyFont="1" applyBorder="1" applyAlignment="1">
      <alignment horizontal="center"/>
      <protection/>
    </xf>
    <xf numFmtId="0" fontId="29" fillId="0" borderId="166" xfId="124" applyFont="1" applyBorder="1" applyAlignment="1">
      <alignment horizontal="center"/>
      <protection/>
    </xf>
    <xf numFmtId="3" fontId="76" fillId="48" borderId="66" xfId="124" applyNumberFormat="1" applyFont="1" applyFill="1" applyBorder="1">
      <alignment/>
      <protection/>
    </xf>
    <xf numFmtId="3" fontId="76" fillId="48" borderId="23" xfId="124" applyNumberFormat="1" applyFont="1" applyFill="1" applyBorder="1">
      <alignment/>
      <protection/>
    </xf>
    <xf numFmtId="3" fontId="76" fillId="55" borderId="16" xfId="124" applyNumberFormat="1" applyFont="1" applyFill="1" applyBorder="1">
      <alignment/>
      <protection/>
    </xf>
    <xf numFmtId="3" fontId="76" fillId="55" borderId="23" xfId="124" applyNumberFormat="1" applyFont="1" applyFill="1" applyBorder="1">
      <alignment/>
      <protection/>
    </xf>
    <xf numFmtId="2" fontId="29" fillId="48" borderId="166" xfId="124" applyNumberFormat="1" applyFont="1" applyFill="1" applyBorder="1">
      <alignment/>
      <protection/>
    </xf>
    <xf numFmtId="0" fontId="29" fillId="0" borderId="166" xfId="124" applyFont="1" applyBorder="1" applyAlignment="1">
      <alignment/>
      <protection/>
    </xf>
    <xf numFmtId="3" fontId="151" fillId="55" borderId="23" xfId="124" applyNumberFormat="1" applyFont="1" applyFill="1" applyBorder="1">
      <alignment/>
      <protection/>
    </xf>
    <xf numFmtId="2" fontId="29" fillId="0" borderId="166" xfId="124" applyNumberFormat="1" applyFont="1" applyFill="1" applyBorder="1">
      <alignment/>
      <protection/>
    </xf>
    <xf numFmtId="49" fontId="151" fillId="0" borderId="0" xfId="124" applyNumberFormat="1" applyFont="1" applyAlignment="1">
      <alignment horizontal="left" wrapText="1"/>
      <protection/>
    </xf>
    <xf numFmtId="0" fontId="29" fillId="0" borderId="80" xfId="124" applyFont="1" applyBorder="1" applyAlignment="1">
      <alignment horizontal="center"/>
      <protection/>
    </xf>
    <xf numFmtId="0" fontId="29" fillId="0" borderId="80" xfId="124" applyFont="1" applyBorder="1" applyAlignment="1">
      <alignment/>
      <protection/>
    </xf>
    <xf numFmtId="0" fontId="29" fillId="0" borderId="80" xfId="124" applyFont="1" applyBorder="1">
      <alignment/>
      <protection/>
    </xf>
    <xf numFmtId="3" fontId="69" fillId="41" borderId="17" xfId="124" applyNumberFormat="1" applyFont="1" applyFill="1" applyBorder="1">
      <alignment/>
      <protection/>
    </xf>
    <xf numFmtId="3" fontId="69" fillId="48" borderId="81" xfId="124" applyNumberFormat="1" applyFont="1" applyFill="1" applyBorder="1">
      <alignment/>
      <protection/>
    </xf>
    <xf numFmtId="3" fontId="69" fillId="55" borderId="20" xfId="124" applyNumberFormat="1" applyFont="1" applyFill="1" applyBorder="1">
      <alignment/>
      <protection/>
    </xf>
    <xf numFmtId="3" fontId="69" fillId="55" borderId="81" xfId="124" applyNumberFormat="1" applyFont="1" applyFill="1" applyBorder="1">
      <alignment/>
      <protection/>
    </xf>
    <xf numFmtId="3" fontId="29" fillId="0" borderId="21" xfId="124" applyNumberFormat="1" applyFont="1" applyFill="1" applyBorder="1">
      <alignment/>
      <protection/>
    </xf>
    <xf numFmtId="3" fontId="29" fillId="0" borderId="81" xfId="124" applyNumberFormat="1" applyFont="1" applyFill="1" applyBorder="1">
      <alignment/>
      <protection/>
    </xf>
    <xf numFmtId="2" fontId="29" fillId="48" borderId="80" xfId="124" applyNumberFormat="1" applyFont="1" applyFill="1" applyBorder="1">
      <alignment/>
      <protection/>
    </xf>
    <xf numFmtId="2" fontId="153" fillId="0" borderId="0" xfId="124" applyNumberFormat="1" applyFont="1" applyFill="1" applyAlignment="1">
      <alignment horizontal="left" vertical="center"/>
      <protection/>
    </xf>
    <xf numFmtId="0" fontId="128" fillId="0" borderId="207" xfId="124" applyFont="1" applyBorder="1">
      <alignment/>
      <protection/>
    </xf>
    <xf numFmtId="0" fontId="32" fillId="0" borderId="0" xfId="124" applyFont="1" applyAlignment="1">
      <alignment vertical="center"/>
      <protection/>
    </xf>
    <xf numFmtId="0" fontId="64" fillId="0" borderId="0" xfId="124" applyFont="1">
      <alignment/>
      <protection/>
    </xf>
    <xf numFmtId="0" fontId="57" fillId="0" borderId="0" xfId="124" applyFont="1">
      <alignment/>
      <protection/>
    </xf>
    <xf numFmtId="0" fontId="29" fillId="0" borderId="46" xfId="124" applyFont="1" applyBorder="1" applyAlignment="1">
      <alignment horizontal="center"/>
      <protection/>
    </xf>
    <xf numFmtId="0" fontId="29" fillId="0" borderId="46" xfId="124" applyFont="1" applyBorder="1" applyAlignment="1">
      <alignment/>
      <protection/>
    </xf>
    <xf numFmtId="0" fontId="29" fillId="0" borderId="46" xfId="124" applyFont="1" applyBorder="1">
      <alignment/>
      <protection/>
    </xf>
    <xf numFmtId="0" fontId="76" fillId="0" borderId="46" xfId="124" applyFont="1" applyBorder="1">
      <alignment/>
      <protection/>
    </xf>
    <xf numFmtId="2" fontId="56" fillId="0" borderId="46" xfId="124" applyNumberFormat="1" applyFont="1" applyBorder="1" applyAlignment="1">
      <alignment horizontal="center"/>
      <protection/>
    </xf>
    <xf numFmtId="0" fontId="56" fillId="0" borderId="46" xfId="124" applyFont="1" applyBorder="1">
      <alignment/>
      <protection/>
    </xf>
    <xf numFmtId="0" fontId="73" fillId="0" borderId="46" xfId="124" applyFont="1" applyBorder="1" applyAlignment="1">
      <alignment horizontal="left"/>
      <protection/>
    </xf>
    <xf numFmtId="0" fontId="154" fillId="0" borderId="46" xfId="124" applyFont="1" applyBorder="1" applyAlignment="1">
      <alignment horizontal="left"/>
      <protection/>
    </xf>
    <xf numFmtId="3" fontId="77" fillId="56" borderId="19" xfId="124" applyNumberFormat="1" applyFont="1" applyFill="1" applyBorder="1">
      <alignment/>
      <protection/>
    </xf>
    <xf numFmtId="0" fontId="73" fillId="0" borderId="0" xfId="124" applyFont="1" applyAlignment="1">
      <alignment horizontal="left"/>
      <protection/>
    </xf>
    <xf numFmtId="0" fontId="154" fillId="0" borderId="0" xfId="124" applyFont="1" applyAlignment="1">
      <alignment horizontal="left"/>
      <protection/>
    </xf>
    <xf numFmtId="0" fontId="77" fillId="0" borderId="0" xfId="124" applyFont="1" applyFill="1" applyBorder="1" applyAlignment="1">
      <alignment horizontal="center"/>
      <protection/>
    </xf>
    <xf numFmtId="0" fontId="77" fillId="0" borderId="0" xfId="124" applyFont="1" applyFill="1" applyBorder="1" applyAlignment="1">
      <alignment/>
      <protection/>
    </xf>
    <xf numFmtId="3" fontId="77" fillId="0" borderId="0" xfId="124" applyNumberFormat="1" applyFont="1" applyFill="1" applyBorder="1">
      <alignment/>
      <protection/>
    </xf>
    <xf numFmtId="3" fontId="76" fillId="0" borderId="0" xfId="124" applyNumberFormat="1" applyFont="1" applyFill="1" applyBorder="1">
      <alignment/>
      <protection/>
    </xf>
    <xf numFmtId="2" fontId="56" fillId="0" borderId="0" xfId="124" applyNumberFormat="1" applyFont="1" applyFill="1" applyBorder="1" applyAlignment="1">
      <alignment horizontal="center"/>
      <protection/>
    </xf>
    <xf numFmtId="3" fontId="56" fillId="0" borderId="0" xfId="124" applyNumberFormat="1" applyFont="1" applyFill="1" applyBorder="1">
      <alignment/>
      <protection/>
    </xf>
    <xf numFmtId="0" fontId="32" fillId="0" borderId="0" xfId="124" applyFont="1" applyFill="1" applyBorder="1" applyAlignment="1">
      <alignment horizontal="center"/>
      <protection/>
    </xf>
    <xf numFmtId="0" fontId="32" fillId="0" borderId="0" xfId="124" applyFont="1" applyFill="1" applyBorder="1" applyAlignment="1">
      <alignment/>
      <protection/>
    </xf>
    <xf numFmtId="0" fontId="156" fillId="0" borderId="0" xfId="124" applyFont="1" applyFill="1" applyBorder="1" applyAlignment="1">
      <alignment horizontal="right"/>
      <protection/>
    </xf>
    <xf numFmtId="9" fontId="151" fillId="0" borderId="0" xfId="124" applyNumberFormat="1" applyFont="1" applyFill="1" applyBorder="1">
      <alignment/>
      <protection/>
    </xf>
    <xf numFmtId="0" fontId="76" fillId="0" borderId="0" xfId="124" applyFont="1">
      <alignment/>
      <protection/>
    </xf>
    <xf numFmtId="2" fontId="58" fillId="0" borderId="0" xfId="124" applyNumberFormat="1" applyFont="1" applyFill="1" applyBorder="1" applyAlignment="1">
      <alignment horizontal="center"/>
      <protection/>
    </xf>
    <xf numFmtId="3" fontId="58" fillId="0" borderId="0" xfId="124" applyNumberFormat="1" applyFont="1" applyFill="1" applyBorder="1">
      <alignment/>
      <protection/>
    </xf>
    <xf numFmtId="0" fontId="149" fillId="0" borderId="0" xfId="124" applyFont="1" applyFill="1" applyBorder="1" applyAlignment="1">
      <alignment horizontal="right"/>
      <protection/>
    </xf>
    <xf numFmtId="3" fontId="151" fillId="0" borderId="0" xfId="124" applyNumberFormat="1" applyFont="1" applyFill="1" applyBorder="1">
      <alignment/>
      <protection/>
    </xf>
    <xf numFmtId="3" fontId="113" fillId="0" borderId="0" xfId="124" applyNumberFormat="1" applyFont="1" applyFill="1" applyBorder="1">
      <alignment/>
      <protection/>
    </xf>
    <xf numFmtId="0" fontId="156" fillId="0" borderId="0" xfId="124" applyFont="1" applyFill="1" applyBorder="1" applyAlignment="1">
      <alignment horizontal="center"/>
      <protection/>
    </xf>
    <xf numFmtId="0" fontId="29" fillId="0" borderId="0" xfId="124" applyFont="1" applyFill="1" applyBorder="1" applyAlignment="1">
      <alignment horizontal="left"/>
      <protection/>
    </xf>
    <xf numFmtId="0" fontId="32" fillId="0" borderId="0" xfId="124" applyFont="1" applyFill="1" applyBorder="1">
      <alignment/>
      <protection/>
    </xf>
    <xf numFmtId="0" fontId="29" fillId="0" borderId="40" xfId="124" applyFont="1" applyBorder="1" applyAlignment="1">
      <alignment horizontal="center"/>
      <protection/>
    </xf>
    <xf numFmtId="0" fontId="29" fillId="0" borderId="32" xfId="124" applyFont="1" applyBorder="1" applyAlignment="1">
      <alignment horizontal="center"/>
      <protection/>
    </xf>
    <xf numFmtId="0" fontId="29" fillId="0" borderId="32" xfId="124" applyFont="1" applyBorder="1" applyAlignment="1">
      <alignment/>
      <protection/>
    </xf>
    <xf numFmtId="0" fontId="29" fillId="0" borderId="63" xfId="124" applyFont="1" applyBorder="1">
      <alignment/>
      <protection/>
    </xf>
    <xf numFmtId="3" fontId="69" fillId="41" borderId="62" xfId="124" applyNumberFormat="1" applyFont="1" applyFill="1" applyBorder="1">
      <alignment/>
      <protection/>
    </xf>
    <xf numFmtId="3" fontId="69" fillId="58" borderId="18" xfId="124" applyNumberFormat="1" applyFont="1" applyFill="1" applyBorder="1">
      <alignment/>
      <protection/>
    </xf>
    <xf numFmtId="3" fontId="69" fillId="58" borderId="24" xfId="124" applyNumberFormat="1" applyFont="1" applyFill="1" applyBorder="1">
      <alignment/>
      <protection/>
    </xf>
    <xf numFmtId="3" fontId="69" fillId="41" borderId="18" xfId="124" applyNumberFormat="1" applyFont="1" applyFill="1" applyBorder="1" applyAlignment="1">
      <alignment horizontal="center"/>
      <protection/>
    </xf>
    <xf numFmtId="3" fontId="69" fillId="41" borderId="19" xfId="124" applyNumberFormat="1" applyFont="1" applyFill="1" applyBorder="1">
      <alignment/>
      <protection/>
    </xf>
    <xf numFmtId="3" fontId="69" fillId="41" borderId="24" xfId="124" applyNumberFormat="1" applyFont="1" applyFill="1" applyBorder="1">
      <alignment/>
      <protection/>
    </xf>
    <xf numFmtId="0" fontId="69" fillId="55" borderId="40" xfId="124" applyFont="1" applyFill="1" applyBorder="1" applyAlignment="1">
      <alignment horizontal="center"/>
      <protection/>
    </xf>
    <xf numFmtId="0" fontId="69" fillId="55" borderId="32" xfId="124" applyFont="1" applyFill="1" applyBorder="1" applyAlignment="1">
      <alignment horizontal="center"/>
      <protection/>
    </xf>
    <xf numFmtId="0" fontId="69" fillId="55" borderId="32" xfId="124" applyFont="1" applyFill="1" applyBorder="1" applyAlignment="1">
      <alignment/>
      <protection/>
    </xf>
    <xf numFmtId="0" fontId="69" fillId="55" borderId="63" xfId="124" applyFont="1" applyFill="1" applyBorder="1">
      <alignment/>
      <protection/>
    </xf>
    <xf numFmtId="3" fontId="69" fillId="55" borderId="62" xfId="124" applyNumberFormat="1" applyFont="1" applyFill="1" applyBorder="1">
      <alignment/>
      <protection/>
    </xf>
    <xf numFmtId="3" fontId="69" fillId="55" borderId="18" xfId="124" applyNumberFormat="1" applyFont="1" applyFill="1" applyBorder="1">
      <alignment/>
      <protection/>
    </xf>
    <xf numFmtId="3" fontId="69" fillId="55" borderId="24" xfId="124" applyNumberFormat="1" applyFont="1" applyFill="1" applyBorder="1">
      <alignment/>
      <protection/>
    </xf>
    <xf numFmtId="3" fontId="69" fillId="55" borderId="18" xfId="124" applyNumberFormat="1" applyFont="1" applyFill="1" applyBorder="1" applyAlignment="1">
      <alignment horizontal="center"/>
      <protection/>
    </xf>
    <xf numFmtId="3" fontId="69" fillId="55" borderId="19" xfId="124" applyNumberFormat="1" applyFont="1" applyFill="1" applyBorder="1">
      <alignment/>
      <protection/>
    </xf>
    <xf numFmtId="0" fontId="32" fillId="0" borderId="0" xfId="124" applyFont="1" applyFill="1" applyBorder="1" applyAlignment="1">
      <alignment horizontal="right"/>
      <protection/>
    </xf>
    <xf numFmtId="2" fontId="29" fillId="0" borderId="0" xfId="124" applyNumberFormat="1" applyFont="1" applyFill="1" applyBorder="1" applyAlignment="1">
      <alignment horizontal="center"/>
      <protection/>
    </xf>
    <xf numFmtId="0" fontId="29" fillId="0" borderId="0" xfId="124" applyFont="1" applyFill="1" applyBorder="1">
      <alignment/>
      <protection/>
    </xf>
    <xf numFmtId="3" fontId="76" fillId="0" borderId="86" xfId="124" applyNumberFormat="1" applyFont="1" applyFill="1" applyBorder="1">
      <alignment/>
      <protection/>
    </xf>
    <xf numFmtId="0" fontId="63" fillId="0" borderId="0" xfId="124" applyFont="1" applyFill="1" applyBorder="1" applyAlignment="1">
      <alignment horizontal="center"/>
      <protection/>
    </xf>
    <xf numFmtId="0" fontId="63" fillId="0" borderId="0" xfId="124" applyFont="1" applyFill="1" applyBorder="1" applyAlignment="1">
      <alignment/>
      <protection/>
    </xf>
    <xf numFmtId="0" fontId="63" fillId="0" borderId="0" xfId="124" applyFont="1" applyFill="1" applyBorder="1">
      <alignment/>
      <protection/>
    </xf>
    <xf numFmtId="0" fontId="157" fillId="0" borderId="0" xfId="124" applyFont="1" applyFill="1" applyBorder="1" applyAlignment="1">
      <alignment horizontal="center"/>
      <protection/>
    </xf>
    <xf numFmtId="49" fontId="151" fillId="0" borderId="0" xfId="124" applyNumberFormat="1" applyFont="1" applyFill="1" applyBorder="1" applyAlignment="1">
      <alignment horizontal="center" wrapText="1"/>
      <protection/>
    </xf>
    <xf numFmtId="0" fontId="69" fillId="0" borderId="0" xfId="124" applyFont="1">
      <alignment/>
      <protection/>
    </xf>
    <xf numFmtId="2" fontId="29" fillId="0" borderId="0" xfId="124" applyNumberFormat="1" applyFont="1" applyAlignment="1">
      <alignment horizontal="center"/>
      <protection/>
    </xf>
    <xf numFmtId="0" fontId="156" fillId="0" borderId="0" xfId="124" applyFont="1" applyAlignment="1">
      <alignment horizontal="center"/>
      <protection/>
    </xf>
    <xf numFmtId="2" fontId="56" fillId="0" borderId="0" xfId="124" applyNumberFormat="1" applyFont="1" applyAlignment="1">
      <alignment horizontal="center"/>
      <protection/>
    </xf>
    <xf numFmtId="0" fontId="56" fillId="0" borderId="0" xfId="124" applyFont="1">
      <alignment/>
      <protection/>
    </xf>
    <xf numFmtId="3" fontId="60" fillId="56" borderId="19" xfId="124" applyNumberFormat="1" applyFont="1" applyFill="1" applyBorder="1">
      <alignment/>
      <protection/>
    </xf>
    <xf numFmtId="2" fontId="79" fillId="56" borderId="19" xfId="124" applyNumberFormat="1" applyFont="1" applyFill="1" applyBorder="1" applyAlignment="1">
      <alignment horizontal="center"/>
      <protection/>
    </xf>
    <xf numFmtId="10" fontId="124" fillId="0" borderId="11" xfId="0" applyNumberFormat="1" applyFont="1" applyBorder="1" applyAlignment="1">
      <alignment/>
    </xf>
    <xf numFmtId="182" fontId="28" fillId="0" borderId="23" xfId="0" applyNumberFormat="1" applyFont="1" applyFill="1" applyBorder="1" applyAlignment="1">
      <alignment/>
    </xf>
    <xf numFmtId="182" fontId="28" fillId="0" borderId="35" xfId="0" applyNumberFormat="1" applyFont="1" applyFill="1" applyBorder="1" applyAlignment="1">
      <alignment/>
    </xf>
    <xf numFmtId="3" fontId="28" fillId="40" borderId="64" xfId="0" applyNumberFormat="1" applyFont="1" applyFill="1" applyBorder="1" applyAlignment="1">
      <alignment/>
    </xf>
    <xf numFmtId="3" fontId="28" fillId="52" borderId="47" xfId="0" applyNumberFormat="1" applyFont="1" applyFill="1" applyBorder="1" applyAlignment="1">
      <alignment/>
    </xf>
    <xf numFmtId="3" fontId="28" fillId="40" borderId="62" xfId="0" applyNumberFormat="1" applyFont="1" applyFill="1" applyBorder="1" applyAlignment="1">
      <alignment/>
    </xf>
    <xf numFmtId="3" fontId="28" fillId="52" borderId="62" xfId="0" applyNumberFormat="1" applyFont="1" applyFill="1" applyBorder="1" applyAlignment="1">
      <alignment/>
    </xf>
    <xf numFmtId="3" fontId="29" fillId="16" borderId="66" xfId="0" applyNumberFormat="1" applyFont="1" applyFill="1" applyBorder="1" applyAlignment="1">
      <alignment/>
    </xf>
    <xf numFmtId="3" fontId="29" fillId="16" borderId="75" xfId="0" applyNumberFormat="1" applyFont="1" applyFill="1" applyBorder="1" applyAlignment="1">
      <alignment/>
    </xf>
    <xf numFmtId="2" fontId="29" fillId="0" borderId="0" xfId="124" applyNumberFormat="1" applyFont="1" applyAlignment="1">
      <alignment wrapText="1"/>
      <protection/>
    </xf>
    <xf numFmtId="0" fontId="153" fillId="0" borderId="0" xfId="124" applyFont="1" applyAlignment="1">
      <alignment wrapText="1"/>
      <protection/>
    </xf>
    <xf numFmtId="0" fontId="153" fillId="0" borderId="0" xfId="124" applyFont="1" applyAlignment="1">
      <alignment horizontal="left"/>
      <protection/>
    </xf>
    <xf numFmtId="0" fontId="29" fillId="0" borderId="0" xfId="124" applyFont="1" applyAlignment="1">
      <alignment wrapText="1"/>
      <protection/>
    </xf>
    <xf numFmtId="0" fontId="151" fillId="0" borderId="0" xfId="124" applyFont="1" applyAlignment="1">
      <alignment wrapText="1"/>
      <protection/>
    </xf>
    <xf numFmtId="0" fontId="158" fillId="0" borderId="0" xfId="124" applyFont="1" applyAlignment="1">
      <alignment wrapText="1"/>
      <protection/>
    </xf>
    <xf numFmtId="0" fontId="128" fillId="0" borderId="0" xfId="124" applyFont="1" applyAlignment="1">
      <alignment wrapText="1"/>
      <protection/>
    </xf>
    <xf numFmtId="0" fontId="158" fillId="0" borderId="58" xfId="124" applyFont="1" applyFill="1" applyBorder="1" applyAlignment="1">
      <alignment/>
      <protection/>
    </xf>
    <xf numFmtId="0" fontId="77" fillId="56" borderId="40" xfId="124" applyFont="1" applyFill="1" applyBorder="1" applyAlignment="1">
      <alignment horizontal="center"/>
      <protection/>
    </xf>
    <xf numFmtId="0" fontId="77" fillId="56" borderId="32" xfId="124" applyFont="1" applyFill="1" applyBorder="1" applyAlignment="1">
      <alignment horizontal="center"/>
      <protection/>
    </xf>
    <xf numFmtId="0" fontId="60" fillId="56" borderId="167" xfId="124" applyFont="1" applyFill="1" applyBorder="1">
      <alignment/>
      <protection/>
    </xf>
    <xf numFmtId="0" fontId="29" fillId="13" borderId="32" xfId="124" applyFont="1" applyFill="1" applyBorder="1" applyAlignment="1">
      <alignment horizontal="center"/>
      <protection/>
    </xf>
    <xf numFmtId="0" fontId="29" fillId="13" borderId="19" xfId="124" applyFont="1" applyFill="1" applyBorder="1" applyAlignment="1">
      <alignment/>
      <protection/>
    </xf>
    <xf numFmtId="0" fontId="29" fillId="13" borderId="61" xfId="124" applyFont="1" applyFill="1" applyBorder="1">
      <alignment/>
      <protection/>
    </xf>
    <xf numFmtId="3" fontId="58" fillId="13" borderId="62" xfId="124" applyNumberFormat="1" applyFont="1" applyFill="1" applyBorder="1">
      <alignment/>
      <protection/>
    </xf>
    <xf numFmtId="3" fontId="58" fillId="13" borderId="18" xfId="124" applyNumberFormat="1" applyFont="1" applyFill="1" applyBorder="1">
      <alignment/>
      <protection/>
    </xf>
    <xf numFmtId="0" fontId="153" fillId="13" borderId="24" xfId="124" applyFont="1" applyFill="1" applyBorder="1" applyAlignment="1">
      <alignment horizontal="center"/>
      <protection/>
    </xf>
    <xf numFmtId="49" fontId="128" fillId="59" borderId="69" xfId="124" applyNumberFormat="1" applyFont="1" applyFill="1" applyBorder="1" applyAlignment="1">
      <alignment horizontal="left" wrapText="1"/>
      <protection/>
    </xf>
    <xf numFmtId="3" fontId="29" fillId="13" borderId="24" xfId="124" applyNumberFormat="1" applyFont="1" applyFill="1" applyBorder="1">
      <alignment/>
      <protection/>
    </xf>
    <xf numFmtId="2" fontId="29" fillId="13" borderId="18" xfId="124" applyNumberFormat="1" applyFont="1" applyFill="1" applyBorder="1" applyAlignment="1">
      <alignment horizontal="center"/>
      <protection/>
    </xf>
    <xf numFmtId="3" fontId="29" fillId="13" borderId="19" xfId="124" applyNumberFormat="1" applyFont="1" applyFill="1" applyBorder="1">
      <alignment/>
      <protection/>
    </xf>
    <xf numFmtId="49" fontId="128" fillId="0" borderId="16" xfId="124" applyNumberFormat="1" applyFont="1" applyFill="1" applyBorder="1" applyAlignment="1">
      <alignment horizontal="center"/>
      <protection/>
    </xf>
    <xf numFmtId="3" fontId="42" fillId="57" borderId="21" xfId="0" applyNumberFormat="1" applyFont="1" applyFill="1" applyBorder="1" applyAlignment="1">
      <alignment/>
    </xf>
    <xf numFmtId="4" fontId="159" fillId="0" borderId="0" xfId="124" applyNumberFormat="1" applyFont="1" applyFill="1" applyBorder="1" applyAlignment="1">
      <alignment horizontal="left" wrapText="1"/>
      <protection/>
    </xf>
    <xf numFmtId="49" fontId="160" fillId="0" borderId="0" xfId="124" applyNumberFormat="1" applyFont="1" applyAlignment="1">
      <alignment horizontal="left" wrapText="1"/>
      <protection/>
    </xf>
    <xf numFmtId="0" fontId="28" fillId="0" borderId="43" xfId="0" applyFont="1" applyBorder="1" applyAlignment="1">
      <alignment horizontal="center"/>
    </xf>
    <xf numFmtId="0" fontId="28" fillId="0" borderId="101" xfId="0" applyFont="1" applyBorder="1" applyAlignment="1">
      <alignment horizontal="center"/>
    </xf>
    <xf numFmtId="0" fontId="32" fillId="0" borderId="111" xfId="0" applyFont="1" applyFill="1" applyBorder="1" applyAlignment="1">
      <alignment horizontal="center"/>
    </xf>
    <xf numFmtId="3" fontId="32" fillId="0" borderId="88" xfId="0" applyNumberFormat="1" applyFont="1" applyFill="1" applyBorder="1" applyAlignment="1">
      <alignment vertical="center"/>
    </xf>
    <xf numFmtId="3" fontId="31" fillId="0" borderId="129" xfId="0" applyNumberFormat="1" applyFont="1" applyFill="1" applyBorder="1" applyAlignment="1">
      <alignment/>
    </xf>
    <xf numFmtId="3" fontId="64" fillId="0" borderId="29" xfId="0" applyNumberFormat="1" applyFont="1" applyFill="1" applyBorder="1" applyAlignment="1">
      <alignment/>
    </xf>
    <xf numFmtId="3" fontId="64" fillId="0" borderId="130" xfId="0" applyNumberFormat="1" applyFont="1" applyFill="1" applyBorder="1" applyAlignment="1">
      <alignment/>
    </xf>
    <xf numFmtId="3" fontId="64" fillId="0" borderId="131" xfId="0" applyNumberFormat="1" applyFont="1" applyFill="1" applyBorder="1" applyAlignment="1">
      <alignment/>
    </xf>
    <xf numFmtId="3" fontId="73" fillId="0" borderId="148" xfId="0" applyNumberFormat="1" applyFont="1" applyFill="1" applyBorder="1" applyAlignment="1">
      <alignment/>
    </xf>
    <xf numFmtId="3" fontId="64" fillId="60" borderId="29" xfId="0" applyNumberFormat="1" applyFont="1" applyFill="1" applyBorder="1" applyAlignment="1">
      <alignment/>
    </xf>
    <xf numFmtId="3" fontId="28" fillId="0" borderId="129" xfId="0" applyNumberFormat="1" applyFont="1" applyFill="1" applyBorder="1" applyAlignment="1">
      <alignment/>
    </xf>
    <xf numFmtId="3" fontId="32" fillId="0" borderId="29" xfId="0" applyNumberFormat="1" applyFont="1" applyFill="1" applyBorder="1" applyAlignment="1">
      <alignment/>
    </xf>
    <xf numFmtId="3" fontId="29" fillId="0" borderId="148" xfId="0" applyNumberFormat="1" applyFont="1" applyFill="1" applyBorder="1" applyAlignment="1">
      <alignment/>
    </xf>
    <xf numFmtId="3" fontId="28" fillId="0" borderId="53" xfId="0" applyNumberFormat="1" applyFont="1" applyFill="1" applyBorder="1" applyAlignment="1">
      <alignment/>
    </xf>
    <xf numFmtId="3" fontId="32" fillId="0" borderId="55" xfId="0" applyNumberFormat="1" applyFont="1" applyFill="1" applyBorder="1" applyAlignment="1">
      <alignment/>
    </xf>
    <xf numFmtId="3" fontId="32" fillId="0" borderId="88" xfId="0" applyNumberFormat="1" applyFont="1" applyFill="1" applyBorder="1" applyAlignment="1">
      <alignment/>
    </xf>
    <xf numFmtId="3" fontId="29" fillId="0" borderId="56" xfId="0" applyNumberFormat="1" applyFont="1" applyFill="1" applyBorder="1" applyAlignment="1">
      <alignment/>
    </xf>
    <xf numFmtId="3" fontId="32" fillId="0" borderId="30" xfId="0" applyNumberFormat="1" applyFont="1" applyFill="1" applyBorder="1" applyAlignment="1">
      <alignment/>
    </xf>
    <xf numFmtId="3" fontId="32" fillId="0" borderId="91" xfId="0" applyNumberFormat="1" applyFont="1" applyFill="1" applyBorder="1" applyAlignment="1">
      <alignment/>
    </xf>
    <xf numFmtId="3" fontId="29" fillId="0" borderId="85" xfId="0" applyNumberFormat="1" applyFont="1" applyFill="1" applyBorder="1" applyAlignment="1">
      <alignment/>
    </xf>
    <xf numFmtId="0" fontId="82" fillId="21" borderId="0" xfId="0" applyFont="1" applyFill="1" applyAlignment="1">
      <alignment/>
    </xf>
    <xf numFmtId="0" fontId="82" fillId="21" borderId="0" xfId="0" applyFont="1" applyFill="1" applyAlignment="1">
      <alignment horizontal="center"/>
    </xf>
    <xf numFmtId="0" fontId="82" fillId="21" borderId="0" xfId="0" applyFont="1" applyFill="1" applyAlignment="1">
      <alignment horizontal="left"/>
    </xf>
    <xf numFmtId="0" fontId="44" fillId="0" borderId="0" xfId="0" applyFont="1" applyAlignment="1">
      <alignment horizontal="right"/>
    </xf>
    <xf numFmtId="49" fontId="29" fillId="0" borderId="59" xfId="0" applyNumberFormat="1" applyFont="1" applyFill="1" applyBorder="1" applyAlignment="1">
      <alignment horizontal="center" wrapText="1"/>
    </xf>
    <xf numFmtId="3" fontId="29" fillId="0" borderId="66" xfId="0" applyNumberFormat="1" applyFont="1" applyFill="1" applyBorder="1" applyAlignment="1">
      <alignment/>
    </xf>
    <xf numFmtId="3" fontId="29" fillId="0" borderId="75" xfId="0" applyNumberFormat="1" applyFont="1" applyFill="1" applyBorder="1" applyAlignment="1">
      <alignment/>
    </xf>
    <xf numFmtId="3" fontId="29" fillId="0" borderId="62" xfId="0" applyNumberFormat="1" applyFont="1" applyFill="1" applyBorder="1" applyAlignment="1">
      <alignment/>
    </xf>
    <xf numFmtId="3" fontId="127" fillId="61" borderId="64" xfId="0" applyNumberFormat="1" applyFont="1" applyFill="1" applyBorder="1" applyAlignment="1">
      <alignment/>
    </xf>
    <xf numFmtId="3" fontId="131" fillId="61" borderId="62" xfId="0" applyNumberFormat="1" applyFont="1" applyFill="1" applyBorder="1" applyAlignment="1">
      <alignment/>
    </xf>
    <xf numFmtId="3" fontId="29" fillId="0" borderId="59" xfId="0" applyNumberFormat="1" applyFont="1" applyBorder="1" applyAlignment="1">
      <alignment horizontal="center"/>
    </xf>
    <xf numFmtId="0" fontId="38" fillId="0" borderId="89" xfId="0" applyFont="1" applyFill="1" applyBorder="1" applyAlignment="1">
      <alignment horizontal="center"/>
    </xf>
    <xf numFmtId="0" fontId="38" fillId="40" borderId="131" xfId="0" applyFont="1" applyFill="1" applyBorder="1" applyAlignment="1">
      <alignment horizontal="center"/>
    </xf>
    <xf numFmtId="0" fontId="28" fillId="44" borderId="40" xfId="0" applyFont="1" applyFill="1" applyBorder="1" applyAlignment="1">
      <alignment horizontal="center" wrapText="1"/>
    </xf>
    <xf numFmtId="3" fontId="28" fillId="44" borderId="62" xfId="0" applyNumberFormat="1" applyFont="1" applyFill="1" applyBorder="1" applyAlignment="1">
      <alignment/>
    </xf>
    <xf numFmtId="3" fontId="59" fillId="40" borderId="111" xfId="0" applyNumberFormat="1" applyFont="1" applyFill="1" applyBorder="1" applyAlignment="1">
      <alignment/>
    </xf>
    <xf numFmtId="3" fontId="38" fillId="0" borderId="148" xfId="0" applyNumberFormat="1" applyFont="1" applyFill="1" applyBorder="1" applyAlignment="1">
      <alignment/>
    </xf>
    <xf numFmtId="0" fontId="28" fillId="0" borderId="0" xfId="0" applyFont="1" applyFill="1" applyAlignment="1">
      <alignment wrapText="1"/>
    </xf>
    <xf numFmtId="0" fontId="28" fillId="0" borderId="43" xfId="0" applyFont="1" applyFill="1" applyBorder="1" applyAlignment="1">
      <alignment wrapText="1"/>
    </xf>
    <xf numFmtId="0" fontId="28" fillId="0" borderId="46" xfId="0" applyFont="1" applyBorder="1" applyAlignment="1">
      <alignment wrapText="1"/>
    </xf>
    <xf numFmtId="0" fontId="28" fillId="0" borderId="58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9" fillId="0" borderId="43" xfId="0" applyFont="1" applyFill="1" applyBorder="1" applyAlignment="1">
      <alignment wrapText="1"/>
    </xf>
    <xf numFmtId="0" fontId="29" fillId="0" borderId="46" xfId="0" applyFont="1" applyBorder="1" applyAlignment="1">
      <alignment wrapText="1"/>
    </xf>
    <xf numFmtId="0" fontId="32" fillId="0" borderId="43" xfId="0" applyFont="1" applyFill="1" applyBorder="1" applyAlignment="1">
      <alignment wrapText="1"/>
    </xf>
    <xf numFmtId="0" fontId="32" fillId="0" borderId="46" xfId="0" applyFont="1" applyBorder="1" applyAlignment="1">
      <alignment wrapText="1"/>
    </xf>
    <xf numFmtId="0" fontId="32" fillId="0" borderId="58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29" fillId="0" borderId="70" xfId="0" applyFont="1" applyFill="1" applyBorder="1" applyAlignment="1">
      <alignment horizontal="center" wrapText="1"/>
    </xf>
    <xf numFmtId="0" fontId="29" fillId="0" borderId="209" xfId="0" applyFont="1" applyFill="1" applyBorder="1" applyAlignment="1">
      <alignment horizontal="center" wrapText="1"/>
    </xf>
    <xf numFmtId="49" fontId="29" fillId="16" borderId="47" xfId="0" applyNumberFormat="1" applyFont="1" applyFill="1" applyBorder="1" applyAlignment="1">
      <alignment horizontal="center" wrapText="1"/>
    </xf>
    <xf numFmtId="49" fontId="29" fillId="16" borderId="208" xfId="0" applyNumberFormat="1" applyFont="1" applyFill="1" applyBorder="1" applyAlignment="1">
      <alignment horizontal="center" wrapText="1"/>
    </xf>
    <xf numFmtId="49" fontId="29" fillId="0" borderId="47" xfId="0" applyNumberFormat="1" applyFont="1" applyFill="1" applyBorder="1" applyAlignment="1">
      <alignment horizontal="center" wrapText="1"/>
    </xf>
    <xf numFmtId="49" fontId="29" fillId="0" borderId="208" xfId="0" applyNumberFormat="1" applyFont="1" applyFill="1" applyBorder="1" applyAlignment="1">
      <alignment horizontal="center" wrapText="1"/>
    </xf>
    <xf numFmtId="0" fontId="131" fillId="61" borderId="47" xfId="0" applyFont="1" applyFill="1" applyBorder="1" applyAlignment="1">
      <alignment horizontal="center" wrapText="1"/>
    </xf>
    <xf numFmtId="0" fontId="131" fillId="61" borderId="51" xfId="0" applyFont="1" applyFill="1" applyBorder="1" applyAlignment="1">
      <alignment horizontal="center" wrapText="1"/>
    </xf>
    <xf numFmtId="0" fontId="30" fillId="0" borderId="61" xfId="0" applyFont="1" applyFill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30" fillId="0" borderId="67" xfId="0" applyFont="1" applyFill="1" applyBorder="1" applyAlignment="1">
      <alignment horizontal="center"/>
    </xf>
    <xf numFmtId="0" fontId="30" fillId="0" borderId="74" xfId="0" applyFont="1" applyFill="1" applyBorder="1" applyAlignment="1">
      <alignment horizontal="center"/>
    </xf>
    <xf numFmtId="0" fontId="30" fillId="0" borderId="68" xfId="0" applyFont="1" applyFill="1" applyBorder="1" applyAlignment="1">
      <alignment horizontal="center"/>
    </xf>
    <xf numFmtId="0" fontId="28" fillId="0" borderId="74" xfId="0" applyFont="1" applyFill="1" applyBorder="1" applyAlignment="1">
      <alignment horizontal="center"/>
    </xf>
    <xf numFmtId="0" fontId="28" fillId="0" borderId="68" xfId="0" applyFont="1" applyFill="1" applyBorder="1" applyAlignment="1">
      <alignment horizontal="center"/>
    </xf>
    <xf numFmtId="0" fontId="38" fillId="0" borderId="197" xfId="0" applyFont="1" applyFill="1" applyBorder="1" applyAlignment="1">
      <alignment horizontal="left"/>
    </xf>
    <xf numFmtId="0" fontId="28" fillId="0" borderId="74" xfId="0" applyFont="1" applyBorder="1" applyAlignment="1">
      <alignment horizontal="left"/>
    </xf>
    <xf numFmtId="0" fontId="28" fillId="0" borderId="68" xfId="0" applyFont="1" applyBorder="1" applyAlignment="1">
      <alignment horizontal="left"/>
    </xf>
    <xf numFmtId="0" fontId="28" fillId="0" borderId="49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38" fillId="0" borderId="102" xfId="0" applyFont="1" applyFill="1" applyBorder="1" applyAlignment="1">
      <alignment horizontal="center" wrapText="1"/>
    </xf>
    <xf numFmtId="0" fontId="38" fillId="0" borderId="104" xfId="0" applyFont="1" applyFill="1" applyBorder="1" applyAlignment="1">
      <alignment horizontal="center" wrapText="1"/>
    </xf>
    <xf numFmtId="0" fontId="38" fillId="0" borderId="106" xfId="0" applyFont="1" applyFill="1" applyBorder="1" applyAlignment="1">
      <alignment horizontal="center" wrapText="1"/>
    </xf>
    <xf numFmtId="3" fontId="38" fillId="40" borderId="102" xfId="0" applyNumberFormat="1" applyFont="1" applyFill="1" applyBorder="1" applyAlignment="1">
      <alignment horizontal="center" wrapText="1"/>
    </xf>
    <xf numFmtId="3" fontId="38" fillId="40" borderId="104" xfId="0" applyNumberFormat="1" applyFont="1" applyFill="1" applyBorder="1" applyAlignment="1">
      <alignment horizontal="center"/>
    </xf>
    <xf numFmtId="3" fontId="38" fillId="40" borderId="106" xfId="0" applyNumberFormat="1" applyFont="1" applyFill="1" applyBorder="1" applyAlignment="1">
      <alignment horizontal="center"/>
    </xf>
    <xf numFmtId="0" fontId="29" fillId="0" borderId="21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3" fontId="31" fillId="0" borderId="197" xfId="0" applyNumberFormat="1" applyFont="1" applyBorder="1" applyAlignment="1">
      <alignment horizontal="center" vertical="center"/>
    </xf>
    <xf numFmtId="3" fontId="31" fillId="0" borderId="78" xfId="0" applyNumberFormat="1" applyFont="1" applyBorder="1" applyAlignment="1">
      <alignment horizontal="center" vertical="center"/>
    </xf>
    <xf numFmtId="0" fontId="28" fillId="0" borderId="72" xfId="0" applyFont="1" applyBorder="1" applyAlignment="1">
      <alignment horizontal="center"/>
    </xf>
    <xf numFmtId="0" fontId="30" fillId="0" borderId="67" xfId="0" applyFont="1" applyBorder="1" applyAlignment="1">
      <alignment horizontal="center"/>
    </xf>
    <xf numFmtId="0" fontId="30" fillId="0" borderId="74" xfId="0" applyFont="1" applyBorder="1" applyAlignment="1">
      <alignment horizontal="center"/>
    </xf>
    <xf numFmtId="0" fontId="28" fillId="0" borderId="74" xfId="0" applyFont="1" applyBorder="1" applyAlignment="1">
      <alignment horizontal="center"/>
    </xf>
    <xf numFmtId="0" fontId="28" fillId="0" borderId="68" xfId="0" applyFont="1" applyBorder="1" applyAlignment="1">
      <alignment horizontal="center"/>
    </xf>
    <xf numFmtId="3" fontId="28" fillId="0" borderId="207" xfId="0" applyNumberFormat="1" applyFont="1" applyBorder="1" applyAlignment="1">
      <alignment horizontal="center"/>
    </xf>
    <xf numFmtId="3" fontId="28" fillId="0" borderId="210" xfId="0" applyNumberFormat="1" applyFont="1" applyBorder="1" applyAlignment="1">
      <alignment horizontal="center"/>
    </xf>
    <xf numFmtId="0" fontId="31" fillId="0" borderId="78" xfId="0" applyFont="1" applyBorder="1" applyAlignment="1">
      <alignment horizontal="center" vertical="center"/>
    </xf>
    <xf numFmtId="3" fontId="147" fillId="0" borderId="197" xfId="0" applyNumberFormat="1" applyFont="1" applyBorder="1" applyAlignment="1">
      <alignment horizontal="center" vertical="center"/>
    </xf>
    <xf numFmtId="3" fontId="147" fillId="0" borderId="74" xfId="0" applyNumberFormat="1" applyFont="1" applyBorder="1" applyAlignment="1">
      <alignment horizontal="center" vertical="center"/>
    </xf>
    <xf numFmtId="3" fontId="147" fillId="0" borderId="78" xfId="0" applyNumberFormat="1" applyFont="1" applyBorder="1" applyAlignment="1">
      <alignment horizontal="center" vertical="center"/>
    </xf>
    <xf numFmtId="0" fontId="31" fillId="0" borderId="207" xfId="0" applyFont="1" applyBorder="1" applyAlignment="1">
      <alignment horizontal="center"/>
    </xf>
    <xf numFmtId="0" fontId="31" fillId="0" borderId="71" xfId="0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30" fillId="0" borderId="68" xfId="0" applyFont="1" applyBorder="1" applyAlignment="1">
      <alignment horizontal="center"/>
    </xf>
    <xf numFmtId="3" fontId="31" fillId="0" borderId="166" xfId="0" applyNumberFormat="1" applyFont="1" applyBorder="1" applyAlignment="1">
      <alignment horizontal="center" vertical="center"/>
    </xf>
    <xf numFmtId="3" fontId="31" fillId="0" borderId="73" xfId="0" applyNumberFormat="1" applyFont="1" applyBorder="1" applyAlignment="1">
      <alignment horizontal="center" vertical="center"/>
    </xf>
    <xf numFmtId="3" fontId="31" fillId="0" borderId="72" xfId="0" applyNumberFormat="1" applyFont="1" applyBorder="1" applyAlignment="1">
      <alignment horizontal="center" vertical="center"/>
    </xf>
    <xf numFmtId="3" fontId="31" fillId="0" borderId="79" xfId="0" applyNumberFormat="1" applyFont="1" applyBorder="1" applyAlignment="1">
      <alignment horizontal="center" vertical="center"/>
    </xf>
    <xf numFmtId="0" fontId="28" fillId="0" borderId="166" xfId="0" applyFont="1" applyBorder="1" applyAlignment="1">
      <alignment horizontal="center"/>
    </xf>
    <xf numFmtId="0" fontId="28" fillId="0" borderId="69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0" fillId="0" borderId="197" xfId="0" applyBorder="1" applyAlignment="1">
      <alignment horizontal="center"/>
    </xf>
    <xf numFmtId="0" fontId="0" fillId="0" borderId="78" xfId="0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8" fillId="0" borderId="101" xfId="0" applyFont="1" applyBorder="1" applyAlignment="1">
      <alignment horizontal="center"/>
    </xf>
    <xf numFmtId="0" fontId="32" fillId="0" borderId="89" xfId="0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0" fontId="32" fillId="0" borderId="57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50" fillId="0" borderId="105" xfId="0" applyFont="1" applyBorder="1" applyAlignment="1">
      <alignment horizontal="center"/>
    </xf>
    <xf numFmtId="0" fontId="28" fillId="44" borderId="65" xfId="0" applyFont="1" applyFill="1" applyBorder="1" applyAlignment="1">
      <alignment horizontal="left"/>
    </xf>
    <xf numFmtId="0" fontId="28" fillId="44" borderId="72" xfId="0" applyFont="1" applyFill="1" applyBorder="1" applyAlignment="1">
      <alignment horizontal="left"/>
    </xf>
    <xf numFmtId="0" fontId="28" fillId="44" borderId="73" xfId="0" applyFont="1" applyFill="1" applyBorder="1" applyAlignment="1">
      <alignment horizontal="left"/>
    </xf>
    <xf numFmtId="0" fontId="28" fillId="44" borderId="158" xfId="0" applyFont="1" applyFill="1" applyBorder="1" applyAlignment="1">
      <alignment horizontal="left"/>
    </xf>
    <xf numFmtId="0" fontId="28" fillId="44" borderId="86" xfId="0" applyFont="1" applyFill="1" applyBorder="1" applyAlignment="1">
      <alignment horizontal="left"/>
    </xf>
    <xf numFmtId="0" fontId="28" fillId="44" borderId="79" xfId="0" applyFont="1" applyFill="1" applyBorder="1" applyAlignment="1">
      <alignment horizontal="left"/>
    </xf>
    <xf numFmtId="0" fontId="64" fillId="0" borderId="40" xfId="0" applyFont="1" applyBorder="1" applyAlignment="1">
      <alignment horizontal="left"/>
    </xf>
    <xf numFmtId="0" fontId="64" fillId="0" borderId="63" xfId="0" applyFont="1" applyBorder="1" applyAlignment="1">
      <alignment horizontal="left"/>
    </xf>
    <xf numFmtId="0" fontId="32" fillId="0" borderId="33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0" fontId="32" fillId="44" borderId="45" xfId="0" applyFont="1" applyFill="1" applyBorder="1" applyAlignment="1">
      <alignment horizontal="center"/>
    </xf>
    <xf numFmtId="0" fontId="32" fillId="44" borderId="83" xfId="0" applyFont="1" applyFill="1" applyBorder="1" applyAlignment="1">
      <alignment horizontal="center"/>
    </xf>
    <xf numFmtId="0" fontId="32" fillId="44" borderId="12" xfId="0" applyFont="1" applyFill="1" applyBorder="1" applyAlignment="1">
      <alignment horizontal="center"/>
    </xf>
    <xf numFmtId="0" fontId="32" fillId="44" borderId="174" xfId="0" applyFont="1" applyFill="1" applyBorder="1" applyAlignment="1">
      <alignment horizontal="center"/>
    </xf>
    <xf numFmtId="0" fontId="64" fillId="0" borderId="40" xfId="0" applyFont="1" applyFill="1" applyBorder="1" applyAlignment="1">
      <alignment horizontal="left"/>
    </xf>
    <xf numFmtId="0" fontId="64" fillId="0" borderId="63" xfId="0" applyFont="1" applyFill="1" applyBorder="1" applyAlignment="1">
      <alignment horizontal="left"/>
    </xf>
    <xf numFmtId="0" fontId="121" fillId="0" borderId="197" xfId="0" applyFont="1" applyFill="1" applyBorder="1" applyAlignment="1">
      <alignment horizontal="center"/>
    </xf>
    <xf numFmtId="0" fontId="121" fillId="0" borderId="74" xfId="0" applyFont="1" applyFill="1" applyBorder="1" applyAlignment="1">
      <alignment horizontal="center"/>
    </xf>
    <xf numFmtId="0" fontId="121" fillId="0" borderId="68" xfId="0" applyFont="1" applyFill="1" applyBorder="1" applyAlignment="1">
      <alignment horizontal="center"/>
    </xf>
  </cellXfs>
  <cellStyles count="148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1 2" xfId="34"/>
    <cellStyle name="40 % – Zvýraznění2" xfId="35"/>
    <cellStyle name="40 % – Zvýraznění2 2" xfId="36"/>
    <cellStyle name="40 % – Zvýraznění3" xfId="37"/>
    <cellStyle name="40 % – Zvýraznění3 2" xfId="38"/>
    <cellStyle name="40 % – Zvýraznění4" xfId="39"/>
    <cellStyle name="40 % – Zvýraznění4 2" xfId="40"/>
    <cellStyle name="40 % – Zvýraznění5" xfId="41"/>
    <cellStyle name="40 % – Zvýraznění5 2" xfId="42"/>
    <cellStyle name="40 % – Zvýraznění6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1 2" xfId="52"/>
    <cellStyle name="60 % – Zvýraznění2" xfId="53"/>
    <cellStyle name="60 % – Zvýraznění2 2" xfId="54"/>
    <cellStyle name="60 % – Zvýraznění3" xfId="55"/>
    <cellStyle name="60 % – Zvýraznění3 2" xfId="56"/>
    <cellStyle name="60 % – Zvýraznění4" xfId="57"/>
    <cellStyle name="60 % – Zvýraznění4 2" xfId="58"/>
    <cellStyle name="60 % – Zvýraznění5" xfId="59"/>
    <cellStyle name="60 % – Zvýraznění5 2" xfId="60"/>
    <cellStyle name="60 % – Zvýraznění6" xfId="61"/>
    <cellStyle name="60 % – Zvýraznění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Celkem" xfId="69"/>
    <cellStyle name="Celkem 2" xfId="70"/>
    <cellStyle name="Comma 2" xfId="71"/>
    <cellStyle name="Comma" xfId="72"/>
    <cellStyle name="Comma [0]" xfId="73"/>
    <cellStyle name="Hyperlink" xfId="74"/>
    <cellStyle name="Chybně" xfId="75"/>
    <cellStyle name="Chybně 2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al 2" xfId="93"/>
    <cellStyle name="Normal 3" xfId="94"/>
    <cellStyle name="Normální 10" xfId="95"/>
    <cellStyle name="Normální 11" xfId="96"/>
    <cellStyle name="normální 2" xfId="97"/>
    <cellStyle name="normální 2 2" xfId="98"/>
    <cellStyle name="normální 2 3" xfId="99"/>
    <cellStyle name="normální 2 3 2" xfId="100"/>
    <cellStyle name="normální 2 3 2 2" xfId="101"/>
    <cellStyle name="normální 2 3 2_PV III. Rozpis rozpočtu VŠ 2011_final_PV" xfId="102"/>
    <cellStyle name="normální 2 3_PV III. Rozpis rozpočtu VŠ 2011_final_PV" xfId="103"/>
    <cellStyle name="normální 2 4" xfId="104"/>
    <cellStyle name="normální 2 4 2" xfId="105"/>
    <cellStyle name="normální 2 4_PV III. Rozpis rozpočtu VŠ 2011_final_PV" xfId="106"/>
    <cellStyle name="normální 2 5" xfId="107"/>
    <cellStyle name="normální 2_CP2012" xfId="108"/>
    <cellStyle name="normální 3" xfId="109"/>
    <cellStyle name="normální 3 2" xfId="110"/>
    <cellStyle name="normální 3_CP2012" xfId="111"/>
    <cellStyle name="normální 4" xfId="112"/>
    <cellStyle name="normální 4 2" xfId="113"/>
    <cellStyle name="normální 4_PV Rozpis rozpočtu VŠ 2011 III - tabulkové přílohy" xfId="114"/>
    <cellStyle name="Normální 5" xfId="115"/>
    <cellStyle name="normální 5 2" xfId="116"/>
    <cellStyle name="Normální 6" xfId="117"/>
    <cellStyle name="Normální 6 2" xfId="118"/>
    <cellStyle name="normální 7" xfId="119"/>
    <cellStyle name="Normální 8" xfId="120"/>
    <cellStyle name="Normální 8 2" xfId="121"/>
    <cellStyle name="Normální 9" xfId="122"/>
    <cellStyle name="normální_model_rozpocet_23112009-1" xfId="123"/>
    <cellStyle name="normální_návrh CP k 23.11.03" xfId="124"/>
    <cellStyle name="Followed Hyperlink" xfId="125"/>
    <cellStyle name="Poznámka" xfId="126"/>
    <cellStyle name="Poznámka 2" xfId="127"/>
    <cellStyle name="procent 2" xfId="128"/>
    <cellStyle name="procent 3" xfId="129"/>
    <cellStyle name="procent 4" xfId="130"/>
    <cellStyle name="Percent" xfId="131"/>
    <cellStyle name="Procenta 2" xfId="132"/>
    <cellStyle name="Propojená buňka" xfId="133"/>
    <cellStyle name="Propojená buňka 2" xfId="134"/>
    <cellStyle name="Správně" xfId="135"/>
    <cellStyle name="Správně 2" xfId="136"/>
    <cellStyle name="Text upozornění" xfId="137"/>
    <cellStyle name="Text upozornění 2" xfId="138"/>
    <cellStyle name="Title" xfId="139"/>
    <cellStyle name="Total" xfId="140"/>
    <cellStyle name="Vstup" xfId="141"/>
    <cellStyle name="Vstup 2" xfId="142"/>
    <cellStyle name="Výpočet" xfId="143"/>
    <cellStyle name="Výpočet 2" xfId="144"/>
    <cellStyle name="Výstup" xfId="145"/>
    <cellStyle name="Výstup 2" xfId="146"/>
    <cellStyle name="Vysvětlující text" xfId="147"/>
    <cellStyle name="Vysvětlující text 2" xfId="148"/>
    <cellStyle name="Warning Text" xfId="149"/>
    <cellStyle name="Zvýraznění 1" xfId="150"/>
    <cellStyle name="Zvýraznění 1 2" xfId="151"/>
    <cellStyle name="Zvýraznění 2" xfId="152"/>
    <cellStyle name="Zvýraznění 2 2" xfId="153"/>
    <cellStyle name="Zvýraznění 3" xfId="154"/>
    <cellStyle name="Zvýraznění 3 2" xfId="155"/>
    <cellStyle name="Zvýraznění 4" xfId="156"/>
    <cellStyle name="Zvýraznění 4 2" xfId="157"/>
    <cellStyle name="Zvýraznění 5" xfId="158"/>
    <cellStyle name="Zvýraznění 5 2" xfId="159"/>
    <cellStyle name="Zvýraznění 6" xfId="160"/>
    <cellStyle name="Zvýraznění 6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55"/>
  <sheetViews>
    <sheetView showGridLines="0" tabSelected="1" zoomScalePageLayoutView="0" workbookViewId="0" topLeftCell="A1">
      <selection activeCell="H21" sqref="H21"/>
    </sheetView>
  </sheetViews>
  <sheetFormatPr defaultColWidth="11.375" defaultRowHeight="12.75"/>
  <cols>
    <col min="1" max="1" width="4.375" style="49" customWidth="1"/>
    <col min="2" max="2" width="10.125" style="49" customWidth="1"/>
    <col min="3" max="3" width="13.625" style="49" customWidth="1"/>
    <col min="4" max="4" width="13.25390625" style="49" customWidth="1"/>
    <col min="5" max="5" width="12.75390625" style="49" customWidth="1"/>
    <col min="6" max="6" width="12.875" style="49" customWidth="1"/>
    <col min="7" max="7" width="12.00390625" style="49" customWidth="1"/>
    <col min="8" max="8" width="12.25390625" style="49" customWidth="1"/>
    <col min="9" max="9" width="11.625" style="49" customWidth="1"/>
    <col min="10" max="10" width="12.375" style="49" customWidth="1"/>
    <col min="11" max="11" width="11.25390625" style="49" customWidth="1"/>
    <col min="12" max="12" width="10.00390625" style="61" customWidth="1"/>
    <col min="13" max="13" width="10.625" style="49" customWidth="1"/>
    <col min="14" max="16384" width="11.375" style="49" customWidth="1"/>
  </cols>
  <sheetData>
    <row r="1" spans="1:11" ht="26.25">
      <c r="A1" s="134" t="s">
        <v>666</v>
      </c>
      <c r="B1" s="135"/>
      <c r="C1" s="60"/>
      <c r="D1" s="60"/>
      <c r="E1" s="60"/>
      <c r="F1" s="60"/>
      <c r="G1" s="60"/>
      <c r="H1" s="60"/>
      <c r="I1" s="60"/>
      <c r="J1" s="60"/>
      <c r="K1" s="60"/>
    </row>
    <row r="2" spans="1:13" ht="22.5" customHeight="1">
      <c r="A2" s="1513" t="s">
        <v>667</v>
      </c>
      <c r="B2" s="1513"/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M2" s="1513"/>
    </row>
    <row r="3" spans="1:13" ht="22.5" customHeight="1" thickBot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2" ht="16.5" thickBot="1">
      <c r="A4" s="122" t="s">
        <v>185</v>
      </c>
      <c r="B4" s="60"/>
      <c r="C4" s="60"/>
      <c r="D4" s="60"/>
      <c r="E4" s="60"/>
      <c r="G4" s="701">
        <v>0.76</v>
      </c>
      <c r="H4" s="702">
        <v>0.24</v>
      </c>
      <c r="I4" s="138"/>
      <c r="J4" s="61"/>
      <c r="K4" s="61"/>
      <c r="L4" s="137"/>
    </row>
    <row r="5" spans="1:12" ht="12.75">
      <c r="A5" s="139"/>
      <c r="B5" s="140"/>
      <c r="C5" s="141"/>
      <c r="D5" s="142"/>
      <c r="E5" s="143"/>
      <c r="F5" s="144"/>
      <c r="G5" s="145"/>
      <c r="H5" s="145"/>
      <c r="I5" s="145"/>
      <c r="J5" s="146" t="s">
        <v>2</v>
      </c>
      <c r="K5" s="60"/>
      <c r="L5" s="49"/>
    </row>
    <row r="6" spans="1:12" ht="13.5" thickBot="1">
      <c r="A6" s="147" t="s">
        <v>3</v>
      </c>
      <c r="B6" s="148" t="s">
        <v>4</v>
      </c>
      <c r="C6" s="149"/>
      <c r="D6" s="150"/>
      <c r="E6" s="151" t="s">
        <v>531</v>
      </c>
      <c r="F6" s="152" t="s">
        <v>668</v>
      </c>
      <c r="G6" s="153" t="s">
        <v>199</v>
      </c>
      <c r="H6" s="153" t="s">
        <v>246</v>
      </c>
      <c r="I6" s="154" t="s">
        <v>184</v>
      </c>
      <c r="J6" s="155" t="s">
        <v>669</v>
      </c>
      <c r="K6" s="60"/>
      <c r="L6" s="49"/>
    </row>
    <row r="7" spans="1:12" ht="12.75">
      <c r="A7" s="156">
        <v>1</v>
      </c>
      <c r="B7" s="157" t="s">
        <v>98</v>
      </c>
      <c r="C7" s="158"/>
      <c r="D7" s="159"/>
      <c r="E7" s="160">
        <v>1833282</v>
      </c>
      <c r="F7" s="161">
        <v>1808658</v>
      </c>
      <c r="G7" s="162">
        <f>F7*G4</f>
        <v>1374580.08</v>
      </c>
      <c r="H7" s="162">
        <f>F7*H4</f>
        <v>434077.92</v>
      </c>
      <c r="I7" s="163"/>
      <c r="J7" s="164">
        <f>F7/E7</f>
        <v>0.9865683511865605</v>
      </c>
      <c r="K7" s="165">
        <v>45873.99999999977</v>
      </c>
      <c r="L7" s="49"/>
    </row>
    <row r="8" spans="1:12" ht="13.5" thickBot="1">
      <c r="A8" s="166">
        <v>2</v>
      </c>
      <c r="B8" s="167" t="s">
        <v>154</v>
      </c>
      <c r="C8" s="168"/>
      <c r="D8" s="169"/>
      <c r="E8" s="170">
        <v>531737</v>
      </c>
      <c r="F8" s="171">
        <v>590751</v>
      </c>
      <c r="G8" s="172"/>
      <c r="H8" s="172"/>
      <c r="I8" s="173">
        <f>F8</f>
        <v>590751</v>
      </c>
      <c r="J8" s="174">
        <f>F8/E8</f>
        <v>1.1109834373007708</v>
      </c>
      <c r="K8" s="60"/>
      <c r="L8" s="49"/>
    </row>
    <row r="9" spans="1:12" ht="13.5" thickBot="1">
      <c r="A9" s="175">
        <v>3</v>
      </c>
      <c r="B9" s="176" t="s">
        <v>5</v>
      </c>
      <c r="C9" s="177"/>
      <c r="D9" s="178"/>
      <c r="E9" s="179">
        <f>SUM(E7:E8)</f>
        <v>2365019</v>
      </c>
      <c r="F9" s="180">
        <f>SUM(F7:F8)</f>
        <v>2399409</v>
      </c>
      <c r="G9" s="181"/>
      <c r="H9" s="181"/>
      <c r="I9" s="182"/>
      <c r="J9" s="183">
        <f>F9/E9</f>
        <v>1.0145411093948928</v>
      </c>
      <c r="K9" s="60"/>
      <c r="L9" s="49"/>
    </row>
    <row r="10" spans="1:12" ht="12.75">
      <c r="A10" s="184"/>
      <c r="B10" s="169"/>
      <c r="C10" s="168"/>
      <c r="D10" s="169"/>
      <c r="E10" s="168"/>
      <c r="F10" s="137"/>
      <c r="G10" s="137"/>
      <c r="H10" s="137"/>
      <c r="I10" s="137"/>
      <c r="J10" s="185"/>
      <c r="K10" s="60"/>
      <c r="L10" s="49"/>
    </row>
    <row r="11" spans="1:12" ht="12.75">
      <c r="A11" s="184"/>
      <c r="B11" s="169"/>
      <c r="C11" s="168"/>
      <c r="D11" s="169"/>
      <c r="E11" s="168"/>
      <c r="F11" s="137"/>
      <c r="G11" s="137"/>
      <c r="H11" s="137"/>
      <c r="I11" s="137"/>
      <c r="J11" s="185"/>
      <c r="K11" s="60"/>
      <c r="L11" s="49"/>
    </row>
    <row r="12" spans="1:11" ht="12.75">
      <c r="A12" s="60"/>
      <c r="B12" s="60"/>
      <c r="C12" s="60"/>
      <c r="D12" s="60"/>
      <c r="E12" s="60"/>
      <c r="G12" s="60"/>
      <c r="H12" s="60"/>
      <c r="I12" s="60"/>
      <c r="J12" s="60"/>
      <c r="K12" s="60"/>
    </row>
    <row r="13" spans="1:12" ht="16.5" thickBot="1">
      <c r="A13" s="122" t="s">
        <v>670</v>
      </c>
      <c r="B13" s="60"/>
      <c r="C13" s="60"/>
      <c r="D13" s="60"/>
      <c r="E13" s="60"/>
      <c r="F13" s="60"/>
      <c r="G13" s="60"/>
      <c r="H13" s="186"/>
      <c r="I13" s="60"/>
      <c r="J13" s="60"/>
      <c r="K13" s="187"/>
      <c r="L13" s="188"/>
    </row>
    <row r="14" spans="1:12" ht="30" customHeight="1">
      <c r="A14" s="1514" t="s">
        <v>247</v>
      </c>
      <c r="B14" s="1515"/>
      <c r="C14" s="205" t="s">
        <v>201</v>
      </c>
      <c r="D14" s="206" t="s">
        <v>280</v>
      </c>
      <c r="E14" s="207" t="s">
        <v>281</v>
      </c>
      <c r="F14" s="722" t="s">
        <v>709</v>
      </c>
      <c r="G14" s="724" t="s">
        <v>283</v>
      </c>
      <c r="H14" s="189" t="s">
        <v>283</v>
      </c>
      <c r="L14" s="49"/>
    </row>
    <row r="15" spans="1:12" ht="42.75" customHeight="1" thickBot="1">
      <c r="A15" s="1516"/>
      <c r="B15" s="1517"/>
      <c r="C15" s="751" t="s">
        <v>721</v>
      </c>
      <c r="D15" s="752" t="s">
        <v>274</v>
      </c>
      <c r="E15" s="753" t="s">
        <v>282</v>
      </c>
      <c r="F15" s="723"/>
      <c r="G15" s="725" t="s">
        <v>16</v>
      </c>
      <c r="H15" s="208" t="s">
        <v>374</v>
      </c>
      <c r="L15" s="49"/>
    </row>
    <row r="16" spans="1:12" ht="13.5" thickBot="1">
      <c r="A16" s="209">
        <v>11</v>
      </c>
      <c r="B16" s="210" t="s">
        <v>7</v>
      </c>
      <c r="C16" s="211">
        <v>253435.38209324618</v>
      </c>
      <c r="D16" s="1010">
        <f aca="true" t="shared" si="0" ref="D16:D23">E16/$E$28</f>
        <v>0.04807334417301701</v>
      </c>
      <c r="E16" s="212">
        <v>3304.0330639606627</v>
      </c>
      <c r="F16" s="1445">
        <f>str2!AJ6</f>
        <v>68324.28816936107</v>
      </c>
      <c r="G16" s="1446">
        <f>C16+E16+F16</f>
        <v>325063.7033265679</v>
      </c>
      <c r="H16" s="1115">
        <f>ROUND(G16,1)</f>
        <v>325063.7</v>
      </c>
      <c r="L16" s="49"/>
    </row>
    <row r="17" spans="1:12" ht="13.5" thickBot="1">
      <c r="A17" s="213">
        <v>21</v>
      </c>
      <c r="B17" s="214" t="s">
        <v>8</v>
      </c>
      <c r="C17" s="215">
        <v>233449.385931055</v>
      </c>
      <c r="D17" s="978">
        <f t="shared" si="0"/>
        <v>0.21849667953062868</v>
      </c>
      <c r="E17" s="217">
        <v>15017.059161447296</v>
      </c>
      <c r="F17" s="1445">
        <f>str2!AJ7</f>
        <v>86601.69004081658</v>
      </c>
      <c r="G17" s="1446">
        <f aca="true" t="shared" si="1" ref="G17:G27">C17+E17+F17</f>
        <v>335068.1351333189</v>
      </c>
      <c r="H17" s="1115">
        <f aca="true" t="shared" si="2" ref="H17:H27">ROUND(G17,1)</f>
        <v>335068.1</v>
      </c>
      <c r="L17" s="49"/>
    </row>
    <row r="18" spans="1:12" ht="13.5" thickBot="1">
      <c r="A18" s="213">
        <v>22</v>
      </c>
      <c r="B18" s="214" t="s">
        <v>9</v>
      </c>
      <c r="C18" s="215">
        <v>91082.90644954046</v>
      </c>
      <c r="D18" s="978">
        <f t="shared" si="0"/>
        <v>0.037467921719199944</v>
      </c>
      <c r="E18" s="217">
        <v>2575.13294171058</v>
      </c>
      <c r="F18" s="1445">
        <f>str2!AJ8</f>
        <v>25869.58565073921</v>
      </c>
      <c r="G18" s="1446">
        <f t="shared" si="1"/>
        <v>119527.62504199025</v>
      </c>
      <c r="H18" s="1115">
        <f t="shared" si="2"/>
        <v>119527.6</v>
      </c>
      <c r="L18" s="49"/>
    </row>
    <row r="19" spans="1:12" ht="13.5" thickBot="1">
      <c r="A19" s="213">
        <v>23</v>
      </c>
      <c r="B19" s="214" t="s">
        <v>10</v>
      </c>
      <c r="C19" s="215">
        <v>98660.39099124311</v>
      </c>
      <c r="D19" s="978">
        <f t="shared" si="0"/>
        <v>0.07770388073735972</v>
      </c>
      <c r="E19" s="217">
        <v>5340.510330013519</v>
      </c>
      <c r="F19" s="1445">
        <f>str2!AJ9</f>
        <v>37610.640626149325</v>
      </c>
      <c r="G19" s="1446">
        <f t="shared" si="1"/>
        <v>141611.54194740596</v>
      </c>
      <c r="H19" s="1115">
        <f t="shared" si="2"/>
        <v>141611.5</v>
      </c>
      <c r="L19" s="49"/>
    </row>
    <row r="20" spans="1:12" ht="13.5" thickBot="1">
      <c r="A20" s="213">
        <v>31</v>
      </c>
      <c r="B20" s="214" t="s">
        <v>11</v>
      </c>
      <c r="C20" s="215">
        <v>242601.4569474116</v>
      </c>
      <c r="D20" s="978">
        <f t="shared" si="0"/>
        <v>0.16871020823946556</v>
      </c>
      <c r="E20" s="217">
        <v>11595.28457693106</v>
      </c>
      <c r="F20" s="1445">
        <f>str2!AJ10</f>
        <v>105249.0735819229</v>
      </c>
      <c r="G20" s="1446">
        <f t="shared" si="1"/>
        <v>359445.8151062656</v>
      </c>
      <c r="H20" s="1115">
        <f t="shared" si="2"/>
        <v>359445.8</v>
      </c>
      <c r="L20" s="49"/>
    </row>
    <row r="21" spans="1:12" ht="13.5" thickBot="1">
      <c r="A21" s="213">
        <v>33</v>
      </c>
      <c r="B21" s="214" t="s">
        <v>12</v>
      </c>
      <c r="C21" s="215">
        <v>96392.89850060194</v>
      </c>
      <c r="D21" s="978">
        <f t="shared" si="0"/>
        <v>0.13491977981076259</v>
      </c>
      <c r="E21" s="217">
        <v>9272.902086293021</v>
      </c>
      <c r="F21" s="1445">
        <f>str2!AJ11</f>
        <v>23931.66712621584</v>
      </c>
      <c r="G21" s="1446">
        <f t="shared" si="1"/>
        <v>129597.46771311079</v>
      </c>
      <c r="H21" s="1115">
        <f t="shared" si="2"/>
        <v>129597.5</v>
      </c>
      <c r="L21" s="49"/>
    </row>
    <row r="22" spans="1:12" ht="13.5" thickBot="1">
      <c r="A22" s="213">
        <v>41</v>
      </c>
      <c r="B22" s="214" t="s">
        <v>13</v>
      </c>
      <c r="C22" s="215">
        <v>145876.18534180443</v>
      </c>
      <c r="D22" s="978">
        <f t="shared" si="0"/>
        <v>0.10778890042509846</v>
      </c>
      <c r="E22" s="217">
        <v>7408.223768472194</v>
      </c>
      <c r="F22" s="1445">
        <f>str2!AJ12</f>
        <v>27823.629035160033</v>
      </c>
      <c r="G22" s="1446">
        <f t="shared" si="1"/>
        <v>181108.03814543667</v>
      </c>
      <c r="H22" s="1115">
        <f t="shared" si="2"/>
        <v>181108</v>
      </c>
      <c r="L22" s="49"/>
    </row>
    <row r="23" spans="1:12" ht="13.5" thickBot="1">
      <c r="A23" s="213">
        <v>51</v>
      </c>
      <c r="B23" s="214" t="s">
        <v>14</v>
      </c>
      <c r="C23" s="215">
        <v>57429.38471939794</v>
      </c>
      <c r="D23" s="978">
        <f t="shared" si="0"/>
        <v>0.04688816189002291</v>
      </c>
      <c r="E23" s="217">
        <v>3222.576666092032</v>
      </c>
      <c r="F23" s="1445">
        <f>str2!AJ13</f>
        <v>8939.94922071612</v>
      </c>
      <c r="G23" s="1446">
        <f t="shared" si="1"/>
        <v>69591.91060620609</v>
      </c>
      <c r="H23" s="1115">
        <f t="shared" si="2"/>
        <v>69591.9</v>
      </c>
      <c r="L23" s="49"/>
    </row>
    <row r="24" spans="1:12" ht="13.5" thickBot="1">
      <c r="A24" s="213">
        <v>56</v>
      </c>
      <c r="B24" s="214" t="s">
        <v>15</v>
      </c>
      <c r="C24" s="215">
        <v>86923.08502569963</v>
      </c>
      <c r="D24" s="978">
        <f>E24/$E$28</f>
        <v>0.1599511234744451</v>
      </c>
      <c r="E24" s="217">
        <v>10993.281405079631</v>
      </c>
      <c r="F24" s="1445">
        <f>str2!AJ14</f>
        <v>26067.52488595656</v>
      </c>
      <c r="G24" s="1446">
        <f t="shared" si="1"/>
        <v>123983.89131673583</v>
      </c>
      <c r="H24" s="1115">
        <f t="shared" si="2"/>
        <v>123983.9</v>
      </c>
      <c r="L24" s="49"/>
    </row>
    <row r="25" spans="1:12" ht="13.5" thickBot="1">
      <c r="A25" s="213">
        <v>71</v>
      </c>
      <c r="B25" s="218" t="s">
        <v>233</v>
      </c>
      <c r="C25" s="215"/>
      <c r="D25" s="216"/>
      <c r="E25" s="1443"/>
      <c r="F25" s="1445">
        <f>str2!AJ15</f>
        <v>19048.622072090828</v>
      </c>
      <c r="G25" s="1446">
        <f t="shared" si="1"/>
        <v>19048.622072090828</v>
      </c>
      <c r="H25" s="1115">
        <f t="shared" si="2"/>
        <v>19048.6</v>
      </c>
      <c r="L25" s="49"/>
    </row>
    <row r="26" spans="1:12" ht="13.5" thickBot="1">
      <c r="A26" s="213">
        <v>85</v>
      </c>
      <c r="B26" s="218" t="s">
        <v>106</v>
      </c>
      <c r="C26" s="215"/>
      <c r="D26" s="216"/>
      <c r="E26" s="1443"/>
      <c r="F26" s="1445">
        <f>str2!AJ16</f>
        <v>2194.2061304592235</v>
      </c>
      <c r="G26" s="1446">
        <f t="shared" si="1"/>
        <v>2194.2061304592235</v>
      </c>
      <c r="H26" s="1115">
        <f t="shared" si="2"/>
        <v>2194.2</v>
      </c>
      <c r="L26" s="49"/>
    </row>
    <row r="27" spans="1:12" ht="13.5" thickBot="1">
      <c r="A27" s="166">
        <v>92</v>
      </c>
      <c r="B27" s="219" t="s">
        <v>17</v>
      </c>
      <c r="C27" s="220"/>
      <c r="D27" s="221"/>
      <c r="E27" s="1444"/>
      <c r="F27" s="1445">
        <f>str2!AJ17</f>
        <v>2417.139168260824</v>
      </c>
      <c r="G27" s="1446">
        <f t="shared" si="1"/>
        <v>2417.139168260824</v>
      </c>
      <c r="H27" s="1115">
        <f t="shared" si="2"/>
        <v>2417.1</v>
      </c>
      <c r="L27" s="49"/>
    </row>
    <row r="28" spans="1:12" ht="13.5" thickBot="1">
      <c r="A28" s="222" t="s">
        <v>70</v>
      </c>
      <c r="B28" s="223"/>
      <c r="C28" s="224">
        <f aca="true" t="shared" si="3" ref="C28:H28">SUM(C16:C27)</f>
        <v>1305851.0760000004</v>
      </c>
      <c r="D28" s="225">
        <f t="shared" si="3"/>
        <v>0.9999999999999999</v>
      </c>
      <c r="E28" s="226">
        <f t="shared" si="3"/>
        <v>68729.004</v>
      </c>
      <c r="F28" s="1447">
        <f t="shared" si="3"/>
        <v>434078.01570784854</v>
      </c>
      <c r="G28" s="1448">
        <f t="shared" si="3"/>
        <v>1808658.0957078491</v>
      </c>
      <c r="H28" s="1116">
        <f t="shared" si="3"/>
        <v>1808657.9</v>
      </c>
      <c r="L28" s="49"/>
    </row>
    <row r="29" spans="1:12" ht="12.75">
      <c r="A29" s="199"/>
      <c r="B29" s="169"/>
      <c r="C29" s="200"/>
      <c r="D29" s="200"/>
      <c r="E29" s="200"/>
      <c r="F29" s="200"/>
      <c r="G29" s="201"/>
      <c r="K29" s="124"/>
      <c r="L29" s="49"/>
    </row>
    <row r="31" ht="12.75">
      <c r="C31" s="282"/>
    </row>
    <row r="43" spans="9:10" ht="12.75">
      <c r="I43" s="1114"/>
      <c r="J43" s="1114"/>
    </row>
    <row r="44" spans="3:10" ht="12.75">
      <c r="C44" s="124"/>
      <c r="D44" s="124"/>
      <c r="E44" s="124"/>
      <c r="F44" s="124"/>
      <c r="G44" s="124"/>
      <c r="I44" s="124"/>
      <c r="J44" s="124"/>
    </row>
    <row r="45" spans="3:10" ht="12.75">
      <c r="C45" s="124"/>
      <c r="D45" s="124"/>
      <c r="E45" s="124"/>
      <c r="F45" s="124"/>
      <c r="G45" s="124"/>
      <c r="I45" s="124"/>
      <c r="J45" s="124"/>
    </row>
    <row r="46" spans="3:10" ht="12.75">
      <c r="C46" s="124"/>
      <c r="D46" s="124"/>
      <c r="E46" s="124"/>
      <c r="F46" s="124"/>
      <c r="G46" s="124"/>
      <c r="I46" s="124"/>
      <c r="J46" s="124"/>
    </row>
    <row r="47" spans="3:10" ht="12.75">
      <c r="C47" s="124"/>
      <c r="D47" s="124"/>
      <c r="E47" s="124"/>
      <c r="F47" s="124"/>
      <c r="G47" s="124"/>
      <c r="I47" s="124"/>
      <c r="J47" s="124"/>
    </row>
    <row r="48" spans="3:10" ht="12.75">
      <c r="C48" s="124"/>
      <c r="D48" s="124"/>
      <c r="E48" s="124"/>
      <c r="F48" s="124"/>
      <c r="G48" s="124"/>
      <c r="I48" s="124"/>
      <c r="J48" s="124"/>
    </row>
    <row r="49" spans="3:10" ht="12.75">
      <c r="C49" s="124"/>
      <c r="D49" s="124"/>
      <c r="E49" s="124"/>
      <c r="F49" s="124"/>
      <c r="G49" s="124"/>
      <c r="I49" s="124"/>
      <c r="J49" s="124"/>
    </row>
    <row r="50" spans="3:10" ht="12.75">
      <c r="C50" s="124"/>
      <c r="D50" s="124"/>
      <c r="E50" s="124"/>
      <c r="F50" s="124"/>
      <c r="G50" s="124"/>
      <c r="I50" s="124"/>
      <c r="J50" s="124"/>
    </row>
    <row r="51" spans="3:10" ht="12.75">
      <c r="C51" s="124"/>
      <c r="D51" s="124"/>
      <c r="E51" s="124"/>
      <c r="F51" s="124"/>
      <c r="G51" s="124"/>
      <c r="I51" s="124"/>
      <c r="J51" s="124"/>
    </row>
    <row r="52" spans="3:10" ht="12.75">
      <c r="C52" s="124"/>
      <c r="D52" s="124"/>
      <c r="E52" s="124"/>
      <c r="F52" s="124"/>
      <c r="G52" s="124"/>
      <c r="I52" s="124"/>
      <c r="J52" s="124"/>
    </row>
    <row r="53" spans="3:10" ht="12.75">
      <c r="C53" s="124"/>
      <c r="D53" s="124"/>
      <c r="E53" s="124"/>
      <c r="F53" s="124"/>
      <c r="G53" s="124"/>
      <c r="I53" s="124"/>
      <c r="J53" s="124"/>
    </row>
    <row r="54" spans="3:10" ht="12.75">
      <c r="C54" s="124"/>
      <c r="D54" s="124"/>
      <c r="E54" s="124"/>
      <c r="F54" s="124"/>
      <c r="G54" s="124"/>
      <c r="I54" s="124"/>
      <c r="J54" s="124"/>
    </row>
    <row r="55" spans="3:10" ht="12.75">
      <c r="C55" s="124"/>
      <c r="D55" s="124"/>
      <c r="E55" s="124"/>
      <c r="F55" s="124"/>
      <c r="G55" s="124"/>
      <c r="I55" s="124"/>
      <c r="J55" s="124"/>
    </row>
  </sheetData>
  <sheetProtection/>
  <mergeCells count="2">
    <mergeCell ref="A2:M2"/>
    <mergeCell ref="A14:B15"/>
  </mergeCells>
  <printOptions/>
  <pageMargins left="0.7086614173228347" right="0.2755905511811024" top="0.6692913385826772" bottom="0.6299212598425197" header="0.5118110236220472" footer="0.31496062992125984"/>
  <pageSetup horizontalDpi="600" verticalDpi="600" orientation="landscape" paperSize="9" scale="85" r:id="rId1"/>
  <headerFooter alignWithMargins="0">
    <oddFooter>&amp;C&amp;9&amp;P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S57"/>
  <sheetViews>
    <sheetView zoomScalePageLayoutView="0" workbookViewId="0" topLeftCell="A1">
      <selection activeCell="K7" sqref="K7:K8"/>
    </sheetView>
  </sheetViews>
  <sheetFormatPr defaultColWidth="8.75390625" defaultRowHeight="12.75"/>
  <cols>
    <col min="1" max="1" width="8.25390625" style="49" customWidth="1"/>
    <col min="2" max="2" width="5.625" style="49" customWidth="1"/>
    <col min="3" max="3" width="6.25390625" style="49" customWidth="1"/>
    <col min="4" max="4" width="6.875" style="49" customWidth="1"/>
    <col min="5" max="5" width="23.00390625" style="49" customWidth="1"/>
    <col min="6" max="6" width="3.75390625" style="631" bestFit="1" customWidth="1"/>
    <col min="7" max="7" width="43.75390625" style="625" customWidth="1"/>
    <col min="8" max="8" width="10.00390625" style="49" customWidth="1"/>
    <col min="9" max="9" width="5.125" style="49" hidden="1" customWidth="1"/>
    <col min="10" max="10" width="7.625" style="64" customWidth="1"/>
    <col min="11" max="14" width="8.00390625" style="64" customWidth="1"/>
    <col min="15" max="15" width="8.125" style="64" customWidth="1"/>
    <col min="16" max="16" width="10.125" style="61" customWidth="1"/>
    <col min="17" max="17" width="3.875" style="49" customWidth="1"/>
    <col min="18" max="16384" width="8.75390625" style="49" customWidth="1"/>
  </cols>
  <sheetData>
    <row r="1" ht="15.75" customHeight="1" thickBot="1">
      <c r="P1" s="61" t="s">
        <v>659</v>
      </c>
    </row>
    <row r="2" spans="1:16" ht="15.75">
      <c r="A2" s="1582" t="s">
        <v>660</v>
      </c>
      <c r="B2" s="1583"/>
      <c r="C2" s="1583"/>
      <c r="D2" s="1584"/>
      <c r="E2" s="1477"/>
      <c r="F2" s="554"/>
      <c r="G2" s="555"/>
      <c r="H2" s="556" t="s">
        <v>42</v>
      </c>
      <c r="I2" s="557" t="s">
        <v>43</v>
      </c>
      <c r="J2" s="558" t="s">
        <v>81</v>
      </c>
      <c r="K2" s="1585" t="s">
        <v>109</v>
      </c>
      <c r="L2" s="1586"/>
      <c r="M2" s="1586"/>
      <c r="N2" s="1586"/>
      <c r="O2" s="1587"/>
      <c r="P2" s="559" t="s">
        <v>44</v>
      </c>
    </row>
    <row r="3" spans="1:16" ht="13.5" thickBot="1">
      <c r="A3" s="560" t="s">
        <v>581</v>
      </c>
      <c r="B3" s="561"/>
      <c r="C3" s="561"/>
      <c r="D3" s="1588"/>
      <c r="E3" s="1589"/>
      <c r="F3" s="562" t="s">
        <v>34</v>
      </c>
      <c r="G3" s="563" t="s">
        <v>36</v>
      </c>
      <c r="H3" s="564">
        <v>2016</v>
      </c>
      <c r="I3" s="565" t="s">
        <v>26</v>
      </c>
      <c r="J3" s="566" t="s">
        <v>110</v>
      </c>
      <c r="K3" s="567" t="s">
        <v>111</v>
      </c>
      <c r="L3" s="567" t="s">
        <v>112</v>
      </c>
      <c r="M3" s="567" t="s">
        <v>113</v>
      </c>
      <c r="N3" s="1478" t="s">
        <v>143</v>
      </c>
      <c r="O3" s="566" t="s">
        <v>114</v>
      </c>
      <c r="P3" s="568">
        <v>2015</v>
      </c>
    </row>
    <row r="4" spans="1:16" s="64" customFormat="1" ht="25.5" customHeight="1" thickBot="1">
      <c r="A4" s="569" t="s">
        <v>582</v>
      </c>
      <c r="B4" s="570"/>
      <c r="C4" s="570"/>
      <c r="D4" s="570"/>
      <c r="E4" s="570"/>
      <c r="F4" s="571">
        <v>1</v>
      </c>
      <c r="G4" s="572"/>
      <c r="H4" s="490">
        <f aca="true" t="shared" si="0" ref="H4:P4">H5+SUM(H19:H28)</f>
        <v>0</v>
      </c>
      <c r="I4" s="573">
        <f t="shared" si="0"/>
        <v>0</v>
      </c>
      <c r="J4" s="574">
        <f t="shared" si="0"/>
        <v>0</v>
      </c>
      <c r="K4" s="575">
        <f t="shared" si="0"/>
        <v>0</v>
      </c>
      <c r="L4" s="575">
        <f t="shared" si="0"/>
        <v>0</v>
      </c>
      <c r="M4" s="575">
        <f t="shared" si="0"/>
        <v>0</v>
      </c>
      <c r="N4" s="575">
        <f t="shared" si="0"/>
        <v>0</v>
      </c>
      <c r="O4" s="574">
        <f t="shared" si="0"/>
        <v>0</v>
      </c>
      <c r="P4" s="576">
        <f t="shared" si="0"/>
        <v>0</v>
      </c>
    </row>
    <row r="5" spans="1:16" s="278" customFormat="1" ht="22.5">
      <c r="A5" s="991" t="s">
        <v>45</v>
      </c>
      <c r="B5" s="992" t="s">
        <v>115</v>
      </c>
      <c r="C5" s="992"/>
      <c r="D5" s="992"/>
      <c r="E5" s="992"/>
      <c r="F5" s="993">
        <f>F4+1</f>
        <v>2</v>
      </c>
      <c r="G5" s="994" t="s">
        <v>661</v>
      </c>
      <c r="H5" s="995">
        <f>SUM(H6:H16)</f>
        <v>0</v>
      </c>
      <c r="I5" s="996">
        <f aca="true" t="shared" si="1" ref="I5:P5">SUM(I6:I16)</f>
        <v>0</v>
      </c>
      <c r="J5" s="996">
        <v>0</v>
      </c>
      <c r="K5" s="1479">
        <f t="shared" si="1"/>
        <v>0</v>
      </c>
      <c r="L5" s="997">
        <f t="shared" si="1"/>
        <v>0</v>
      </c>
      <c r="M5" s="997">
        <f t="shared" si="1"/>
        <v>0</v>
      </c>
      <c r="N5" s="1479">
        <f t="shared" si="1"/>
        <v>0</v>
      </c>
      <c r="O5" s="997">
        <f t="shared" si="1"/>
        <v>0</v>
      </c>
      <c r="P5" s="998">
        <f t="shared" si="1"/>
        <v>0</v>
      </c>
    </row>
    <row r="6" spans="1:16" s="278" customFormat="1" ht="12.75">
      <c r="A6" s="578"/>
      <c r="B6" s="549"/>
      <c r="C6" s="549" t="s">
        <v>46</v>
      </c>
      <c r="D6" s="579" t="s">
        <v>47</v>
      </c>
      <c r="E6" s="579"/>
      <c r="F6" s="580">
        <f aca="true" t="shared" si="2" ref="F6:F28">F5+1</f>
        <v>3</v>
      </c>
      <c r="G6" s="581"/>
      <c r="H6" s="1480"/>
      <c r="I6" s="1481"/>
      <c r="J6" s="1482"/>
      <c r="K6" s="1482"/>
      <c r="L6" s="585"/>
      <c r="M6" s="585"/>
      <c r="N6" s="1483"/>
      <c r="O6" s="585"/>
      <c r="P6" s="1484"/>
    </row>
    <row r="7" spans="1:16" s="278" customFormat="1" ht="12.75">
      <c r="A7" s="578"/>
      <c r="B7" s="549"/>
      <c r="C7" s="549"/>
      <c r="D7" s="579" t="s">
        <v>48</v>
      </c>
      <c r="E7" s="579"/>
      <c r="F7" s="580">
        <f t="shared" si="2"/>
        <v>4</v>
      </c>
      <c r="G7" s="581"/>
      <c r="H7" s="1480"/>
      <c r="I7" s="1481"/>
      <c r="J7" s="1482"/>
      <c r="K7" s="1482"/>
      <c r="L7" s="585"/>
      <c r="M7" s="585"/>
      <c r="N7" s="1483"/>
      <c r="O7" s="585"/>
      <c r="P7" s="1484"/>
    </row>
    <row r="8" spans="1:16" s="278" customFormat="1" ht="12.75">
      <c r="A8" s="578"/>
      <c r="B8" s="549"/>
      <c r="C8" s="549"/>
      <c r="D8" s="579" t="s">
        <v>131</v>
      </c>
      <c r="E8" s="579"/>
      <c r="F8" s="580">
        <f t="shared" si="2"/>
        <v>5</v>
      </c>
      <c r="G8" s="581"/>
      <c r="H8" s="1480"/>
      <c r="I8" s="1481"/>
      <c r="J8" s="1482"/>
      <c r="K8" s="1482"/>
      <c r="L8" s="585"/>
      <c r="M8" s="585"/>
      <c r="N8" s="1483"/>
      <c r="O8" s="585"/>
      <c r="P8" s="1484"/>
    </row>
    <row r="9" spans="1:16" s="278" customFormat="1" ht="12.75">
      <c r="A9" s="578"/>
      <c r="B9" s="549"/>
      <c r="C9" s="549"/>
      <c r="D9" s="579" t="s">
        <v>49</v>
      </c>
      <c r="E9" s="579"/>
      <c r="F9" s="580">
        <f t="shared" si="2"/>
        <v>6</v>
      </c>
      <c r="G9" s="581"/>
      <c r="H9" s="1480"/>
      <c r="I9" s="1481"/>
      <c r="J9" s="1482"/>
      <c r="K9" s="1482"/>
      <c r="L9" s="585"/>
      <c r="M9" s="585"/>
      <c r="N9" s="1483"/>
      <c r="O9" s="585"/>
      <c r="P9" s="1484"/>
    </row>
    <row r="10" spans="1:19" s="278" customFormat="1" ht="12.75">
      <c r="A10" s="578"/>
      <c r="B10" s="549"/>
      <c r="C10" s="549"/>
      <c r="D10" s="579" t="s">
        <v>50</v>
      </c>
      <c r="E10" s="579"/>
      <c r="F10" s="580">
        <f t="shared" si="2"/>
        <v>7</v>
      </c>
      <c r="G10" s="581"/>
      <c r="H10" s="1480"/>
      <c r="I10" s="1481"/>
      <c r="J10" s="1482"/>
      <c r="K10" s="1482"/>
      <c r="L10" s="585"/>
      <c r="M10" s="585"/>
      <c r="N10" s="1483"/>
      <c r="O10" s="585"/>
      <c r="P10" s="1484"/>
      <c r="R10" s="587"/>
      <c r="S10" s="587"/>
    </row>
    <row r="11" spans="1:19" s="278" customFormat="1" ht="12.75">
      <c r="A11" s="578"/>
      <c r="B11" s="549"/>
      <c r="C11" s="549"/>
      <c r="D11" s="579" t="s">
        <v>51</v>
      </c>
      <c r="E11" s="579"/>
      <c r="F11" s="580">
        <f t="shared" si="2"/>
        <v>8</v>
      </c>
      <c r="G11" s="581"/>
      <c r="H11" s="1480"/>
      <c r="I11" s="1481"/>
      <c r="J11" s="1482"/>
      <c r="K11" s="1482"/>
      <c r="L11" s="585"/>
      <c r="M11" s="585"/>
      <c r="N11" s="1483"/>
      <c r="O11" s="585"/>
      <c r="P11" s="1484"/>
      <c r="R11" s="587"/>
      <c r="S11" s="587"/>
    </row>
    <row r="12" spans="1:16" s="278" customFormat="1" ht="12.75">
      <c r="A12" s="578"/>
      <c r="B12" s="549"/>
      <c r="C12" s="549"/>
      <c r="D12" s="579" t="s">
        <v>52</v>
      </c>
      <c r="E12" s="579"/>
      <c r="F12" s="580">
        <f t="shared" si="2"/>
        <v>9</v>
      </c>
      <c r="G12" s="581"/>
      <c r="H12" s="1480"/>
      <c r="I12" s="1481"/>
      <c r="J12" s="1482"/>
      <c r="K12" s="1482"/>
      <c r="L12" s="585"/>
      <c r="M12" s="585"/>
      <c r="N12" s="1483"/>
      <c r="O12" s="585"/>
      <c r="P12" s="1484"/>
    </row>
    <row r="13" spans="1:16" s="278" customFormat="1" ht="12.75">
      <c r="A13" s="578"/>
      <c r="B13" s="549"/>
      <c r="C13" s="549"/>
      <c r="D13" s="579" t="s">
        <v>53</v>
      </c>
      <c r="E13" s="579"/>
      <c r="F13" s="580">
        <f t="shared" si="2"/>
        <v>10</v>
      </c>
      <c r="G13" s="581"/>
      <c r="H13" s="1480"/>
      <c r="I13" s="1481"/>
      <c r="J13" s="1482"/>
      <c r="K13" s="1482"/>
      <c r="L13" s="1483"/>
      <c r="M13" s="1483"/>
      <c r="N13" s="1483"/>
      <c r="O13" s="1483"/>
      <c r="P13" s="1484"/>
    </row>
    <row r="14" spans="1:16" s="278" customFormat="1" ht="12.75">
      <c r="A14" s="578"/>
      <c r="B14" s="549"/>
      <c r="C14" s="549"/>
      <c r="D14" s="579" t="s">
        <v>23</v>
      </c>
      <c r="E14" s="579"/>
      <c r="F14" s="580">
        <f t="shared" si="2"/>
        <v>11</v>
      </c>
      <c r="G14" s="581"/>
      <c r="H14" s="1480"/>
      <c r="I14" s="1481"/>
      <c r="J14" s="1482"/>
      <c r="K14" s="1482"/>
      <c r="L14" s="1483"/>
      <c r="M14" s="1483"/>
      <c r="N14" s="1483"/>
      <c r="O14" s="1483"/>
      <c r="P14" s="1484"/>
    </row>
    <row r="15" spans="1:16" s="278" customFormat="1" ht="12.75">
      <c r="A15" s="578"/>
      <c r="B15" s="549"/>
      <c r="C15" s="549"/>
      <c r="D15" s="579" t="s">
        <v>54</v>
      </c>
      <c r="E15" s="579"/>
      <c r="F15" s="580">
        <f>F14+1</f>
        <v>12</v>
      </c>
      <c r="G15" s="581"/>
      <c r="H15" s="582">
        <v>0</v>
      </c>
      <c r="I15" s="583"/>
      <c r="J15" s="584">
        <v>0</v>
      </c>
      <c r="K15" s="584">
        <v>0</v>
      </c>
      <c r="L15" s="585">
        <v>0</v>
      </c>
      <c r="M15" s="585">
        <v>0</v>
      </c>
      <c r="N15" s="1483">
        <v>0</v>
      </c>
      <c r="O15" s="585">
        <v>0</v>
      </c>
      <c r="P15" s="586"/>
    </row>
    <row r="16" spans="1:16" s="307" customFormat="1" ht="12" customHeight="1" hidden="1">
      <c r="A16" s="578"/>
      <c r="B16" s="549"/>
      <c r="C16" s="579"/>
      <c r="D16" s="579" t="s">
        <v>20</v>
      </c>
      <c r="E16" s="579"/>
      <c r="F16" s="580">
        <f t="shared" si="2"/>
        <v>13</v>
      </c>
      <c r="G16" s="581"/>
      <c r="H16" s="1480">
        <v>0</v>
      </c>
      <c r="I16" s="1485"/>
      <c r="J16" s="1482">
        <v>0</v>
      </c>
      <c r="K16" s="584">
        <v>0</v>
      </c>
      <c r="L16" s="585">
        <v>0</v>
      </c>
      <c r="M16" s="585">
        <v>0</v>
      </c>
      <c r="N16" s="1483">
        <v>0</v>
      </c>
      <c r="O16" s="585">
        <v>0</v>
      </c>
      <c r="P16" s="1484"/>
    </row>
    <row r="17" spans="1:16" s="307" customFormat="1" ht="12" customHeight="1" hidden="1">
      <c r="A17" s="588"/>
      <c r="B17" s="589"/>
      <c r="C17" s="590"/>
      <c r="D17" s="590"/>
      <c r="E17" s="590" t="s">
        <v>161</v>
      </c>
      <c r="F17" s="580" t="s">
        <v>583</v>
      </c>
      <c r="G17" s="591"/>
      <c r="H17" s="592"/>
      <c r="I17" s="593"/>
      <c r="J17" s="594"/>
      <c r="K17" s="594"/>
      <c r="L17" s="595"/>
      <c r="M17" s="595"/>
      <c r="N17" s="595"/>
      <c r="O17" s="593"/>
      <c r="P17" s="586"/>
    </row>
    <row r="18" spans="1:16" s="64" customFormat="1" ht="12">
      <c r="A18" s="588"/>
      <c r="B18" s="589"/>
      <c r="C18" s="1015"/>
      <c r="D18" s="1015"/>
      <c r="E18" s="1015" t="s">
        <v>177</v>
      </c>
      <c r="F18" s="1016" t="s">
        <v>584</v>
      </c>
      <c r="G18" s="1017"/>
      <c r="H18" s="1018"/>
      <c r="I18" s="1019"/>
      <c r="J18" s="1020"/>
      <c r="K18" s="1020"/>
      <c r="L18" s="1021"/>
      <c r="M18" s="1021"/>
      <c r="N18" s="1021"/>
      <c r="O18" s="1019"/>
      <c r="P18" s="1022"/>
    </row>
    <row r="19" spans="1:16" s="64" customFormat="1" ht="12.75">
      <c r="A19" s="577"/>
      <c r="B19" s="1023" t="s">
        <v>55</v>
      </c>
      <c r="C19" s="1023"/>
      <c r="D19" s="1023"/>
      <c r="E19" s="1023"/>
      <c r="F19" s="1024">
        <f>F16+1</f>
        <v>14</v>
      </c>
      <c r="G19" s="1025" t="s">
        <v>56</v>
      </c>
      <c r="H19" s="1026"/>
      <c r="I19" s="1027"/>
      <c r="J19" s="1028"/>
      <c r="K19" s="1028"/>
      <c r="L19" s="1028"/>
      <c r="M19" s="1028"/>
      <c r="N19" s="1028"/>
      <c r="O19" s="1028"/>
      <c r="P19" s="1029"/>
    </row>
    <row r="20" spans="1:16" s="64" customFormat="1" ht="12.75">
      <c r="A20" s="577"/>
      <c r="B20" s="107" t="s">
        <v>57</v>
      </c>
      <c r="C20" s="99"/>
      <c r="D20" s="99"/>
      <c r="E20" s="99"/>
      <c r="F20" s="580">
        <f t="shared" si="2"/>
        <v>15</v>
      </c>
      <c r="G20" s="597" t="s">
        <v>58</v>
      </c>
      <c r="H20" s="598"/>
      <c r="I20" s="599"/>
      <c r="J20" s="600"/>
      <c r="K20" s="600"/>
      <c r="L20" s="600"/>
      <c r="M20" s="600"/>
      <c r="N20" s="600"/>
      <c r="O20" s="600"/>
      <c r="P20" s="602"/>
    </row>
    <row r="21" spans="1:16" s="64" customFormat="1" ht="12.75">
      <c r="A21" s="577"/>
      <c r="B21" s="603" t="s">
        <v>59</v>
      </c>
      <c r="C21" s="604"/>
      <c r="D21" s="604"/>
      <c r="E21" s="604"/>
      <c r="F21" s="580">
        <f t="shared" si="2"/>
        <v>16</v>
      </c>
      <c r="G21" s="605" t="s">
        <v>519</v>
      </c>
      <c r="H21" s="598"/>
      <c r="I21" s="599"/>
      <c r="J21" s="600"/>
      <c r="K21" s="600"/>
      <c r="L21" s="600"/>
      <c r="M21" s="600"/>
      <c r="N21" s="600"/>
      <c r="O21" s="600"/>
      <c r="P21" s="602"/>
    </row>
    <row r="22" spans="1:16" s="64" customFormat="1" ht="12.75">
      <c r="A22" s="577"/>
      <c r="B22" s="603" t="s">
        <v>60</v>
      </c>
      <c r="C22" s="603"/>
      <c r="D22" s="603"/>
      <c r="E22" s="604"/>
      <c r="F22" s="580">
        <f t="shared" si="2"/>
        <v>17</v>
      </c>
      <c r="G22" s="606" t="s">
        <v>116</v>
      </c>
      <c r="H22" s="598"/>
      <c r="I22" s="599"/>
      <c r="J22" s="600"/>
      <c r="K22" s="600"/>
      <c r="L22" s="600"/>
      <c r="M22" s="600"/>
      <c r="N22" s="600"/>
      <c r="O22" s="600"/>
      <c r="P22" s="602"/>
    </row>
    <row r="23" spans="1:16" s="64" customFormat="1" ht="12.75">
      <c r="A23" s="577"/>
      <c r="B23" s="603" t="s">
        <v>585</v>
      </c>
      <c r="C23" s="603"/>
      <c r="D23" s="603"/>
      <c r="E23" s="604"/>
      <c r="F23" s="580">
        <f t="shared" si="2"/>
        <v>18</v>
      </c>
      <c r="G23" s="606" t="s">
        <v>117</v>
      </c>
      <c r="H23" s="598"/>
      <c r="I23" s="599"/>
      <c r="J23" s="600"/>
      <c r="K23" s="600"/>
      <c r="L23" s="600"/>
      <c r="M23" s="600"/>
      <c r="N23" s="600"/>
      <c r="O23" s="600"/>
      <c r="P23" s="602"/>
    </row>
    <row r="24" spans="1:16" s="64" customFormat="1" ht="12.75">
      <c r="A24" s="577"/>
      <c r="B24" s="603" t="s">
        <v>129</v>
      </c>
      <c r="C24" s="603"/>
      <c r="D24" s="603"/>
      <c r="E24" s="604"/>
      <c r="F24" s="580">
        <f>F23+1</f>
        <v>19</v>
      </c>
      <c r="G24" s="606" t="s">
        <v>61</v>
      </c>
      <c r="H24" s="598"/>
      <c r="I24" s="599"/>
      <c r="J24" s="599"/>
      <c r="K24" s="601"/>
      <c r="L24" s="601"/>
      <c r="M24" s="601"/>
      <c r="N24" s="601"/>
      <c r="O24" s="601"/>
      <c r="P24" s="602"/>
    </row>
    <row r="25" spans="1:16" s="64" customFormat="1" ht="12.75">
      <c r="A25" s="577"/>
      <c r="B25" s="603" t="s">
        <v>62</v>
      </c>
      <c r="C25" s="603"/>
      <c r="D25" s="603"/>
      <c r="E25" s="604"/>
      <c r="F25" s="580">
        <f t="shared" si="2"/>
        <v>20</v>
      </c>
      <c r="G25" s="999" t="s">
        <v>586</v>
      </c>
      <c r="H25" s="598"/>
      <c r="I25" s="599"/>
      <c r="J25" s="599"/>
      <c r="K25" s="601"/>
      <c r="L25" s="601"/>
      <c r="M25" s="601"/>
      <c r="N25" s="601"/>
      <c r="O25" s="601"/>
      <c r="P25" s="602"/>
    </row>
    <row r="26" spans="1:16" s="64" customFormat="1" ht="12.75">
      <c r="A26" s="577"/>
      <c r="B26" s="603" t="s">
        <v>189</v>
      </c>
      <c r="C26" s="603"/>
      <c r="D26" s="603"/>
      <c r="E26" s="604"/>
      <c r="F26" s="580">
        <f t="shared" si="2"/>
        <v>21</v>
      </c>
      <c r="G26" s="606" t="s">
        <v>520</v>
      </c>
      <c r="H26" s="598"/>
      <c r="I26" s="599"/>
      <c r="J26" s="599"/>
      <c r="K26" s="601"/>
      <c r="L26" s="601"/>
      <c r="M26" s="601"/>
      <c r="N26" s="601"/>
      <c r="O26" s="601"/>
      <c r="P26" s="602"/>
    </row>
    <row r="27" spans="1:16" s="64" customFormat="1" ht="12.75">
      <c r="A27" s="577"/>
      <c r="B27" s="603" t="s">
        <v>130</v>
      </c>
      <c r="C27" s="603"/>
      <c r="D27" s="603"/>
      <c r="E27" s="604"/>
      <c r="F27" s="580">
        <f t="shared" si="2"/>
        <v>22</v>
      </c>
      <c r="G27" s="606" t="s">
        <v>119</v>
      </c>
      <c r="H27" s="598"/>
      <c r="I27" s="599"/>
      <c r="J27" s="599"/>
      <c r="K27" s="601"/>
      <c r="L27" s="601"/>
      <c r="M27" s="601"/>
      <c r="N27" s="601"/>
      <c r="O27" s="601"/>
      <c r="P27" s="602"/>
    </row>
    <row r="28" spans="1:16" ht="13.5" thickBot="1">
      <c r="A28" s="577"/>
      <c r="B28" s="107" t="s">
        <v>63</v>
      </c>
      <c r="C28" s="107"/>
      <c r="D28" s="107"/>
      <c r="E28" s="99"/>
      <c r="F28" s="580">
        <f t="shared" si="2"/>
        <v>23</v>
      </c>
      <c r="G28" s="607" t="s">
        <v>64</v>
      </c>
      <c r="H28" s="1486"/>
      <c r="I28" s="1487"/>
      <c r="J28" s="1487"/>
      <c r="K28" s="601"/>
      <c r="L28" s="601"/>
      <c r="M28" s="601"/>
      <c r="N28" s="601"/>
      <c r="O28" s="601"/>
      <c r="P28" s="1488"/>
    </row>
    <row r="29" spans="1:16" s="64" customFormat="1" ht="13.5" thickBot="1">
      <c r="A29" s="608" t="s">
        <v>587</v>
      </c>
      <c r="B29" s="609"/>
      <c r="C29" s="609"/>
      <c r="D29" s="609"/>
      <c r="E29" s="609"/>
      <c r="F29" s="571">
        <f>F28+1</f>
        <v>24</v>
      </c>
      <c r="G29" s="610"/>
      <c r="H29" s="490">
        <f>SUM(H30:H44)</f>
        <v>0</v>
      </c>
      <c r="I29" s="573">
        <f aca="true" t="shared" si="3" ref="I29:P29">SUM(I30:I44)</f>
        <v>0</v>
      </c>
      <c r="J29" s="574">
        <f t="shared" si="3"/>
        <v>0</v>
      </c>
      <c r="K29" s="575">
        <f t="shared" si="3"/>
        <v>0</v>
      </c>
      <c r="L29" s="575">
        <f t="shared" si="3"/>
        <v>0</v>
      </c>
      <c r="M29" s="575">
        <f t="shared" si="3"/>
        <v>0</v>
      </c>
      <c r="N29" s="575">
        <f t="shared" si="3"/>
        <v>0</v>
      </c>
      <c r="O29" s="574">
        <f t="shared" si="3"/>
        <v>0</v>
      </c>
      <c r="P29" s="576">
        <f t="shared" si="3"/>
        <v>0</v>
      </c>
    </row>
    <row r="30" spans="1:16" s="64" customFormat="1" ht="12.75">
      <c r="A30" s="577" t="s">
        <v>45</v>
      </c>
      <c r="B30" s="99" t="s">
        <v>120</v>
      </c>
      <c r="C30" s="99"/>
      <c r="D30" s="99"/>
      <c r="E30" s="99"/>
      <c r="F30" s="596">
        <f>F29+1</f>
        <v>25</v>
      </c>
      <c r="G30" s="597" t="s">
        <v>65</v>
      </c>
      <c r="H30" s="1489"/>
      <c r="I30" s="1490"/>
      <c r="J30" s="1490"/>
      <c r="K30" s="1491"/>
      <c r="L30" s="1491"/>
      <c r="M30" s="1491"/>
      <c r="N30" s="1491"/>
      <c r="O30" s="1491"/>
      <c r="P30" s="1492"/>
    </row>
    <row r="31" spans="1:16" s="64" customFormat="1" ht="12.75">
      <c r="A31" s="577"/>
      <c r="B31" s="107" t="s">
        <v>55</v>
      </c>
      <c r="C31" s="107"/>
      <c r="D31" s="107"/>
      <c r="E31" s="99"/>
      <c r="F31" s="596">
        <f>F30+1</f>
        <v>26</v>
      </c>
      <c r="G31" s="607" t="s">
        <v>56</v>
      </c>
      <c r="H31" s="1486"/>
      <c r="I31" s="1493"/>
      <c r="J31" s="1493"/>
      <c r="K31" s="1494"/>
      <c r="L31" s="1494"/>
      <c r="M31" s="1494"/>
      <c r="N31" s="1494"/>
      <c r="O31" s="1494"/>
      <c r="P31" s="1495"/>
    </row>
    <row r="32" spans="1:16" s="64" customFormat="1" ht="12.75">
      <c r="A32" s="577"/>
      <c r="B32" s="107" t="s">
        <v>57</v>
      </c>
      <c r="C32" s="107"/>
      <c r="D32" s="107"/>
      <c r="E32" s="99"/>
      <c r="F32" s="596">
        <f aca="true" t="shared" si="4" ref="F32:F43">F31+1</f>
        <v>27</v>
      </c>
      <c r="G32" s="607" t="s">
        <v>58</v>
      </c>
      <c r="H32" s="1486"/>
      <c r="I32" s="1493"/>
      <c r="J32" s="1493"/>
      <c r="K32" s="1494"/>
      <c r="L32" s="1494"/>
      <c r="M32" s="1494"/>
      <c r="N32" s="1494"/>
      <c r="O32" s="1494"/>
      <c r="P32" s="1495"/>
    </row>
    <row r="33" spans="1:16" s="64" customFormat="1" ht="12.75">
      <c r="A33" s="577"/>
      <c r="B33" s="603" t="s">
        <v>59</v>
      </c>
      <c r="C33" s="604"/>
      <c r="D33" s="604"/>
      <c r="E33" s="604"/>
      <c r="F33" s="596">
        <f t="shared" si="4"/>
        <v>28</v>
      </c>
      <c r="G33" s="605" t="s">
        <v>521</v>
      </c>
      <c r="H33" s="1486"/>
      <c r="I33" s="1493"/>
      <c r="J33" s="1493"/>
      <c r="K33" s="1494"/>
      <c r="L33" s="1494"/>
      <c r="M33" s="1494"/>
      <c r="N33" s="1494"/>
      <c r="O33" s="1494"/>
      <c r="P33" s="1495"/>
    </row>
    <row r="34" spans="1:16" s="64" customFormat="1" ht="12.75">
      <c r="A34" s="577"/>
      <c r="B34" s="603" t="s">
        <v>121</v>
      </c>
      <c r="C34" s="603"/>
      <c r="D34" s="603"/>
      <c r="E34" s="604"/>
      <c r="F34" s="596">
        <f t="shared" si="4"/>
        <v>29</v>
      </c>
      <c r="G34" s="606" t="s">
        <v>522</v>
      </c>
      <c r="H34" s="1486"/>
      <c r="I34" s="1493"/>
      <c r="J34" s="1493"/>
      <c r="K34" s="1494"/>
      <c r="L34" s="1494"/>
      <c r="M34" s="1494"/>
      <c r="N34" s="1494"/>
      <c r="O34" s="1494"/>
      <c r="P34" s="1495"/>
    </row>
    <row r="35" spans="1:16" s="64" customFormat="1" ht="12.75">
      <c r="A35" s="577"/>
      <c r="B35" s="603" t="s">
        <v>60</v>
      </c>
      <c r="C35" s="603"/>
      <c r="D35" s="603"/>
      <c r="E35" s="604"/>
      <c r="F35" s="596">
        <f t="shared" si="4"/>
        <v>30</v>
      </c>
      <c r="G35" s="606" t="s">
        <v>116</v>
      </c>
      <c r="H35" s="1486"/>
      <c r="I35" s="1493"/>
      <c r="J35" s="1493"/>
      <c r="K35" s="1494"/>
      <c r="L35" s="1494"/>
      <c r="M35" s="1494"/>
      <c r="N35" s="1494"/>
      <c r="O35" s="1494"/>
      <c r="P35" s="1495"/>
    </row>
    <row r="36" spans="1:16" s="64" customFormat="1" ht="12.75">
      <c r="A36" s="577"/>
      <c r="B36" s="603" t="s">
        <v>585</v>
      </c>
      <c r="C36" s="603"/>
      <c r="D36" s="603"/>
      <c r="E36" s="604"/>
      <c r="F36" s="596">
        <f t="shared" si="4"/>
        <v>31</v>
      </c>
      <c r="G36" s="606" t="s">
        <v>117</v>
      </c>
      <c r="H36" s="1486"/>
      <c r="I36" s="1493"/>
      <c r="J36" s="1493"/>
      <c r="K36" s="1494"/>
      <c r="L36" s="1494"/>
      <c r="M36" s="1494"/>
      <c r="N36" s="1494"/>
      <c r="O36" s="1494"/>
      <c r="P36" s="1495"/>
    </row>
    <row r="37" spans="1:16" s="64" customFormat="1" ht="12.75">
      <c r="A37" s="577"/>
      <c r="B37" s="603" t="s">
        <v>122</v>
      </c>
      <c r="C37" s="603"/>
      <c r="D37" s="603"/>
      <c r="E37" s="604"/>
      <c r="F37" s="596">
        <f t="shared" si="4"/>
        <v>32</v>
      </c>
      <c r="G37" s="606" t="s">
        <v>61</v>
      </c>
      <c r="H37" s="1486"/>
      <c r="I37" s="1493"/>
      <c r="J37" s="1493"/>
      <c r="K37" s="1494"/>
      <c r="L37" s="1494"/>
      <c r="M37" s="1494"/>
      <c r="N37" s="1494"/>
      <c r="O37" s="1494"/>
      <c r="P37" s="1495"/>
    </row>
    <row r="38" spans="1:16" s="64" customFormat="1" ht="12.75">
      <c r="A38" s="577"/>
      <c r="B38" s="603" t="s">
        <v>160</v>
      </c>
      <c r="C38" s="603"/>
      <c r="D38" s="603"/>
      <c r="E38" s="604"/>
      <c r="F38" s="596">
        <f t="shared" si="4"/>
        <v>33</v>
      </c>
      <c r="G38" s="606">
        <v>2112</v>
      </c>
      <c r="H38" s="1486"/>
      <c r="I38" s="1493"/>
      <c r="J38" s="1493"/>
      <c r="K38" s="1494"/>
      <c r="L38" s="1494"/>
      <c r="M38" s="1494"/>
      <c r="N38" s="1494"/>
      <c r="O38" s="1494"/>
      <c r="P38" s="1495"/>
    </row>
    <row r="39" spans="1:16" s="64" customFormat="1" ht="12.75">
      <c r="A39" s="577"/>
      <c r="B39" s="603" t="s">
        <v>123</v>
      </c>
      <c r="C39" s="603"/>
      <c r="D39" s="603"/>
      <c r="E39" s="604"/>
      <c r="F39" s="596">
        <f t="shared" si="4"/>
        <v>34</v>
      </c>
      <c r="G39" s="606" t="s">
        <v>588</v>
      </c>
      <c r="H39" s="1486"/>
      <c r="I39" s="1493"/>
      <c r="J39" s="1493"/>
      <c r="K39" s="1494"/>
      <c r="L39" s="1494"/>
      <c r="M39" s="1494"/>
      <c r="N39" s="1494"/>
      <c r="O39" s="1494"/>
      <c r="P39" s="1495"/>
    </row>
    <row r="40" spans="1:16" s="64" customFormat="1" ht="12.75">
      <c r="A40" s="577"/>
      <c r="B40" s="603" t="s">
        <v>189</v>
      </c>
      <c r="C40" s="603"/>
      <c r="D40" s="603"/>
      <c r="E40" s="604"/>
      <c r="F40" s="596">
        <f t="shared" si="4"/>
        <v>35</v>
      </c>
      <c r="G40" s="606" t="s">
        <v>520</v>
      </c>
      <c r="H40" s="1486"/>
      <c r="I40" s="1493"/>
      <c r="J40" s="1493"/>
      <c r="K40" s="1494"/>
      <c r="L40" s="1494"/>
      <c r="M40" s="1494"/>
      <c r="N40" s="1494"/>
      <c r="O40" s="1494"/>
      <c r="P40" s="1495"/>
    </row>
    <row r="41" spans="1:16" s="64" customFormat="1" ht="12.75">
      <c r="A41" s="577"/>
      <c r="B41" s="603" t="s">
        <v>118</v>
      </c>
      <c r="C41" s="603"/>
      <c r="D41" s="603"/>
      <c r="E41" s="604"/>
      <c r="F41" s="596">
        <f t="shared" si="4"/>
        <v>36</v>
      </c>
      <c r="G41" s="606" t="s">
        <v>119</v>
      </c>
      <c r="H41" s="1486"/>
      <c r="I41" s="1493"/>
      <c r="J41" s="1493"/>
      <c r="K41" s="1494"/>
      <c r="L41" s="1494"/>
      <c r="M41" s="1494"/>
      <c r="N41" s="1494"/>
      <c r="O41" s="1494"/>
      <c r="P41" s="1495"/>
    </row>
    <row r="42" spans="1:16" s="64" customFormat="1" ht="12.75">
      <c r="A42" s="577"/>
      <c r="B42" s="603" t="s">
        <v>124</v>
      </c>
      <c r="C42" s="603"/>
      <c r="D42" s="603"/>
      <c r="E42" s="604"/>
      <c r="F42" s="596">
        <f t="shared" si="4"/>
        <v>37</v>
      </c>
      <c r="G42" s="606" t="s">
        <v>190</v>
      </c>
      <c r="H42" s="1486"/>
      <c r="I42" s="1493"/>
      <c r="J42" s="1493"/>
      <c r="K42" s="1494"/>
      <c r="L42" s="1494"/>
      <c r="M42" s="1494"/>
      <c r="N42" s="1494"/>
      <c r="O42" s="1494"/>
      <c r="P42" s="1495"/>
    </row>
    <row r="43" spans="1:16" s="64" customFormat="1" ht="12.75">
      <c r="A43" s="577"/>
      <c r="B43" s="603" t="s">
        <v>66</v>
      </c>
      <c r="C43" s="603"/>
      <c r="D43" s="603"/>
      <c r="E43" s="604"/>
      <c r="F43" s="596">
        <f t="shared" si="4"/>
        <v>38</v>
      </c>
      <c r="G43" s="606" t="s">
        <v>164</v>
      </c>
      <c r="H43" s="1486"/>
      <c r="I43" s="1493"/>
      <c r="J43" s="1493"/>
      <c r="K43" s="1494"/>
      <c r="L43" s="1494"/>
      <c r="M43" s="1494"/>
      <c r="N43" s="1494"/>
      <c r="O43" s="1493"/>
      <c r="P43" s="1495"/>
    </row>
    <row r="44" spans="1:16" s="64" customFormat="1" ht="12.75">
      <c r="A44" s="611"/>
      <c r="B44" s="612" t="s">
        <v>63</v>
      </c>
      <c r="C44" s="612"/>
      <c r="D44" s="612"/>
      <c r="E44" s="612"/>
      <c r="F44" s="613">
        <f>F43+1</f>
        <v>39</v>
      </c>
      <c r="G44" s="614" t="s">
        <v>64</v>
      </c>
      <c r="H44" s="1030"/>
      <c r="I44" s="615"/>
      <c r="J44" s="615"/>
      <c r="K44" s="616"/>
      <c r="L44" s="616"/>
      <c r="M44" s="616"/>
      <c r="N44" s="616"/>
      <c r="O44" s="615"/>
      <c r="P44" s="617"/>
    </row>
    <row r="45" spans="1:16" ht="13.5" thickBot="1">
      <c r="A45" s="618" t="s">
        <v>589</v>
      </c>
      <c r="B45" s="619"/>
      <c r="C45" s="619"/>
      <c r="D45" s="619"/>
      <c r="E45" s="113"/>
      <c r="F45" s="596">
        <f>F44+1</f>
        <v>40</v>
      </c>
      <c r="G45" s="620"/>
      <c r="H45" s="621">
        <f>H30+H34+H38+H42+H43+H44-H5-H28</f>
        <v>0</v>
      </c>
      <c r="I45" s="622"/>
      <c r="J45" s="622"/>
      <c r="K45" s="623"/>
      <c r="L45" s="623"/>
      <c r="M45" s="623"/>
      <c r="N45" s="623"/>
      <c r="O45" s="622"/>
      <c r="P45" s="624"/>
    </row>
    <row r="46" spans="1:16" ht="13.5" thickBot="1">
      <c r="A46" s="608" t="s">
        <v>590</v>
      </c>
      <c r="B46" s="609"/>
      <c r="C46" s="609"/>
      <c r="D46" s="609"/>
      <c r="E46" s="609"/>
      <c r="F46" s="571">
        <f>F45+1</f>
        <v>41</v>
      </c>
      <c r="G46" s="610"/>
      <c r="H46" s="490">
        <f aca="true" t="shared" si="5" ref="H46:P46">H29-H4</f>
        <v>0</v>
      </c>
      <c r="I46" s="573">
        <f t="shared" si="5"/>
        <v>0</v>
      </c>
      <c r="J46" s="574">
        <f t="shared" si="5"/>
        <v>0</v>
      </c>
      <c r="K46" s="575">
        <f t="shared" si="5"/>
        <v>0</v>
      </c>
      <c r="L46" s="575">
        <f t="shared" si="5"/>
        <v>0</v>
      </c>
      <c r="M46" s="575">
        <f t="shared" si="5"/>
        <v>0</v>
      </c>
      <c r="N46" s="575">
        <f t="shared" si="5"/>
        <v>0</v>
      </c>
      <c r="O46" s="574">
        <f t="shared" si="5"/>
        <v>0</v>
      </c>
      <c r="P46" s="576">
        <f t="shared" si="5"/>
        <v>0</v>
      </c>
    </row>
    <row r="47" spans="1:15" s="61" customFormat="1" ht="12.75">
      <c r="A47" s="61" t="s">
        <v>75</v>
      </c>
      <c r="F47" s="188"/>
      <c r="G47" s="625" t="s">
        <v>76</v>
      </c>
      <c r="H47" s="49"/>
      <c r="I47" s="49"/>
      <c r="J47" s="64"/>
      <c r="K47" s="64"/>
      <c r="L47" s="64"/>
      <c r="M47" s="64"/>
      <c r="N47" s="64"/>
      <c r="O47" s="64"/>
    </row>
    <row r="48" spans="1:15" s="61" customFormat="1" ht="12.75">
      <c r="A48" s="501" t="s">
        <v>125</v>
      </c>
      <c r="F48" s="188"/>
      <c r="G48" s="625"/>
      <c r="H48" s="49"/>
      <c r="J48" s="64"/>
      <c r="K48" s="64"/>
      <c r="L48" s="64"/>
      <c r="M48" s="64"/>
      <c r="N48" s="64"/>
      <c r="O48" s="64"/>
    </row>
    <row r="49" spans="1:15" s="61" customFormat="1" ht="12.75">
      <c r="A49" s="501" t="s">
        <v>195</v>
      </c>
      <c r="F49" s="188"/>
      <c r="G49" s="625"/>
      <c r="H49" s="49"/>
      <c r="J49" s="64"/>
      <c r="K49" s="64"/>
      <c r="L49" s="64"/>
      <c r="M49" s="64"/>
      <c r="N49" s="64"/>
      <c r="O49" s="64"/>
    </row>
    <row r="50" spans="1:15" s="61" customFormat="1" ht="12.75">
      <c r="A50" s="501" t="s">
        <v>126</v>
      </c>
      <c r="F50" s="188"/>
      <c r="G50" s="625"/>
      <c r="H50" s="169"/>
      <c r="J50" s="64"/>
      <c r="K50" s="64"/>
      <c r="L50" s="64"/>
      <c r="M50" s="64"/>
      <c r="N50" s="64"/>
      <c r="O50" s="64"/>
    </row>
    <row r="51" spans="1:15" s="501" customFormat="1" ht="12.75">
      <c r="A51" s="626" t="s">
        <v>591</v>
      </c>
      <c r="F51" s="627"/>
      <c r="G51" s="628"/>
      <c r="H51" s="629"/>
      <c r="J51" s="630"/>
      <c r="K51" s="630"/>
      <c r="L51" s="630"/>
      <c r="M51" s="630"/>
      <c r="N51" s="630"/>
      <c r="O51" s="630"/>
    </row>
    <row r="52" spans="1:15" s="501" customFormat="1" ht="12.75">
      <c r="A52" s="1496" t="s">
        <v>592</v>
      </c>
      <c r="B52" s="1496"/>
      <c r="C52" s="1496"/>
      <c r="D52" s="1496"/>
      <c r="E52" s="1496"/>
      <c r="F52" s="1497"/>
      <c r="G52" s="1498"/>
      <c r="H52" s="629"/>
      <c r="J52" s="630"/>
      <c r="K52" s="630"/>
      <c r="L52" s="630"/>
      <c r="M52" s="630"/>
      <c r="N52" s="630"/>
      <c r="O52" s="630"/>
    </row>
    <row r="53" spans="1:15" s="501" customFormat="1" ht="12.75">
      <c r="A53" s="501" t="s">
        <v>593</v>
      </c>
      <c r="F53" s="627"/>
      <c r="G53" s="628"/>
      <c r="H53" s="629"/>
      <c r="J53" s="630"/>
      <c r="K53" s="630"/>
      <c r="L53" s="630"/>
      <c r="M53" s="630"/>
      <c r="N53" s="630"/>
      <c r="O53" s="630"/>
    </row>
    <row r="54" spans="1:15" s="61" customFormat="1" ht="12.75">
      <c r="A54" s="501"/>
      <c r="B54" s="501"/>
      <c r="C54" s="501"/>
      <c r="D54" s="501"/>
      <c r="E54" s="501"/>
      <c r="F54" s="188"/>
      <c r="G54" s="625"/>
      <c r="H54" s="49"/>
      <c r="J54" s="64"/>
      <c r="K54" s="64"/>
      <c r="L54" s="64"/>
      <c r="M54" s="64"/>
      <c r="N54" s="64"/>
      <c r="O54" s="64"/>
    </row>
    <row r="55" spans="1:15" s="61" customFormat="1" ht="12.75">
      <c r="A55" s="501"/>
      <c r="B55" s="501"/>
      <c r="C55" s="501"/>
      <c r="D55" s="501"/>
      <c r="E55" s="501"/>
      <c r="F55" s="188"/>
      <c r="G55" s="625"/>
      <c r="H55" s="49"/>
      <c r="J55" s="64"/>
      <c r="K55" s="64"/>
      <c r="L55" s="64"/>
      <c r="M55" s="64"/>
      <c r="N55" s="64"/>
      <c r="O55" s="64"/>
    </row>
    <row r="56" spans="1:15" s="61" customFormat="1" ht="12.75">
      <c r="A56" s="501"/>
      <c r="B56" s="501"/>
      <c r="C56" s="501"/>
      <c r="D56" s="501"/>
      <c r="E56" s="501"/>
      <c r="F56" s="188"/>
      <c r="G56" s="625"/>
      <c r="H56" s="49"/>
      <c r="J56" s="64"/>
      <c r="K56" s="64"/>
      <c r="L56" s="64"/>
      <c r="M56" s="64"/>
      <c r="N56" s="64"/>
      <c r="O56" s="64"/>
    </row>
    <row r="57" spans="1:15" s="61" customFormat="1" ht="12.75">
      <c r="A57" s="501"/>
      <c r="B57" s="501"/>
      <c r="C57" s="501"/>
      <c r="D57" s="501"/>
      <c r="E57" s="501"/>
      <c r="F57" s="188"/>
      <c r="G57" s="625"/>
      <c r="H57" s="49"/>
      <c r="J57" s="64"/>
      <c r="K57" s="64"/>
      <c r="L57" s="64"/>
      <c r="M57" s="64"/>
      <c r="N57" s="64"/>
      <c r="O57" s="64"/>
    </row>
  </sheetData>
  <sheetProtection/>
  <mergeCells count="3">
    <mergeCell ref="A2:D2"/>
    <mergeCell ref="K2:O2"/>
    <mergeCell ref="D3:E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2" r:id="rId1"/>
  <headerFoot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2:G45"/>
  <sheetViews>
    <sheetView showGridLines="0" zoomScalePageLayoutView="0" workbookViewId="0" topLeftCell="A1">
      <selection activeCell="J26" sqref="J26"/>
    </sheetView>
  </sheetViews>
  <sheetFormatPr defaultColWidth="9.00390625" defaultRowHeight="12.75"/>
  <cols>
    <col min="1" max="1" width="4.375" style="0" customWidth="1"/>
    <col min="3" max="3" width="18.375" style="0" customWidth="1"/>
    <col min="4" max="4" width="11.75390625" style="0" customWidth="1"/>
    <col min="5" max="5" width="12.875" style="0" customWidth="1"/>
  </cols>
  <sheetData>
    <row r="2" ht="13.5" thickBot="1">
      <c r="A2" s="783" t="s">
        <v>662</v>
      </c>
    </row>
    <row r="3" spans="1:5" ht="13.5" thickBot="1">
      <c r="A3" s="783"/>
      <c r="B3" s="783"/>
      <c r="C3" s="783"/>
      <c r="E3" s="1076">
        <v>56572.02</v>
      </c>
    </row>
    <row r="4" ht="13.5" thickBot="1">
      <c r="E4" s="1499" t="s">
        <v>603</v>
      </c>
    </row>
    <row r="5" spans="1:5" ht="12.75">
      <c r="A5" s="126"/>
      <c r="B5" s="453" t="s">
        <v>37</v>
      </c>
      <c r="C5" s="310"/>
      <c r="D5" s="310"/>
      <c r="E5" s="816"/>
    </row>
    <row r="6" spans="1:5" ht="13.5" thickBot="1">
      <c r="A6" s="456" t="s">
        <v>34</v>
      </c>
      <c r="B6" s="457" t="s">
        <v>38</v>
      </c>
      <c r="C6" s="458"/>
      <c r="D6" s="458"/>
      <c r="E6" s="817" t="s">
        <v>421</v>
      </c>
    </row>
    <row r="7" spans="1:7" ht="25.5">
      <c r="A7" s="1476"/>
      <c r="B7" s="310"/>
      <c r="C7" s="819"/>
      <c r="D7" s="1059" t="s">
        <v>633</v>
      </c>
      <c r="E7" s="816" t="s">
        <v>434</v>
      </c>
      <c r="F7" s="816" t="s">
        <v>663</v>
      </c>
      <c r="G7" s="816" t="s">
        <v>664</v>
      </c>
    </row>
    <row r="8" spans="1:7" ht="12.75">
      <c r="A8" s="331">
        <v>1</v>
      </c>
      <c r="B8" s="1060">
        <v>11</v>
      </c>
      <c r="C8" s="332" t="s">
        <v>7</v>
      </c>
      <c r="D8" s="1061">
        <v>0.15691123580889943</v>
      </c>
      <c r="E8" s="821">
        <v>8876.785570405775</v>
      </c>
      <c r="F8" s="821">
        <v>8876.785570405775</v>
      </c>
      <c r="G8" s="821"/>
    </row>
    <row r="9" spans="1:7" ht="12.75">
      <c r="A9" s="312">
        <v>2</v>
      </c>
      <c r="B9" s="1062">
        <v>21</v>
      </c>
      <c r="C9" s="55" t="s">
        <v>8</v>
      </c>
      <c r="D9" s="1061">
        <v>0.1544094372318213</v>
      </c>
      <c r="E9" s="821">
        <v>8735.253771267338</v>
      </c>
      <c r="F9" s="821">
        <v>8735.253771267338</v>
      </c>
      <c r="G9" s="821"/>
    </row>
    <row r="10" spans="1:7" ht="12.75">
      <c r="A10" s="51">
        <v>3</v>
      </c>
      <c r="B10" s="1062">
        <v>22</v>
      </c>
      <c r="C10" s="55" t="s">
        <v>9</v>
      </c>
      <c r="D10" s="1061">
        <v>0.04913837985868136</v>
      </c>
      <c r="E10" s="821">
        <v>2779.857408132919</v>
      </c>
      <c r="F10" s="821">
        <v>2779.857408132919</v>
      </c>
      <c r="G10" s="821"/>
    </row>
    <row r="11" spans="1:7" ht="12.75">
      <c r="A11" s="312">
        <v>4</v>
      </c>
      <c r="B11" s="1062">
        <v>23</v>
      </c>
      <c r="C11" s="55" t="s">
        <v>10</v>
      </c>
      <c r="D11" s="1061">
        <v>0.07435391593363316</v>
      </c>
      <c r="E11" s="821">
        <v>4206.3512192758135</v>
      </c>
      <c r="F11" s="821">
        <v>4206.3512192758135</v>
      </c>
      <c r="G11" s="821"/>
    </row>
    <row r="12" spans="1:7" ht="12.75">
      <c r="A12" s="51">
        <v>5</v>
      </c>
      <c r="B12" s="1062">
        <v>31</v>
      </c>
      <c r="C12" s="55" t="s">
        <v>11</v>
      </c>
      <c r="D12" s="1061">
        <v>0.2407516066829756</v>
      </c>
      <c r="E12" s="821">
        <v>13619.804708301428</v>
      </c>
      <c r="F12" s="821">
        <v>5019.804708301428</v>
      </c>
      <c r="G12" s="821">
        <v>8600</v>
      </c>
    </row>
    <row r="13" spans="1:7" ht="12.75">
      <c r="A13" s="312">
        <v>6</v>
      </c>
      <c r="B13" s="1062">
        <v>33</v>
      </c>
      <c r="C13" s="55" t="s">
        <v>12</v>
      </c>
      <c r="D13" s="1061">
        <v>0.05879629296910352</v>
      </c>
      <c r="E13" s="821">
        <v>3326.2250617739837</v>
      </c>
      <c r="F13" s="821">
        <v>3326.2250617739837</v>
      </c>
      <c r="G13" s="821"/>
    </row>
    <row r="14" spans="1:7" ht="12.75">
      <c r="A14" s="51">
        <v>7</v>
      </c>
      <c r="B14" s="1062">
        <v>41</v>
      </c>
      <c r="C14" s="55" t="s">
        <v>13</v>
      </c>
      <c r="D14" s="1061">
        <v>0.07438640763466646</v>
      </c>
      <c r="E14" s="821">
        <v>4208.189340436504</v>
      </c>
      <c r="F14" s="821">
        <v>4208.189340436504</v>
      </c>
      <c r="G14" s="821"/>
    </row>
    <row r="15" spans="1:7" ht="12.75">
      <c r="A15" s="312">
        <v>8</v>
      </c>
      <c r="B15" s="1062">
        <v>51</v>
      </c>
      <c r="C15" s="55" t="s">
        <v>14</v>
      </c>
      <c r="D15" s="1061">
        <v>0.027080486355687435</v>
      </c>
      <c r="E15" s="821">
        <v>1531.9978157236767</v>
      </c>
      <c r="F15" s="821">
        <v>1531.9978157236767</v>
      </c>
      <c r="G15" s="821"/>
    </row>
    <row r="16" spans="1:7" ht="12.75">
      <c r="A16" s="53">
        <v>9</v>
      </c>
      <c r="B16" s="1064">
        <v>56</v>
      </c>
      <c r="C16" s="532" t="s">
        <v>15</v>
      </c>
      <c r="D16" s="1061">
        <v>0.04665742318459724</v>
      </c>
      <c r="E16" s="821">
        <v>2639.5046775474984</v>
      </c>
      <c r="F16" s="821">
        <v>2639.5046775474984</v>
      </c>
      <c r="G16" s="821"/>
    </row>
    <row r="17" spans="1:7" ht="12.75">
      <c r="A17" s="1590" t="s">
        <v>451</v>
      </c>
      <c r="B17" s="1591"/>
      <c r="C17" s="1592"/>
      <c r="D17" s="1066"/>
      <c r="E17" s="1067">
        <v>49923.96957286493</v>
      </c>
      <c r="F17" s="1067">
        <v>41323.96957286493</v>
      </c>
      <c r="G17" s="1067">
        <v>8600</v>
      </c>
    </row>
    <row r="18" spans="1:7" ht="12.75">
      <c r="A18" s="733">
        <v>10</v>
      </c>
      <c r="B18" s="976">
        <v>71</v>
      </c>
      <c r="C18" s="977" t="s">
        <v>233</v>
      </c>
      <c r="D18" s="1061">
        <v>0.11101900069841633</v>
      </c>
      <c r="E18" s="821">
        <v>6280.5691278908225</v>
      </c>
      <c r="F18" s="821">
        <v>6280.5691278908225</v>
      </c>
      <c r="G18" s="821"/>
    </row>
    <row r="19" spans="1:7" ht="12.75">
      <c r="A19" s="733">
        <v>11</v>
      </c>
      <c r="B19" s="820">
        <v>92</v>
      </c>
      <c r="C19" s="977" t="s">
        <v>17</v>
      </c>
      <c r="D19" s="1061">
        <v>0.006495813641518045</v>
      </c>
      <c r="E19" s="821">
        <v>367.48129924423165</v>
      </c>
      <c r="F19" s="821">
        <v>367.48129924423165</v>
      </c>
      <c r="G19" s="821"/>
    </row>
    <row r="20" spans="1:7" ht="13.5" thickBot="1">
      <c r="A20" s="1593" t="s">
        <v>634</v>
      </c>
      <c r="B20" s="1594"/>
      <c r="C20" s="1595"/>
      <c r="D20" s="1072"/>
      <c r="E20" s="1073">
        <v>6648.050427135055</v>
      </c>
      <c r="F20" s="1073">
        <v>6648.050427135055</v>
      </c>
      <c r="G20" s="1073">
        <v>0</v>
      </c>
    </row>
    <row r="21" spans="1:7" ht="13.5" thickBot="1">
      <c r="A21" s="316">
        <v>12</v>
      </c>
      <c r="B21" s="511"/>
      <c r="C21" s="59" t="s">
        <v>16</v>
      </c>
      <c r="D21" s="1074">
        <v>0.9999999999999998</v>
      </c>
      <c r="E21" s="1075">
        <v>56572.01999999999</v>
      </c>
      <c r="F21" s="1075">
        <v>47972.01999999999</v>
      </c>
      <c r="G21" s="1075">
        <v>8600</v>
      </c>
    </row>
    <row r="26" ht="13.5" thickBot="1">
      <c r="A26" s="783" t="s">
        <v>632</v>
      </c>
    </row>
    <row r="27" spans="1:5" ht="13.5" thickBot="1">
      <c r="A27" s="783"/>
      <c r="B27" s="783"/>
      <c r="C27" s="783"/>
      <c r="E27" s="1076">
        <v>57577</v>
      </c>
    </row>
    <row r="28" ht="13.5" thickBot="1"/>
    <row r="29" spans="1:5" ht="12.75">
      <c r="A29" s="126"/>
      <c r="B29" s="453" t="s">
        <v>37</v>
      </c>
      <c r="C29" s="310"/>
      <c r="D29" s="310"/>
      <c r="E29" s="816"/>
    </row>
    <row r="30" spans="1:5" ht="13.5" thickBot="1">
      <c r="A30" s="456" t="s">
        <v>34</v>
      </c>
      <c r="B30" s="457" t="s">
        <v>38</v>
      </c>
      <c r="C30" s="458"/>
      <c r="D30" s="458"/>
      <c r="E30" s="817" t="s">
        <v>421</v>
      </c>
    </row>
    <row r="31" spans="1:5" ht="25.5">
      <c r="A31" s="1043"/>
      <c r="B31" s="310"/>
      <c r="C31" s="819"/>
      <c r="D31" s="1059" t="s">
        <v>633</v>
      </c>
      <c r="E31" s="816" t="s">
        <v>434</v>
      </c>
    </row>
    <row r="32" spans="1:5" ht="12.75">
      <c r="A32" s="331">
        <v>1</v>
      </c>
      <c r="B32" s="1060">
        <v>11</v>
      </c>
      <c r="C32" s="332" t="s">
        <v>7</v>
      </c>
      <c r="D32" s="1061">
        <v>0</v>
      </c>
      <c r="E32" s="821">
        <v>9212</v>
      </c>
    </row>
    <row r="33" spans="1:5" ht="12.75">
      <c r="A33" s="312">
        <v>2</v>
      </c>
      <c r="B33" s="1062">
        <v>21</v>
      </c>
      <c r="C33" s="55" t="s">
        <v>8</v>
      </c>
      <c r="D33" s="1063">
        <v>0.1599940816853405</v>
      </c>
      <c r="E33" s="818">
        <v>8631</v>
      </c>
    </row>
    <row r="34" spans="1:5" ht="12.75">
      <c r="A34" s="51">
        <v>3</v>
      </c>
      <c r="B34" s="1062">
        <v>22</v>
      </c>
      <c r="C34" s="55" t="s">
        <v>9</v>
      </c>
      <c r="D34" s="1063">
        <v>0.14991177631397792</v>
      </c>
      <c r="E34" s="818">
        <v>2905</v>
      </c>
    </row>
    <row r="35" spans="1:5" ht="12.75">
      <c r="A35" s="312">
        <v>4</v>
      </c>
      <c r="B35" s="1062">
        <v>23</v>
      </c>
      <c r="C35" s="55" t="s">
        <v>10</v>
      </c>
      <c r="D35" s="1063">
        <v>0.05045963086077538</v>
      </c>
      <c r="E35" s="818">
        <v>4601</v>
      </c>
    </row>
    <row r="36" spans="1:5" ht="12.75">
      <c r="A36" s="51">
        <v>5</v>
      </c>
      <c r="B36" s="1062">
        <v>31</v>
      </c>
      <c r="C36" s="55" t="s">
        <v>11</v>
      </c>
      <c r="D36" s="1063">
        <v>0.07990487481425221</v>
      </c>
      <c r="E36" s="818">
        <v>14605</v>
      </c>
    </row>
    <row r="37" spans="1:5" ht="12.75">
      <c r="A37" s="312">
        <v>6</v>
      </c>
      <c r="B37" s="1062">
        <v>33</v>
      </c>
      <c r="C37" s="55" t="s">
        <v>12</v>
      </c>
      <c r="D37" s="1063">
        <v>0.2536570153402073</v>
      </c>
      <c r="E37" s="818">
        <v>3140</v>
      </c>
    </row>
    <row r="38" spans="1:5" ht="12.75">
      <c r="A38" s="51">
        <v>7</v>
      </c>
      <c r="B38" s="1062">
        <v>41</v>
      </c>
      <c r="C38" s="55" t="s">
        <v>13</v>
      </c>
      <c r="D38" s="1063">
        <v>0.05454294595479682</v>
      </c>
      <c r="E38" s="1109">
        <v>4421</v>
      </c>
    </row>
    <row r="39" spans="1:5" ht="12.75">
      <c r="A39" s="312">
        <v>8</v>
      </c>
      <c r="B39" s="1062">
        <v>51</v>
      </c>
      <c r="C39" s="55" t="s">
        <v>14</v>
      </c>
      <c r="D39" s="1063">
        <v>0.07677511200436886</v>
      </c>
      <c r="E39" s="818">
        <v>1693</v>
      </c>
    </row>
    <row r="40" spans="1:5" ht="12.75">
      <c r="A40" s="53">
        <v>9</v>
      </c>
      <c r="B40" s="1064">
        <v>56</v>
      </c>
      <c r="C40" s="532" t="s">
        <v>15</v>
      </c>
      <c r="D40" s="1065">
        <v>0.029408517942993664</v>
      </c>
      <c r="E40" s="822">
        <v>3059</v>
      </c>
    </row>
    <row r="41" spans="1:5" ht="12.75">
      <c r="A41" s="1590" t="s">
        <v>451</v>
      </c>
      <c r="B41" s="1591"/>
      <c r="C41" s="1592"/>
      <c r="D41" s="1066"/>
      <c r="E41" s="1067">
        <f>SUM(E32:E40)</f>
        <v>52267</v>
      </c>
    </row>
    <row r="42" spans="1:5" ht="12.75">
      <c r="A42" s="733">
        <v>10</v>
      </c>
      <c r="B42" s="976">
        <v>71</v>
      </c>
      <c r="C42" s="977" t="s">
        <v>233</v>
      </c>
      <c r="D42" s="1068">
        <v>0.053129075125936565</v>
      </c>
      <c r="E42" s="1069">
        <v>4999</v>
      </c>
    </row>
    <row r="43" spans="1:5" ht="12.75">
      <c r="A43" s="733">
        <v>11</v>
      </c>
      <c r="B43" s="820">
        <v>92</v>
      </c>
      <c r="C43" s="977" t="s">
        <v>17</v>
      </c>
      <c r="D43" s="1070">
        <v>0</v>
      </c>
      <c r="E43" s="1071">
        <v>311</v>
      </c>
    </row>
    <row r="44" spans="1:5" ht="13.5" thickBot="1">
      <c r="A44" s="1593" t="s">
        <v>634</v>
      </c>
      <c r="B44" s="1594"/>
      <c r="C44" s="1595"/>
      <c r="D44" s="1072"/>
      <c r="E44" s="1073">
        <f>SUM(E42:E43)</f>
        <v>5310</v>
      </c>
    </row>
    <row r="45" spans="1:5" ht="13.5" thickBot="1">
      <c r="A45" s="316">
        <v>12</v>
      </c>
      <c r="B45" s="511"/>
      <c r="C45" s="59" t="s">
        <v>16</v>
      </c>
      <c r="D45" s="1074">
        <f>SUM(D32:D40,D42:D43)</f>
        <v>0.9077830300426492</v>
      </c>
      <c r="E45" s="1075">
        <f>E41+E44</f>
        <v>57577</v>
      </c>
    </row>
  </sheetData>
  <sheetProtection/>
  <mergeCells count="4">
    <mergeCell ref="A41:C41"/>
    <mergeCell ref="A44:C44"/>
    <mergeCell ref="A17:C17"/>
    <mergeCell ref="A20:C2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R42"/>
  <sheetViews>
    <sheetView showGridLines="0" zoomScalePageLayoutView="0" workbookViewId="0" topLeftCell="A1">
      <selection activeCell="D27" sqref="D27"/>
    </sheetView>
  </sheetViews>
  <sheetFormatPr defaultColWidth="11.375" defaultRowHeight="12.75"/>
  <cols>
    <col min="1" max="1" width="4.375" style="64" customWidth="1"/>
    <col min="2" max="2" width="9.875" style="64" customWidth="1"/>
    <col min="3" max="3" width="9.375" style="64" bestFit="1" customWidth="1"/>
    <col min="4" max="4" width="9.625" style="64" customWidth="1"/>
    <col min="5" max="5" width="9.125" style="64" customWidth="1"/>
    <col min="6" max="6" width="8.75390625" style="64" customWidth="1"/>
    <col min="7" max="7" width="9.875" style="64" customWidth="1"/>
    <col min="8" max="8" width="10.125" style="64" customWidth="1"/>
    <col min="9" max="9" width="9.875" style="64" customWidth="1"/>
    <col min="10" max="10" width="10.875" style="64" customWidth="1"/>
    <col min="11" max="11" width="10.375" style="64" customWidth="1"/>
    <col min="12" max="12" width="11.25390625" style="64" customWidth="1"/>
    <col min="13" max="13" width="9.625" style="64" customWidth="1"/>
    <col min="14" max="14" width="9.25390625" style="64" customWidth="1"/>
    <col min="15" max="15" width="11.625" style="64" customWidth="1"/>
    <col min="16" max="16" width="9.375" style="64" customWidth="1"/>
    <col min="17" max="17" width="10.00390625" style="64" customWidth="1"/>
    <col min="18" max="16384" width="11.375" style="64" customWidth="1"/>
  </cols>
  <sheetData>
    <row r="1" ht="12.75">
      <c r="A1" s="133" t="s">
        <v>362</v>
      </c>
    </row>
    <row r="2" ht="12">
      <c r="A2" s="129"/>
    </row>
    <row r="3" ht="12">
      <c r="A3" s="130" t="s">
        <v>344</v>
      </c>
    </row>
    <row r="4" spans="1:8" ht="12">
      <c r="A4" s="130"/>
      <c r="H4" s="785"/>
    </row>
    <row r="5" spans="4:14" ht="12.75" thickBot="1">
      <c r="D5" s="1031">
        <f>'pom2 - Poměr VaV'!K31</f>
        <v>0.36</v>
      </c>
      <c r="N5" s="704"/>
    </row>
    <row r="6" spans="3:17" ht="12">
      <c r="C6" s="65" t="s">
        <v>305</v>
      </c>
      <c r="D6" s="1598" t="s">
        <v>341</v>
      </c>
      <c r="E6" s="66"/>
      <c r="F6" s="67"/>
      <c r="G6" s="1598" t="s">
        <v>340</v>
      </c>
      <c r="H6" s="1058" t="s">
        <v>305</v>
      </c>
      <c r="I6" s="66" t="s">
        <v>630</v>
      </c>
      <c r="J6" s="1598" t="s">
        <v>341</v>
      </c>
      <c r="K6" s="1598" t="s">
        <v>340</v>
      </c>
      <c r="L6" s="674" t="s">
        <v>629</v>
      </c>
      <c r="M6" s="1600" t="s">
        <v>31</v>
      </c>
      <c r="N6" s="1601"/>
      <c r="O6" s="66"/>
      <c r="P6" s="68"/>
      <c r="Q6" s="68"/>
    </row>
    <row r="7" spans="3:17" ht="12">
      <c r="C7" s="69" t="s">
        <v>336</v>
      </c>
      <c r="D7" s="1599"/>
      <c r="E7" s="70" t="s">
        <v>339</v>
      </c>
      <c r="F7" s="70" t="s">
        <v>348</v>
      </c>
      <c r="G7" s="1599"/>
      <c r="H7" s="71" t="s">
        <v>627</v>
      </c>
      <c r="I7" s="70" t="s">
        <v>343</v>
      </c>
      <c r="J7" s="1599"/>
      <c r="K7" s="1599"/>
      <c r="L7" s="1057" t="s">
        <v>628</v>
      </c>
      <c r="M7" s="1602"/>
      <c r="N7" s="1603"/>
      <c r="O7" s="70" t="s">
        <v>357</v>
      </c>
      <c r="P7" s="72" t="s">
        <v>349</v>
      </c>
      <c r="Q7" s="72" t="s">
        <v>184</v>
      </c>
    </row>
    <row r="8" spans="3:17" ht="26.25" customHeight="1">
      <c r="C8" s="73" t="s">
        <v>388</v>
      </c>
      <c r="D8" s="74" t="s">
        <v>338</v>
      </c>
      <c r="E8" s="75" t="s">
        <v>184</v>
      </c>
      <c r="F8" s="75" t="s">
        <v>184</v>
      </c>
      <c r="G8" s="74" t="s">
        <v>346</v>
      </c>
      <c r="H8" s="76" t="s">
        <v>390</v>
      </c>
      <c r="I8" s="75" t="s">
        <v>356</v>
      </c>
      <c r="J8" s="74" t="s">
        <v>338</v>
      </c>
      <c r="K8" s="74" t="s">
        <v>346</v>
      </c>
      <c r="L8" s="676" t="s">
        <v>389</v>
      </c>
      <c r="M8" s="77" t="s">
        <v>356</v>
      </c>
      <c r="N8" s="77" t="s">
        <v>390</v>
      </c>
      <c r="O8" s="75" t="s">
        <v>16</v>
      </c>
      <c r="P8" s="78" t="s">
        <v>184</v>
      </c>
      <c r="Q8" s="78" t="s">
        <v>374</v>
      </c>
    </row>
    <row r="9" spans="3:17" ht="14.25" customHeight="1" thickBot="1">
      <c r="C9" s="69">
        <v>1</v>
      </c>
      <c r="D9" s="79">
        <v>2</v>
      </c>
      <c r="E9" s="70">
        <v>3</v>
      </c>
      <c r="F9" s="70">
        <v>4</v>
      </c>
      <c r="G9" s="79">
        <v>5</v>
      </c>
      <c r="H9" s="71" t="s">
        <v>350</v>
      </c>
      <c r="I9" s="70">
        <v>7</v>
      </c>
      <c r="J9" s="79">
        <v>8</v>
      </c>
      <c r="K9" s="79">
        <v>9</v>
      </c>
      <c r="L9" s="675" t="s">
        <v>351</v>
      </c>
      <c r="M9" s="71" t="s">
        <v>358</v>
      </c>
      <c r="N9" s="71" t="s">
        <v>359</v>
      </c>
      <c r="O9" s="70" t="s">
        <v>352</v>
      </c>
      <c r="P9" s="72" t="s">
        <v>631</v>
      </c>
      <c r="Q9" s="72"/>
    </row>
    <row r="10" spans="1:18" ht="12">
      <c r="A10" s="938">
        <v>11</v>
      </c>
      <c r="B10" s="939" t="s">
        <v>7</v>
      </c>
      <c r="C10" s="80">
        <f>'rozpis pro rozpocet'!G48</f>
        <v>239160.6</v>
      </c>
      <c r="D10" s="81"/>
      <c r="E10" s="82">
        <f>'rozpis pro rozpocet'!E48</f>
        <v>70441.5</v>
      </c>
      <c r="F10" s="83">
        <f aca="true" t="shared" si="0" ref="F10:F18">E10/SUM($E$10:$E$18,$E$20)</f>
        <v>0.12590791544258803</v>
      </c>
      <c r="G10" s="82">
        <f aca="true" t="shared" si="1" ref="G10:G18">F10*-$D$32</f>
        <v>7136.294549563854</v>
      </c>
      <c r="H10" s="717">
        <f>C10+G10+D10</f>
        <v>246296.89454956385</v>
      </c>
      <c r="I10" s="82">
        <f>'rozpis pro rozpocet'!H48</f>
        <v>0</v>
      </c>
      <c r="J10" s="81"/>
      <c r="K10" s="85">
        <f>-F10*$J$36</f>
        <v>2772.995929707559</v>
      </c>
      <c r="L10" s="677">
        <f aca="true" t="shared" si="2" ref="L10:L18">I10+K10+J10</f>
        <v>2772.995929707559</v>
      </c>
      <c r="M10" s="84">
        <f>I10</f>
        <v>0</v>
      </c>
      <c r="N10" s="84">
        <f>L10-M10</f>
        <v>2772.995929707559</v>
      </c>
      <c r="O10" s="82">
        <f>-D10-G10-J10-K10</f>
        <v>-9909.290479271413</v>
      </c>
      <c r="P10" s="696">
        <f>O10+E10</f>
        <v>60532.20952072859</v>
      </c>
      <c r="Q10" s="86">
        <f>TRUNC(ROUND(P10,0),0)</f>
        <v>60532</v>
      </c>
      <c r="R10" s="131"/>
    </row>
    <row r="11" spans="1:18" ht="12">
      <c r="A11" s="940">
        <v>21</v>
      </c>
      <c r="B11" s="727" t="s">
        <v>8</v>
      </c>
      <c r="C11" s="80">
        <f>'rozpis pro rozpocet'!G49</f>
        <v>250237.9</v>
      </c>
      <c r="D11" s="81"/>
      <c r="E11" s="82">
        <f>'rozpis pro rozpocet'!E49</f>
        <v>66787.4</v>
      </c>
      <c r="F11" s="83">
        <f t="shared" si="0"/>
        <v>0.1193765367266498</v>
      </c>
      <c r="G11" s="82">
        <f t="shared" si="1"/>
        <v>6766.104620139276</v>
      </c>
      <c r="H11" s="717">
        <f aca="true" t="shared" si="3" ref="H11:H31">C11+G11+D11</f>
        <v>257004.00462013928</v>
      </c>
      <c r="I11" s="82">
        <f>'rozpis pro rozpocet'!H49</f>
        <v>480</v>
      </c>
      <c r="J11" s="81"/>
      <c r="K11" s="85">
        <f aca="true" t="shared" si="4" ref="K11:K17">-F11*$J$36</f>
        <v>2629.148844867735</v>
      </c>
      <c r="L11" s="677">
        <f t="shared" si="2"/>
        <v>3109.148844867735</v>
      </c>
      <c r="M11" s="84">
        <f aca="true" t="shared" si="5" ref="M11:M18">I11</f>
        <v>480</v>
      </c>
      <c r="N11" s="84">
        <f aca="true" t="shared" si="6" ref="N11:N18">L11-M11</f>
        <v>2629.148844867735</v>
      </c>
      <c r="O11" s="82">
        <f aca="true" t="shared" si="7" ref="O11:O18">-D11-G11-J11-K11</f>
        <v>-9395.253465007012</v>
      </c>
      <c r="P11" s="696">
        <f aca="true" t="shared" si="8" ref="P11:P18">O11+E11</f>
        <v>57392.14653499298</v>
      </c>
      <c r="Q11" s="86">
        <f aca="true" t="shared" si="9" ref="Q11:Q31">TRUNC(ROUND(P11,0),0)</f>
        <v>57392</v>
      </c>
      <c r="R11" s="131"/>
    </row>
    <row r="12" spans="1:18" ht="12">
      <c r="A12" s="940">
        <v>22</v>
      </c>
      <c r="B12" s="727" t="s">
        <v>9</v>
      </c>
      <c r="C12" s="80">
        <f>'rozpis pro rozpocet'!G50</f>
        <v>89870.5</v>
      </c>
      <c r="D12" s="81"/>
      <c r="E12" s="82">
        <f>'rozpis pro rozpocet'!E50</f>
        <v>24651</v>
      </c>
      <c r="F12" s="83">
        <f t="shared" si="0"/>
        <v>0.04406146978095636</v>
      </c>
      <c r="G12" s="82">
        <f t="shared" si="1"/>
        <v>2497.345981293677</v>
      </c>
      <c r="H12" s="717">
        <f t="shared" si="3"/>
        <v>92367.84598129368</v>
      </c>
      <c r="I12" s="82">
        <f>'rozpis pro rozpocet'!H50</f>
        <v>0</v>
      </c>
      <c r="J12" s="81"/>
      <c r="K12" s="85">
        <f t="shared" si="4"/>
        <v>970.4098104557829</v>
      </c>
      <c r="L12" s="677">
        <f t="shared" si="2"/>
        <v>970.4098104557829</v>
      </c>
      <c r="M12" s="84">
        <f t="shared" si="5"/>
        <v>0</v>
      </c>
      <c r="N12" s="84">
        <f t="shared" si="6"/>
        <v>970.4098104557829</v>
      </c>
      <c r="O12" s="82">
        <f t="shared" si="7"/>
        <v>-3467.75579174946</v>
      </c>
      <c r="P12" s="696">
        <f t="shared" si="8"/>
        <v>21183.24420825054</v>
      </c>
      <c r="Q12" s="86">
        <f t="shared" si="9"/>
        <v>21183</v>
      </c>
      <c r="R12" s="131"/>
    </row>
    <row r="13" spans="1:18" ht="12">
      <c r="A13" s="940">
        <v>23</v>
      </c>
      <c r="B13" s="727" t="s">
        <v>10</v>
      </c>
      <c r="C13" s="80">
        <f>'rozpis pro rozpocet'!G51</f>
        <v>99968.1</v>
      </c>
      <c r="D13" s="81"/>
      <c r="E13" s="82">
        <f>'rozpis pro rozpocet'!E51</f>
        <v>30917.4</v>
      </c>
      <c r="F13" s="83">
        <f t="shared" si="0"/>
        <v>0.055262102381475</v>
      </c>
      <c r="G13" s="82">
        <f t="shared" si="1"/>
        <v>3132.1830612165486</v>
      </c>
      <c r="H13" s="717">
        <f t="shared" si="3"/>
        <v>103100.28306121656</v>
      </c>
      <c r="I13" s="82">
        <f>'rozpis pro rozpocet'!H51</f>
        <v>200</v>
      </c>
      <c r="J13" s="81"/>
      <c r="K13" s="85">
        <f t="shared" si="4"/>
        <v>1217.0925428496053</v>
      </c>
      <c r="L13" s="677">
        <f t="shared" si="2"/>
        <v>1417.0925428496053</v>
      </c>
      <c r="M13" s="84">
        <f t="shared" si="5"/>
        <v>200</v>
      </c>
      <c r="N13" s="84">
        <f t="shared" si="6"/>
        <v>1217.0925428496053</v>
      </c>
      <c r="O13" s="82">
        <f t="shared" si="7"/>
        <v>-4349.275604066153</v>
      </c>
      <c r="P13" s="696">
        <f t="shared" si="8"/>
        <v>26568.124395933846</v>
      </c>
      <c r="Q13" s="86">
        <f>TRUNC(ROUND(P13,0),0)</f>
        <v>26568</v>
      </c>
      <c r="R13" s="131"/>
    </row>
    <row r="14" spans="1:18" ht="12">
      <c r="A14" s="940">
        <v>31</v>
      </c>
      <c r="B14" s="727" t="s">
        <v>11</v>
      </c>
      <c r="C14" s="80">
        <f>'rozpis pro rozpocet'!G52</f>
        <v>230103.8</v>
      </c>
      <c r="D14" s="81"/>
      <c r="E14" s="82">
        <f>'rozpis pro rozpocet'!E52</f>
        <v>222574.5</v>
      </c>
      <c r="F14" s="83">
        <f t="shared" si="0"/>
        <v>0.3978321206345167</v>
      </c>
      <c r="G14" s="82">
        <f t="shared" si="1"/>
        <v>22548.599777430918</v>
      </c>
      <c r="H14" s="717">
        <f t="shared" si="3"/>
        <v>252652.3997774309</v>
      </c>
      <c r="I14" s="82">
        <f>'rozpis pro rozpocet'!H52</f>
        <v>3700</v>
      </c>
      <c r="J14" s="81"/>
      <c r="K14" s="85">
        <f t="shared" si="4"/>
        <v>8761.854624854595</v>
      </c>
      <c r="L14" s="677">
        <f t="shared" si="2"/>
        <v>12461.854624854595</v>
      </c>
      <c r="M14" s="84">
        <f t="shared" si="5"/>
        <v>3700</v>
      </c>
      <c r="N14" s="84">
        <f t="shared" si="6"/>
        <v>8761.854624854595</v>
      </c>
      <c r="O14" s="82">
        <f t="shared" si="7"/>
        <v>-31310.45440228551</v>
      </c>
      <c r="P14" s="696">
        <f t="shared" si="8"/>
        <v>191264.0455977145</v>
      </c>
      <c r="Q14" s="86">
        <f t="shared" si="9"/>
        <v>191264</v>
      </c>
      <c r="R14" s="131"/>
    </row>
    <row r="15" spans="1:18" ht="12">
      <c r="A15" s="940">
        <v>33</v>
      </c>
      <c r="B15" s="727" t="s">
        <v>12</v>
      </c>
      <c r="C15" s="80">
        <f>'rozpis pro rozpocet'!G53</f>
        <v>91821.2</v>
      </c>
      <c r="D15" s="81"/>
      <c r="E15" s="82">
        <f>'rozpis pro rozpocet'!E53</f>
        <v>35884.3</v>
      </c>
      <c r="F15" s="83">
        <f t="shared" si="0"/>
        <v>0.06413999432318253</v>
      </c>
      <c r="G15" s="82">
        <f t="shared" si="1"/>
        <v>3635.3702647574833</v>
      </c>
      <c r="H15" s="717">
        <f t="shared" si="3"/>
        <v>95456.57026475748</v>
      </c>
      <c r="I15" s="82">
        <f>'rozpis pro rozpocet'!H53</f>
        <v>36000</v>
      </c>
      <c r="J15" s="81"/>
      <c r="K15" s="85">
        <f t="shared" si="4"/>
        <v>1412.619234973772</v>
      </c>
      <c r="L15" s="677">
        <f t="shared" si="2"/>
        <v>37412.61923497377</v>
      </c>
      <c r="M15" s="84">
        <f t="shared" si="5"/>
        <v>36000</v>
      </c>
      <c r="N15" s="84">
        <f t="shared" si="6"/>
        <v>1412.6192349737685</v>
      </c>
      <c r="O15" s="82">
        <f t="shared" si="7"/>
        <v>-5047.989499731255</v>
      </c>
      <c r="P15" s="696">
        <f t="shared" si="8"/>
        <v>30836.310500268748</v>
      </c>
      <c r="Q15" s="86">
        <f t="shared" si="9"/>
        <v>30836</v>
      </c>
      <c r="R15" s="131"/>
    </row>
    <row r="16" spans="1:18" ht="12">
      <c r="A16" s="940">
        <v>41</v>
      </c>
      <c r="B16" s="727" t="s">
        <v>13</v>
      </c>
      <c r="C16" s="80">
        <f>'rozpis pro rozpocet'!G54</f>
        <v>146499.4</v>
      </c>
      <c r="D16" s="81"/>
      <c r="E16" s="82">
        <f>'rozpis pro rozpocet'!E54</f>
        <v>30309.1</v>
      </c>
      <c r="F16" s="83">
        <f t="shared" si="0"/>
        <v>0.05417482024007076</v>
      </c>
      <c r="G16" s="82">
        <f t="shared" si="1"/>
        <v>3070.5573437843573</v>
      </c>
      <c r="H16" s="717">
        <f t="shared" si="3"/>
        <v>149569.95734378436</v>
      </c>
      <c r="I16" s="82">
        <f>'rozpis pro rozpocet'!H54</f>
        <v>800</v>
      </c>
      <c r="J16" s="81"/>
      <c r="K16" s="85">
        <f t="shared" si="4"/>
        <v>1193.1462409673184</v>
      </c>
      <c r="L16" s="677">
        <f t="shared" si="2"/>
        <v>1993.1462409673184</v>
      </c>
      <c r="M16" s="84">
        <f t="shared" si="5"/>
        <v>800</v>
      </c>
      <c r="N16" s="84">
        <f t="shared" si="6"/>
        <v>1193.1462409673184</v>
      </c>
      <c r="O16" s="82">
        <f t="shared" si="7"/>
        <v>-4263.703584751675</v>
      </c>
      <c r="P16" s="696">
        <f t="shared" si="8"/>
        <v>26045.396415248324</v>
      </c>
      <c r="Q16" s="86">
        <f t="shared" si="9"/>
        <v>26045</v>
      </c>
      <c r="R16" s="131"/>
    </row>
    <row r="17" spans="1:18" ht="12">
      <c r="A17" s="940">
        <v>51</v>
      </c>
      <c r="B17" s="727" t="s">
        <v>14</v>
      </c>
      <c r="C17" s="80">
        <f>'rozpis pro rozpocet'!G55</f>
        <v>70436.4</v>
      </c>
      <c r="D17" s="81"/>
      <c r="E17" s="82">
        <f>'rozpis pro rozpocet'!E55</f>
        <v>3448.6</v>
      </c>
      <c r="F17" s="83">
        <f t="shared" si="0"/>
        <v>0.006164065745268187</v>
      </c>
      <c r="G17" s="82">
        <f t="shared" si="1"/>
        <v>349.3711148062705</v>
      </c>
      <c r="H17" s="717">
        <f t="shared" si="3"/>
        <v>70785.77111480627</v>
      </c>
      <c r="I17" s="82">
        <f>'rozpis pro rozpocet'!H55</f>
        <v>300</v>
      </c>
      <c r="J17" s="81"/>
      <c r="K17" s="85">
        <f t="shared" si="4"/>
        <v>135.75738397378655</v>
      </c>
      <c r="L17" s="677">
        <f t="shared" si="2"/>
        <v>435.75738397378655</v>
      </c>
      <c r="M17" s="84">
        <f t="shared" si="5"/>
        <v>300</v>
      </c>
      <c r="N17" s="84">
        <f t="shared" si="6"/>
        <v>135.75738397378655</v>
      </c>
      <c r="O17" s="82">
        <f t="shared" si="7"/>
        <v>-485.12849878005704</v>
      </c>
      <c r="P17" s="696">
        <f t="shared" si="8"/>
        <v>2963.471501219943</v>
      </c>
      <c r="Q17" s="86">
        <v>2964</v>
      </c>
      <c r="R17" s="131"/>
    </row>
    <row r="18" spans="1:18" ht="12.75" thickBot="1">
      <c r="A18" s="941">
        <v>56</v>
      </c>
      <c r="B18" s="728" t="s">
        <v>15</v>
      </c>
      <c r="C18" s="87">
        <f>'rozpis pro rozpocet'!G56</f>
        <v>94081.7</v>
      </c>
      <c r="D18" s="88"/>
      <c r="E18" s="82">
        <f>'rozpis pro rozpocet'!E56</f>
        <v>12922.8</v>
      </c>
      <c r="F18" s="90">
        <f t="shared" si="0"/>
        <v>0.02309835551033803</v>
      </c>
      <c r="G18" s="89">
        <f t="shared" si="1"/>
        <v>1309.1843189753733</v>
      </c>
      <c r="H18" s="718">
        <f t="shared" si="3"/>
        <v>95390.88431897537</v>
      </c>
      <c r="I18" s="89">
        <f>'rozpis pro rozpocet'!H56</f>
        <v>0</v>
      </c>
      <c r="J18" s="88"/>
      <c r="K18" s="92">
        <f>-F18*$J$36</f>
        <v>508.71818175968474</v>
      </c>
      <c r="L18" s="678">
        <f t="shared" si="2"/>
        <v>508.71818175968474</v>
      </c>
      <c r="M18" s="84">
        <f t="shared" si="5"/>
        <v>0</v>
      </c>
      <c r="N18" s="91">
        <f t="shared" si="6"/>
        <v>508.71818175968474</v>
      </c>
      <c r="O18" s="89">
        <f t="shared" si="7"/>
        <v>-1817.902500735058</v>
      </c>
      <c r="P18" s="697">
        <f t="shared" si="8"/>
        <v>11104.897499264942</v>
      </c>
      <c r="Q18" s="86">
        <f t="shared" si="9"/>
        <v>11105</v>
      </c>
      <c r="R18" s="131"/>
    </row>
    <row r="19" spans="1:18" ht="13.5" customHeight="1" thickBot="1">
      <c r="A19" s="1604" t="s">
        <v>392</v>
      </c>
      <c r="B19" s="1605"/>
      <c r="C19" s="94">
        <f>SUM(C10:C18)</f>
        <v>1312179.5999999996</v>
      </c>
      <c r="D19" s="95">
        <f aca="true" t="shared" si="10" ref="D19:I19">SUM(D10:D18)</f>
        <v>0</v>
      </c>
      <c r="E19" s="95">
        <f t="shared" si="10"/>
        <v>497936.5999999999</v>
      </c>
      <c r="F19" s="96">
        <f t="shared" si="10"/>
        <v>0.8900173807850454</v>
      </c>
      <c r="G19" s="95">
        <f t="shared" si="10"/>
        <v>50445.01103196776</v>
      </c>
      <c r="H19" s="719">
        <f t="shared" si="10"/>
        <v>1362624.6110319677</v>
      </c>
      <c r="I19" s="95">
        <f t="shared" si="10"/>
        <v>41480</v>
      </c>
      <c r="J19" s="95">
        <f aca="true" t="shared" si="11" ref="J19:P19">SUM(J10:J18)</f>
        <v>0</v>
      </c>
      <c r="K19" s="95">
        <f t="shared" si="11"/>
        <v>19601.742794409838</v>
      </c>
      <c r="L19" s="679">
        <f t="shared" si="11"/>
        <v>61081.74279440984</v>
      </c>
      <c r="M19" s="97">
        <f t="shared" si="11"/>
        <v>41480</v>
      </c>
      <c r="N19" s="97">
        <f t="shared" si="11"/>
        <v>19601.74279440983</v>
      </c>
      <c r="O19" s="95">
        <f t="shared" si="11"/>
        <v>-70046.75382637761</v>
      </c>
      <c r="P19" s="698">
        <f t="shared" si="11"/>
        <v>427889.8461736224</v>
      </c>
      <c r="Q19" s="98">
        <f>SUM(Q10:Q18)</f>
        <v>427889</v>
      </c>
      <c r="R19" s="131"/>
    </row>
    <row r="20" spans="1:18" ht="12">
      <c r="A20" s="942">
        <v>71</v>
      </c>
      <c r="B20" s="943" t="s">
        <v>207</v>
      </c>
      <c r="C20" s="100">
        <f>'rozpis pro rozpocet'!G58</f>
        <v>0</v>
      </c>
      <c r="D20" s="101"/>
      <c r="E20" s="82">
        <f>'rozpis pro rozpocet'!E58</f>
        <v>61531.8</v>
      </c>
      <c r="F20" s="103">
        <f>E20/SUM($E$10:$E$18,$E$20)</f>
        <v>0.1099826192149548</v>
      </c>
      <c r="G20" s="102">
        <f>F20*-$D$32</f>
        <v>6233.669768032384</v>
      </c>
      <c r="H20" s="720">
        <f t="shared" si="3"/>
        <v>6233.669768032384</v>
      </c>
      <c r="I20" s="825">
        <f>'rozpis pro rozpocet'!H58</f>
        <v>2000</v>
      </c>
      <c r="J20" s="101"/>
      <c r="K20" s="105">
        <f>-F20*$J$36</f>
        <v>2422.257205590164</v>
      </c>
      <c r="L20" s="680">
        <f>I20+K20</f>
        <v>4422.257205590164</v>
      </c>
      <c r="M20" s="84">
        <f>I20+J20</f>
        <v>2000</v>
      </c>
      <c r="N20" s="104">
        <f aca="true" t="shared" si="12" ref="N20:N35">L20-M20</f>
        <v>2422.2572055901637</v>
      </c>
      <c r="O20" s="102">
        <f aca="true" t="shared" si="13" ref="O20:O31">-D20-G20-J20-K20</f>
        <v>-8655.926973622549</v>
      </c>
      <c r="P20" s="699">
        <f aca="true" t="shared" si="14" ref="P20:P31">O20+E20</f>
        <v>52875.873026377456</v>
      </c>
      <c r="Q20" s="106">
        <f t="shared" si="9"/>
        <v>52876</v>
      </c>
      <c r="R20" s="131"/>
    </row>
    <row r="21" spans="1:18" ht="12">
      <c r="A21" s="942">
        <v>79</v>
      </c>
      <c r="B21" s="943" t="s">
        <v>304</v>
      </c>
      <c r="C21" s="100">
        <f>'rozpis pro rozpocet'!G59</f>
        <v>0</v>
      </c>
      <c r="D21" s="101"/>
      <c r="E21" s="82">
        <f>'rozpis pro rozpocet'!E59</f>
        <v>0</v>
      </c>
      <c r="F21" s="103"/>
      <c r="G21" s="102"/>
      <c r="H21" s="720"/>
      <c r="I21" s="102">
        <f>'rozpis pro rozpocet'!H59</f>
        <v>1800</v>
      </c>
      <c r="J21" s="101"/>
      <c r="K21" s="105"/>
      <c r="L21" s="680">
        <f>I21+K21</f>
        <v>1800</v>
      </c>
      <c r="M21" s="84">
        <f>I21+J21</f>
        <v>1800</v>
      </c>
      <c r="N21" s="104">
        <f t="shared" si="12"/>
        <v>0</v>
      </c>
      <c r="O21" s="102"/>
      <c r="P21" s="699"/>
      <c r="Q21" s="106">
        <f t="shared" si="9"/>
        <v>0</v>
      </c>
      <c r="R21" s="131"/>
    </row>
    <row r="22" spans="1:18" ht="12">
      <c r="A22" s="944">
        <v>81</v>
      </c>
      <c r="B22" s="945" t="s">
        <v>71</v>
      </c>
      <c r="C22" s="100">
        <f>'rozpis pro rozpocet'!G60</f>
        <v>0</v>
      </c>
      <c r="D22" s="81"/>
      <c r="E22" s="82">
        <f>'rozpis pro rozpocet'!E60</f>
        <v>0</v>
      </c>
      <c r="F22" s="83"/>
      <c r="G22" s="82"/>
      <c r="H22" s="717">
        <f t="shared" si="3"/>
        <v>0</v>
      </c>
      <c r="I22" s="102">
        <f>'rozpis pro rozpocet'!H60</f>
        <v>0</v>
      </c>
      <c r="J22" s="81"/>
      <c r="K22" s="81"/>
      <c r="L22" s="677">
        <f aca="true" t="shared" si="15" ref="L22:L31">I22+K22+J22</f>
        <v>0</v>
      </c>
      <c r="M22" s="84">
        <f>I22+J22</f>
        <v>0</v>
      </c>
      <c r="N22" s="84">
        <f t="shared" si="12"/>
        <v>0</v>
      </c>
      <c r="O22" s="82">
        <f t="shared" si="13"/>
        <v>0</v>
      </c>
      <c r="P22" s="696">
        <f t="shared" si="14"/>
        <v>0</v>
      </c>
      <c r="Q22" s="86">
        <f t="shared" si="9"/>
        <v>0</v>
      </c>
      <c r="R22" s="131"/>
    </row>
    <row r="23" spans="1:18" ht="12">
      <c r="A23" s="944">
        <v>82</v>
      </c>
      <c r="B23" s="945" t="s">
        <v>1</v>
      </c>
      <c r="C23" s="100">
        <f>'rozpis pro rozpocet'!G61</f>
        <v>0</v>
      </c>
      <c r="D23" s="81"/>
      <c r="E23" s="82">
        <f>'rozpis pro rozpocet'!E61</f>
        <v>0</v>
      </c>
      <c r="F23" s="83"/>
      <c r="G23" s="82"/>
      <c r="H23" s="717">
        <f t="shared" si="3"/>
        <v>0</v>
      </c>
      <c r="I23" s="102">
        <f>'rozpis pro rozpocet'!H61</f>
        <v>10648</v>
      </c>
      <c r="J23" s="81"/>
      <c r="K23" s="81"/>
      <c r="L23" s="677">
        <f t="shared" si="15"/>
        <v>10648</v>
      </c>
      <c r="M23" s="84">
        <f>I23+J23</f>
        <v>10648</v>
      </c>
      <c r="N23" s="84">
        <f t="shared" si="12"/>
        <v>0</v>
      </c>
      <c r="O23" s="82">
        <f t="shared" si="13"/>
        <v>0</v>
      </c>
      <c r="P23" s="696">
        <f t="shared" si="14"/>
        <v>0</v>
      </c>
      <c r="Q23" s="86">
        <f t="shared" si="9"/>
        <v>0</v>
      </c>
      <c r="R23" s="131"/>
    </row>
    <row r="24" spans="1:18" ht="12">
      <c r="A24" s="944">
        <v>83</v>
      </c>
      <c r="B24" s="945" t="s">
        <v>83</v>
      </c>
      <c r="C24" s="100">
        <f>'rozpis pro rozpocet'!G62</f>
        <v>6700</v>
      </c>
      <c r="D24" s="81"/>
      <c r="E24" s="82">
        <f>'rozpis pro rozpocet'!E62</f>
        <v>0</v>
      </c>
      <c r="F24" s="83"/>
      <c r="G24" s="82"/>
      <c r="H24" s="717">
        <f t="shared" si="3"/>
        <v>6700</v>
      </c>
      <c r="I24" s="102">
        <f>'rozpis pro rozpocet'!H62</f>
        <v>2051</v>
      </c>
      <c r="J24" s="81"/>
      <c r="K24" s="81"/>
      <c r="L24" s="677">
        <f t="shared" si="15"/>
        <v>2051</v>
      </c>
      <c r="M24" s="84">
        <f aca="true" t="shared" si="16" ref="M24:M31">I24+J24</f>
        <v>2051</v>
      </c>
      <c r="N24" s="84">
        <f t="shared" si="12"/>
        <v>0</v>
      </c>
      <c r="O24" s="82">
        <f t="shared" si="13"/>
        <v>0</v>
      </c>
      <c r="P24" s="696">
        <f t="shared" si="14"/>
        <v>0</v>
      </c>
      <c r="Q24" s="86">
        <f t="shared" si="9"/>
        <v>0</v>
      </c>
      <c r="R24" s="131"/>
    </row>
    <row r="25" spans="1:18" ht="12">
      <c r="A25" s="944">
        <v>84</v>
      </c>
      <c r="B25" s="945" t="s">
        <v>82</v>
      </c>
      <c r="C25" s="100">
        <f>'rozpis pro rozpocet'!G63</f>
        <v>3000</v>
      </c>
      <c r="D25" s="81"/>
      <c r="E25" s="82">
        <f>'rozpis pro rozpocet'!E63</f>
        <v>471.1</v>
      </c>
      <c r="F25" s="83"/>
      <c r="G25" s="81"/>
      <c r="H25" s="717">
        <f t="shared" si="3"/>
        <v>3000</v>
      </c>
      <c r="I25" s="102">
        <f>'rozpis pro rozpocet'!H63</f>
        <v>0</v>
      </c>
      <c r="J25" s="81"/>
      <c r="K25" s="81"/>
      <c r="L25" s="677">
        <f t="shared" si="15"/>
        <v>0</v>
      </c>
      <c r="M25" s="84">
        <f t="shared" si="16"/>
        <v>0</v>
      </c>
      <c r="N25" s="84">
        <f t="shared" si="12"/>
        <v>0</v>
      </c>
      <c r="O25" s="82">
        <f t="shared" si="13"/>
        <v>0</v>
      </c>
      <c r="P25" s="696">
        <f t="shared" si="14"/>
        <v>471.1</v>
      </c>
      <c r="Q25" s="86">
        <f t="shared" si="9"/>
        <v>471</v>
      </c>
      <c r="R25" s="131"/>
    </row>
    <row r="26" spans="1:18" ht="12">
      <c r="A26" s="944">
        <v>85</v>
      </c>
      <c r="B26" s="945" t="s">
        <v>106</v>
      </c>
      <c r="C26" s="100">
        <f>'rozpis pro rozpocet'!G64</f>
        <v>0</v>
      </c>
      <c r="D26" s="81"/>
      <c r="E26" s="82">
        <f>'rozpis pro rozpocet'!E64</f>
        <v>818.7</v>
      </c>
      <c r="F26" s="83"/>
      <c r="G26" s="81"/>
      <c r="H26" s="717">
        <f t="shared" si="3"/>
        <v>0</v>
      </c>
      <c r="I26" s="102">
        <f>'rozpis pro rozpocet'!H64</f>
        <v>0</v>
      </c>
      <c r="J26" s="81"/>
      <c r="K26" s="81"/>
      <c r="L26" s="677">
        <f t="shared" si="15"/>
        <v>0</v>
      </c>
      <c r="M26" s="84">
        <f t="shared" si="16"/>
        <v>0</v>
      </c>
      <c r="N26" s="84">
        <f t="shared" si="12"/>
        <v>0</v>
      </c>
      <c r="O26" s="82">
        <f t="shared" si="13"/>
        <v>0</v>
      </c>
      <c r="P26" s="696">
        <f t="shared" si="14"/>
        <v>818.7</v>
      </c>
      <c r="Q26" s="86">
        <f t="shared" si="9"/>
        <v>819</v>
      </c>
      <c r="R26" s="131"/>
    </row>
    <row r="27" spans="1:18" ht="12">
      <c r="A27" s="944">
        <v>87</v>
      </c>
      <c r="B27" s="945" t="s">
        <v>135</v>
      </c>
      <c r="C27" s="100">
        <f>'rozpis pro rozpocet'!G65</f>
        <v>7724</v>
      </c>
      <c r="D27" s="82">
        <f>-$D$5*C27</f>
        <v>-2780.64</v>
      </c>
      <c r="E27" s="82">
        <f>'rozpis pro rozpocet'!E65</f>
        <v>0</v>
      </c>
      <c r="F27" s="83"/>
      <c r="G27" s="81"/>
      <c r="H27" s="717">
        <f>C27+G27+D27</f>
        <v>4943.360000000001</v>
      </c>
      <c r="I27" s="102">
        <f>'rozpis pro rozpocet'!H65</f>
        <v>1395</v>
      </c>
      <c r="J27" s="82">
        <f>-'příl.1 - cp 2016'!K21-'příl.1 - cp 2016'!K129</f>
        <v>-1360</v>
      </c>
      <c r="K27" s="82"/>
      <c r="L27" s="677">
        <f t="shared" si="15"/>
        <v>35</v>
      </c>
      <c r="M27" s="84">
        <f t="shared" si="16"/>
        <v>35</v>
      </c>
      <c r="N27" s="84">
        <f t="shared" si="12"/>
        <v>0</v>
      </c>
      <c r="O27" s="82">
        <f>-D27-G27-J27-K27</f>
        <v>4140.639999999999</v>
      </c>
      <c r="P27" s="696">
        <f t="shared" si="14"/>
        <v>4140.639999999999</v>
      </c>
      <c r="Q27" s="86">
        <f t="shared" si="9"/>
        <v>4141</v>
      </c>
      <c r="R27" s="131"/>
    </row>
    <row r="28" spans="1:18" ht="12">
      <c r="A28" s="944">
        <v>92</v>
      </c>
      <c r="B28" s="945" t="s">
        <v>17</v>
      </c>
      <c r="C28" s="100">
        <f>'rozpis pro rozpocet'!G66</f>
        <v>96500</v>
      </c>
      <c r="D28" s="82">
        <f>-$D$5*C28</f>
        <v>-34740</v>
      </c>
      <c r="E28" s="82">
        <f>'rozpis pro rozpocet'!E66</f>
        <v>2612</v>
      </c>
      <c r="F28" s="83"/>
      <c r="G28" s="81"/>
      <c r="H28" s="717">
        <f t="shared" si="3"/>
        <v>61760</v>
      </c>
      <c r="I28" s="102">
        <f>'rozpis pro rozpocet'!H66</f>
        <v>42715</v>
      </c>
      <c r="J28" s="82">
        <f>-'příl.1 - cp 2016'!K22-'příl.1 - cp 2016'!K151</f>
        <v>-11971.800000000001</v>
      </c>
      <c r="K28" s="82"/>
      <c r="L28" s="677">
        <f t="shared" si="15"/>
        <v>30743.199999999997</v>
      </c>
      <c r="M28" s="84">
        <f t="shared" si="16"/>
        <v>30743.199999999997</v>
      </c>
      <c r="N28" s="84">
        <f t="shared" si="12"/>
        <v>0</v>
      </c>
      <c r="O28" s="82">
        <f t="shared" si="13"/>
        <v>46711.8</v>
      </c>
      <c r="P28" s="696">
        <f>O28+E28</f>
        <v>49323.8</v>
      </c>
      <c r="Q28" s="86">
        <f t="shared" si="9"/>
        <v>49324</v>
      </c>
      <c r="R28" s="131"/>
    </row>
    <row r="29" spans="1:18" ht="12">
      <c r="A29" s="944">
        <v>96</v>
      </c>
      <c r="B29" s="945" t="s">
        <v>24</v>
      </c>
      <c r="C29" s="100">
        <f>'rozpis pro rozpocet'!G67</f>
        <v>32000</v>
      </c>
      <c r="D29" s="82"/>
      <c r="E29" s="82">
        <f>'rozpis pro rozpocet'!E67</f>
        <v>806.7</v>
      </c>
      <c r="F29" s="83"/>
      <c r="G29" s="81"/>
      <c r="H29" s="717">
        <f t="shared" si="3"/>
        <v>32000</v>
      </c>
      <c r="I29" s="102">
        <f>'rozpis pro rozpocet'!H67</f>
        <v>20</v>
      </c>
      <c r="J29" s="81"/>
      <c r="K29" s="81"/>
      <c r="L29" s="677">
        <f t="shared" si="15"/>
        <v>20</v>
      </c>
      <c r="M29" s="84">
        <f t="shared" si="16"/>
        <v>20</v>
      </c>
      <c r="N29" s="84">
        <f t="shared" si="12"/>
        <v>0</v>
      </c>
      <c r="O29" s="82">
        <f t="shared" si="13"/>
        <v>0</v>
      </c>
      <c r="P29" s="696">
        <f t="shared" si="14"/>
        <v>806.7</v>
      </c>
      <c r="Q29" s="86">
        <f t="shared" si="9"/>
        <v>807</v>
      </c>
      <c r="R29" s="131"/>
    </row>
    <row r="30" spans="1:18" ht="12">
      <c r="A30" s="944">
        <v>97</v>
      </c>
      <c r="B30" s="945" t="s">
        <v>25</v>
      </c>
      <c r="C30" s="100">
        <f>'rozpis pro rozpocet'!G68</f>
        <v>9450</v>
      </c>
      <c r="D30" s="82"/>
      <c r="E30" s="82">
        <f>'rozpis pro rozpocet'!E68</f>
        <v>0</v>
      </c>
      <c r="F30" s="83"/>
      <c r="G30" s="81"/>
      <c r="H30" s="717">
        <f>C30+G30+D30</f>
        <v>9450</v>
      </c>
      <c r="I30" s="102">
        <f>'rozpis pro rozpocet'!H68</f>
        <v>230</v>
      </c>
      <c r="J30" s="82"/>
      <c r="K30" s="81"/>
      <c r="L30" s="677">
        <f t="shared" si="15"/>
        <v>230</v>
      </c>
      <c r="M30" s="84">
        <f t="shared" si="16"/>
        <v>230</v>
      </c>
      <c r="N30" s="84">
        <f t="shared" si="12"/>
        <v>0</v>
      </c>
      <c r="O30" s="82">
        <f t="shared" si="13"/>
        <v>0</v>
      </c>
      <c r="P30" s="696">
        <f t="shared" si="14"/>
        <v>0</v>
      </c>
      <c r="Q30" s="86">
        <f t="shared" si="9"/>
        <v>0</v>
      </c>
      <c r="R30" s="131"/>
    </row>
    <row r="31" spans="1:18" ht="12.75" thickBot="1">
      <c r="A31" s="946">
        <v>99</v>
      </c>
      <c r="B31" s="947" t="s">
        <v>85</v>
      </c>
      <c r="C31" s="100">
        <f>'rozpis pro rozpocet'!G69</f>
        <v>53216.78000000038</v>
      </c>
      <c r="D31" s="89">
        <f>-C31*$D$5</f>
        <v>-19158.040800000133</v>
      </c>
      <c r="E31" s="82">
        <f>'rozpis pro rozpocet'!E69</f>
        <v>26574</v>
      </c>
      <c r="F31" s="90"/>
      <c r="G31" s="88"/>
      <c r="H31" s="718">
        <f t="shared" si="3"/>
        <v>34058.739200000244</v>
      </c>
      <c r="I31" s="825">
        <f>'rozpis pro rozpocet'!H69</f>
        <v>80049</v>
      </c>
      <c r="J31" s="89">
        <f>-'příl.1 - cp 2016'!K25-'příl.1 - cp 2016'!K90</f>
        <v>-8692.2</v>
      </c>
      <c r="K31" s="89"/>
      <c r="L31" s="678">
        <f t="shared" si="15"/>
        <v>71356.8</v>
      </c>
      <c r="M31" s="84">
        <f t="shared" si="16"/>
        <v>71356.8</v>
      </c>
      <c r="N31" s="91">
        <f t="shared" si="12"/>
        <v>0</v>
      </c>
      <c r="O31" s="89">
        <f t="shared" si="13"/>
        <v>27850.240800000134</v>
      </c>
      <c r="P31" s="697">
        <f t="shared" si="14"/>
        <v>54424.24080000013</v>
      </c>
      <c r="Q31" s="93">
        <f t="shared" si="9"/>
        <v>54424</v>
      </c>
      <c r="R31" s="131"/>
    </row>
    <row r="32" spans="1:18" ht="13.5" customHeight="1" thickBot="1">
      <c r="A32" s="1596" t="s">
        <v>393</v>
      </c>
      <c r="B32" s="1597"/>
      <c r="C32" s="108">
        <f>SUM(C20:C31)</f>
        <v>208590.78000000038</v>
      </c>
      <c r="D32" s="109">
        <f aca="true" t="shared" si="17" ref="D32:I32">SUM(D20:D31)</f>
        <v>-56678.68080000013</v>
      </c>
      <c r="E32" s="109">
        <f t="shared" si="17"/>
        <v>92814.3</v>
      </c>
      <c r="F32" s="110">
        <f t="shared" si="17"/>
        <v>0.1099826192149548</v>
      </c>
      <c r="G32" s="109">
        <f t="shared" si="17"/>
        <v>6233.669768032384</v>
      </c>
      <c r="H32" s="721">
        <f t="shared" si="17"/>
        <v>158145.76896803261</v>
      </c>
      <c r="I32" s="109">
        <f t="shared" si="17"/>
        <v>140908</v>
      </c>
      <c r="J32" s="109">
        <f aca="true" t="shared" si="18" ref="J32:P32">SUM(J20:J31)</f>
        <v>-22024</v>
      </c>
      <c r="K32" s="109">
        <f t="shared" si="18"/>
        <v>2422.257205590164</v>
      </c>
      <c r="L32" s="681">
        <f t="shared" si="18"/>
        <v>121306.25720559017</v>
      </c>
      <c r="M32" s="111">
        <f t="shared" si="18"/>
        <v>118884</v>
      </c>
      <c r="N32" s="111">
        <f t="shared" si="18"/>
        <v>2422.2572055901637</v>
      </c>
      <c r="O32" s="109">
        <f t="shared" si="18"/>
        <v>70046.7538263776</v>
      </c>
      <c r="P32" s="700">
        <f t="shared" si="18"/>
        <v>162861.05382637758</v>
      </c>
      <c r="Q32" s="112">
        <f>SUM(Q20:Q31)</f>
        <v>162862</v>
      </c>
      <c r="R32" s="131"/>
    </row>
    <row r="33" spans="1:18" ht="12">
      <c r="A33" s="948" t="s">
        <v>347</v>
      </c>
      <c r="B33" s="949"/>
      <c r="C33" s="100">
        <f aca="true" t="shared" si="19" ref="C33:I33">C19+C20</f>
        <v>1312179.5999999996</v>
      </c>
      <c r="D33" s="102">
        <f t="shared" si="19"/>
        <v>0</v>
      </c>
      <c r="E33" s="102">
        <f t="shared" si="19"/>
        <v>559468.3999999999</v>
      </c>
      <c r="F33" s="103">
        <f t="shared" si="19"/>
        <v>1.0000000000000002</v>
      </c>
      <c r="G33" s="102">
        <f t="shared" si="19"/>
        <v>56678.68080000015</v>
      </c>
      <c r="H33" s="720">
        <f t="shared" si="19"/>
        <v>1368858.2808</v>
      </c>
      <c r="I33" s="102">
        <f t="shared" si="19"/>
        <v>43480</v>
      </c>
      <c r="J33" s="102">
        <f aca="true" t="shared" si="20" ref="J33:P33">J19+J20</f>
        <v>0</v>
      </c>
      <c r="K33" s="102">
        <f t="shared" si="20"/>
        <v>22024.000000000004</v>
      </c>
      <c r="L33" s="680">
        <f t="shared" si="20"/>
        <v>65504</v>
      </c>
      <c r="M33" s="104">
        <f t="shared" si="20"/>
        <v>43480</v>
      </c>
      <c r="N33" s="84">
        <f t="shared" si="12"/>
        <v>22024</v>
      </c>
      <c r="O33" s="102">
        <f t="shared" si="20"/>
        <v>-78702.68080000016</v>
      </c>
      <c r="P33" s="699">
        <f t="shared" si="20"/>
        <v>480765.7191999999</v>
      </c>
      <c r="Q33" s="699">
        <f>Q19+Q20</f>
        <v>480765</v>
      </c>
      <c r="R33" s="131"/>
    </row>
    <row r="34" spans="1:18" ht="12">
      <c r="A34" s="948" t="s">
        <v>345</v>
      </c>
      <c r="B34" s="949"/>
      <c r="C34" s="114"/>
      <c r="D34" s="81"/>
      <c r="E34" s="81"/>
      <c r="F34" s="83"/>
      <c r="G34" s="81"/>
      <c r="H34" s="717"/>
      <c r="I34" s="82">
        <f>'rozpis pro rozpocet'!H71</f>
        <v>88000</v>
      </c>
      <c r="J34" s="81"/>
      <c r="K34" s="81"/>
      <c r="L34" s="677">
        <f>I34+K34</f>
        <v>88000</v>
      </c>
      <c r="M34" s="84">
        <f>L34</f>
        <v>88000</v>
      </c>
      <c r="N34" s="84">
        <f t="shared" si="12"/>
        <v>0</v>
      </c>
      <c r="O34" s="82">
        <f>G34+K34</f>
        <v>0</v>
      </c>
      <c r="P34" s="696">
        <f>O34+E34</f>
        <v>0</v>
      </c>
      <c r="Q34" s="86"/>
      <c r="R34" s="131"/>
    </row>
    <row r="35" spans="1:18" ht="12.75" thickBot="1">
      <c r="A35" s="948" t="s">
        <v>33</v>
      </c>
      <c r="B35" s="949"/>
      <c r="C35" s="115"/>
      <c r="D35" s="88"/>
      <c r="E35" s="88"/>
      <c r="F35" s="90"/>
      <c r="G35" s="88"/>
      <c r="H35" s="718"/>
      <c r="I35" s="89">
        <f>'rozpis pro rozpocet'!I69</f>
        <v>17500</v>
      </c>
      <c r="J35" s="88"/>
      <c r="K35" s="88"/>
      <c r="L35" s="678">
        <f>I35</f>
        <v>17500</v>
      </c>
      <c r="M35" s="91">
        <f>L35</f>
        <v>17500</v>
      </c>
      <c r="N35" s="84">
        <f t="shared" si="12"/>
        <v>0</v>
      </c>
      <c r="O35" s="89"/>
      <c r="P35" s="697"/>
      <c r="Q35" s="93"/>
      <c r="R35" s="131"/>
    </row>
    <row r="36" spans="1:18" ht="12.75" thickBot="1">
      <c r="A36" s="116" t="s">
        <v>337</v>
      </c>
      <c r="B36" s="950"/>
      <c r="C36" s="108">
        <f aca="true" t="shared" si="21" ref="C36:H36">C19+C32+C34</f>
        <v>1520770.38</v>
      </c>
      <c r="D36" s="109">
        <f t="shared" si="21"/>
        <v>-56678.68080000013</v>
      </c>
      <c r="E36" s="109">
        <f t="shared" si="21"/>
        <v>590750.8999999999</v>
      </c>
      <c r="F36" s="110">
        <f t="shared" si="21"/>
        <v>1.0000000000000002</v>
      </c>
      <c r="G36" s="109">
        <f t="shared" si="21"/>
        <v>56678.68080000015</v>
      </c>
      <c r="H36" s="721">
        <f t="shared" si="21"/>
        <v>1520770.3800000004</v>
      </c>
      <c r="I36" s="109">
        <f>I19+I32+I34+I35</f>
        <v>287888</v>
      </c>
      <c r="J36" s="109">
        <f>J19+J32+J34+J35</f>
        <v>-22024</v>
      </c>
      <c r="K36" s="109">
        <f aca="true" t="shared" si="22" ref="K36:P36">K19+K32+K34+K35</f>
        <v>22024.000000000004</v>
      </c>
      <c r="L36" s="681">
        <f>L19+L32+L34+L35</f>
        <v>287888</v>
      </c>
      <c r="M36" s="111">
        <f t="shared" si="22"/>
        <v>265864</v>
      </c>
      <c r="N36" s="111">
        <f t="shared" si="22"/>
        <v>22023.999999999993</v>
      </c>
      <c r="O36" s="109">
        <f t="shared" si="22"/>
        <v>-1.4551915228366852E-11</v>
      </c>
      <c r="P36" s="700">
        <f t="shared" si="22"/>
        <v>590750.9</v>
      </c>
      <c r="Q36" s="112">
        <f>Q19+Q32+Q34+Q35</f>
        <v>590751</v>
      </c>
      <c r="R36" s="131"/>
    </row>
    <row r="37" spans="2:18" ht="12.75" thickBot="1">
      <c r="B37" s="117"/>
      <c r="C37" s="1122">
        <f>'rozpis pro rozpocet'!G72</f>
        <v>1520770.38</v>
      </c>
      <c r="D37" s="118"/>
      <c r="E37" s="1123">
        <f>'rozpis pro rozpocet'!E72</f>
        <v>590750.8999999999</v>
      </c>
      <c r="F37" s="118"/>
      <c r="G37" s="118"/>
      <c r="H37" s="118"/>
      <c r="I37" s="1123">
        <f>'rozpis pro rozpocet'!H72+I35</f>
        <v>287888</v>
      </c>
      <c r="J37" s="118"/>
      <c r="K37" s="119"/>
      <c r="L37" s="119"/>
      <c r="M37" s="119"/>
      <c r="N37" s="1123">
        <f>'příl.1 - cp 2016'!K168</f>
        <v>22024</v>
      </c>
      <c r="O37" s="120">
        <f>G37+K37</f>
        <v>0</v>
      </c>
      <c r="P37" s="121">
        <f>O37+E37</f>
        <v>590750.8999999999</v>
      </c>
      <c r="Q37" s="121"/>
      <c r="R37" s="131"/>
    </row>
    <row r="38" spans="5:17" ht="12">
      <c r="E38" s="131"/>
      <c r="I38" s="1121">
        <f>C37+I37</f>
        <v>1808658.38</v>
      </c>
      <c r="Q38" s="131"/>
    </row>
    <row r="39" spans="1:17" ht="12">
      <c r="A39" s="1044" t="s">
        <v>391</v>
      </c>
      <c r="Q39" s="131"/>
    </row>
    <row r="41" ht="12">
      <c r="H41" s="785"/>
    </row>
    <row r="42" ht="12">
      <c r="H42" s="785"/>
    </row>
  </sheetData>
  <sheetProtection/>
  <mergeCells count="7">
    <mergeCell ref="A32:B32"/>
    <mergeCell ref="D6:D7"/>
    <mergeCell ref="G6:G7"/>
    <mergeCell ref="J6:J7"/>
    <mergeCell ref="K6:K7"/>
    <mergeCell ref="M6:N7"/>
    <mergeCell ref="A19:B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 r:id="rId1"/>
  <headerFooter differentFirst="1" scaleWithDoc="0" alignWithMargins="0">
    <oddFooter>&amp;C&amp;9 7</oddFooter>
    <firstFooter>&amp;C&amp;N+7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2:L63"/>
  <sheetViews>
    <sheetView showGridLines="0" zoomScalePageLayoutView="0" workbookViewId="0" topLeftCell="A1">
      <selection activeCell="J26" sqref="J26"/>
    </sheetView>
  </sheetViews>
  <sheetFormatPr defaultColWidth="8.75390625" defaultRowHeight="12.75"/>
  <cols>
    <col min="1" max="1" width="8.75390625" style="0" customWidth="1"/>
    <col min="2" max="2" width="9.75390625" style="0" customWidth="1"/>
    <col min="3" max="3" width="10.00390625" style="0" customWidth="1"/>
    <col min="4" max="4" width="9.625" style="0" customWidth="1"/>
    <col min="5" max="5" width="11.25390625" style="0" customWidth="1"/>
    <col min="6" max="6" width="10.00390625" style="0" customWidth="1"/>
    <col min="7" max="7" width="10.125" style="0" customWidth="1"/>
    <col min="8" max="8" width="11.625" style="0" customWidth="1"/>
    <col min="9" max="9" width="12.00390625" style="0" customWidth="1"/>
    <col min="10" max="10" width="11.00390625" style="0" customWidth="1"/>
    <col min="11" max="11" width="10.375" style="0" customWidth="1"/>
  </cols>
  <sheetData>
    <row r="2" spans="1:12" ht="15.75">
      <c r="A2" s="125" t="s">
        <v>361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3.5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5">
      <c r="A5" s="126"/>
      <c r="B5" s="1606" t="s">
        <v>665</v>
      </c>
      <c r="C5" s="1607"/>
      <c r="D5" s="1607"/>
      <c r="E5" s="1607"/>
      <c r="F5" s="1607"/>
      <c r="G5" s="1607"/>
      <c r="H5" s="1607"/>
      <c r="I5" s="1607"/>
      <c r="J5" s="1607"/>
      <c r="K5" s="1608"/>
    </row>
    <row r="6" spans="1:11" ht="36">
      <c r="A6" s="38"/>
      <c r="B6" s="1008" t="s">
        <v>294</v>
      </c>
      <c r="C6" s="1008" t="s">
        <v>295</v>
      </c>
      <c r="D6" s="1008" t="s">
        <v>296</v>
      </c>
      <c r="E6" s="1008" t="s">
        <v>297</v>
      </c>
      <c r="F6" s="1008" t="s">
        <v>298</v>
      </c>
      <c r="G6" s="1008" t="s">
        <v>299</v>
      </c>
      <c r="H6" s="1008" t="s">
        <v>300</v>
      </c>
      <c r="I6" s="1008" t="s">
        <v>301</v>
      </c>
      <c r="J6" s="1008" t="s">
        <v>302</v>
      </c>
      <c r="K6" s="1009" t="s">
        <v>303</v>
      </c>
    </row>
    <row r="7" spans="1:11" ht="12.75">
      <c r="A7" s="39" t="s">
        <v>7</v>
      </c>
      <c r="B7" s="20">
        <v>712737.7680099999</v>
      </c>
      <c r="C7" s="20">
        <v>43960.65389</v>
      </c>
      <c r="D7" s="20">
        <v>19495.38851</v>
      </c>
      <c r="E7" s="20">
        <v>15757.06817</v>
      </c>
      <c r="F7" s="20">
        <v>162407.79216000004</v>
      </c>
      <c r="G7" s="20">
        <v>1052.69489</v>
      </c>
      <c r="H7" s="20">
        <v>13505.58976</v>
      </c>
      <c r="I7" s="20">
        <f aca="true" t="shared" si="0" ref="I7:I27">B7-C7-D7-E7</f>
        <v>633524.65744</v>
      </c>
      <c r="J7" s="20">
        <f>F7-G7-H7</f>
        <v>147849.50751000002</v>
      </c>
      <c r="K7" s="1033">
        <f aca="true" t="shared" si="1" ref="K7:K28">J7/I7</f>
        <v>0.23337609006008198</v>
      </c>
    </row>
    <row r="8" spans="1:11" ht="12.75">
      <c r="A8" s="39" t="s">
        <v>8</v>
      </c>
      <c r="B8" s="20">
        <v>605983.4631499996</v>
      </c>
      <c r="C8" s="20">
        <v>6069.78622</v>
      </c>
      <c r="D8" s="20">
        <v>13917.97683</v>
      </c>
      <c r="E8" s="20">
        <v>6815.270630000001</v>
      </c>
      <c r="F8" s="20">
        <v>152379.57461999997</v>
      </c>
      <c r="G8" s="20">
        <v>470.39171999999996</v>
      </c>
      <c r="H8" s="20">
        <v>2620</v>
      </c>
      <c r="I8" s="20">
        <f t="shared" si="0"/>
        <v>579180.4294699995</v>
      </c>
      <c r="J8" s="20">
        <f aca="true" t="shared" si="2" ref="J8:J27">F8-G8-H8</f>
        <v>149289.18289999996</v>
      </c>
      <c r="K8" s="1033">
        <f t="shared" si="1"/>
        <v>0.2577593704894562</v>
      </c>
    </row>
    <row r="9" spans="1:11" ht="12.75">
      <c r="A9" s="39" t="s">
        <v>9</v>
      </c>
      <c r="B9" s="20">
        <v>196635.58199000012</v>
      </c>
      <c r="C9" s="20">
        <v>3529.98545</v>
      </c>
      <c r="D9" s="20">
        <v>3015.8450000000003</v>
      </c>
      <c r="E9" s="20">
        <v>77.73944999999999</v>
      </c>
      <c r="F9" s="20">
        <v>33734.68234</v>
      </c>
      <c r="G9" s="20">
        <v>349.89614</v>
      </c>
      <c r="H9" s="20">
        <v>0</v>
      </c>
      <c r="I9" s="20">
        <f t="shared" si="0"/>
        <v>190012.01209000012</v>
      </c>
      <c r="J9" s="20">
        <f t="shared" si="2"/>
        <v>33384.7862</v>
      </c>
      <c r="K9" s="1033">
        <f t="shared" si="1"/>
        <v>0.17569829313836818</v>
      </c>
    </row>
    <row r="10" spans="1:11" ht="12.75">
      <c r="A10" s="39" t="s">
        <v>10</v>
      </c>
      <c r="B10" s="20">
        <v>288435.9231399998</v>
      </c>
      <c r="C10" s="20">
        <v>16607.318740000002</v>
      </c>
      <c r="D10" s="20">
        <v>4322.413</v>
      </c>
      <c r="E10" s="20">
        <v>5325.9746</v>
      </c>
      <c r="F10" s="20">
        <v>80443.07092000001</v>
      </c>
      <c r="G10" s="20">
        <v>7453.8923</v>
      </c>
      <c r="H10" s="20">
        <v>4071</v>
      </c>
      <c r="I10" s="20">
        <f t="shared" si="0"/>
        <v>262180.21679999976</v>
      </c>
      <c r="J10" s="20">
        <f t="shared" si="2"/>
        <v>68918.17862</v>
      </c>
      <c r="K10" s="1033">
        <f t="shared" si="1"/>
        <v>0.2628656710302944</v>
      </c>
    </row>
    <row r="11" spans="1:11" ht="12.75">
      <c r="A11" s="39" t="s">
        <v>11</v>
      </c>
      <c r="B11" s="20">
        <v>1113040.7059600009</v>
      </c>
      <c r="C11" s="20">
        <v>45809.65098</v>
      </c>
      <c r="D11" s="20">
        <v>117347.40494000001</v>
      </c>
      <c r="E11" s="20">
        <v>53834.763249999996</v>
      </c>
      <c r="F11" s="20">
        <v>535873.14506</v>
      </c>
      <c r="G11" s="20">
        <v>7644.868630000001</v>
      </c>
      <c r="H11" s="20">
        <v>53706.078219999996</v>
      </c>
      <c r="I11" s="20">
        <f t="shared" si="0"/>
        <v>896048.886790001</v>
      </c>
      <c r="J11" s="20">
        <f t="shared" si="2"/>
        <v>474522.19820999994</v>
      </c>
      <c r="K11" s="1033">
        <f t="shared" si="1"/>
        <v>0.5295717736003499</v>
      </c>
    </row>
    <row r="12" spans="1:11" ht="12.75">
      <c r="A12" s="39" t="s">
        <v>12</v>
      </c>
      <c r="B12" s="20">
        <v>320188.2857700004</v>
      </c>
      <c r="C12" s="20">
        <v>18480.641900000002</v>
      </c>
      <c r="D12" s="20">
        <v>27375.95315</v>
      </c>
      <c r="E12" s="20">
        <v>18148.225919999997</v>
      </c>
      <c r="F12" s="20">
        <v>98371.08779</v>
      </c>
      <c r="G12" s="20">
        <v>2341.0367200000005</v>
      </c>
      <c r="H12" s="20">
        <v>17517.603759999998</v>
      </c>
      <c r="I12" s="20">
        <f t="shared" si="0"/>
        <v>256183.46480000042</v>
      </c>
      <c r="J12" s="20">
        <f t="shared" si="2"/>
        <v>78512.44731</v>
      </c>
      <c r="K12" s="1033">
        <f t="shared" si="1"/>
        <v>0.3064696129833898</v>
      </c>
    </row>
    <row r="13" spans="1:11" ht="12.75">
      <c r="A13" s="39" t="s">
        <v>13</v>
      </c>
      <c r="B13" s="20">
        <v>278912.04519</v>
      </c>
      <c r="C13" s="20">
        <v>16944.82562</v>
      </c>
      <c r="D13" s="20">
        <v>8058.532929999999</v>
      </c>
      <c r="E13" s="20">
        <v>915.7185099999999</v>
      </c>
      <c r="F13" s="20">
        <v>45853.73384</v>
      </c>
      <c r="G13" s="20">
        <v>512.70911</v>
      </c>
      <c r="H13" s="20">
        <v>0</v>
      </c>
      <c r="I13" s="20">
        <f t="shared" si="0"/>
        <v>252992.96813</v>
      </c>
      <c r="J13" s="20">
        <f t="shared" si="2"/>
        <v>45341.02473</v>
      </c>
      <c r="K13" s="1033">
        <f t="shared" si="1"/>
        <v>0.17921851767319316</v>
      </c>
    </row>
    <row r="14" spans="1:11" ht="12.75">
      <c r="A14" s="39" t="s">
        <v>14</v>
      </c>
      <c r="B14" s="20">
        <v>112376.57976000001</v>
      </c>
      <c r="C14" s="20">
        <v>4198.40729</v>
      </c>
      <c r="D14" s="20">
        <v>3044.7547600000003</v>
      </c>
      <c r="E14" s="20">
        <v>-5.80888</v>
      </c>
      <c r="F14" s="20">
        <v>5030.28349</v>
      </c>
      <c r="G14" s="20">
        <v>48.32618</v>
      </c>
      <c r="H14" s="20">
        <v>0</v>
      </c>
      <c r="I14" s="20">
        <f t="shared" si="0"/>
        <v>105139.22659</v>
      </c>
      <c r="J14" s="20">
        <f t="shared" si="2"/>
        <v>4981.95731</v>
      </c>
      <c r="K14" s="1033">
        <f t="shared" si="1"/>
        <v>0.04738438232409295</v>
      </c>
    </row>
    <row r="15" spans="1:11" ht="12.75">
      <c r="A15" s="39" t="s">
        <v>15</v>
      </c>
      <c r="B15" s="20">
        <v>201787.7609499999</v>
      </c>
      <c r="C15" s="20">
        <v>8999.50108</v>
      </c>
      <c r="D15" s="20">
        <v>6274.04696</v>
      </c>
      <c r="E15" s="20">
        <v>2653.67469</v>
      </c>
      <c r="F15" s="20">
        <v>25220.097560000002</v>
      </c>
      <c r="G15" s="20">
        <v>1438.4425299999998</v>
      </c>
      <c r="H15" s="20">
        <v>1058.93424</v>
      </c>
      <c r="I15" s="20">
        <f t="shared" si="0"/>
        <v>183860.53821999993</v>
      </c>
      <c r="J15" s="20">
        <f t="shared" si="2"/>
        <v>22722.720790000003</v>
      </c>
      <c r="K15" s="1033">
        <f t="shared" si="1"/>
        <v>0.12358671964079064</v>
      </c>
    </row>
    <row r="16" spans="1:11" ht="12.75">
      <c r="A16" s="39" t="s">
        <v>233</v>
      </c>
      <c r="B16" s="20">
        <v>813255.7562600002</v>
      </c>
      <c r="C16" s="20">
        <v>100464.31588000001</v>
      </c>
      <c r="D16" s="20">
        <v>238494.89818000002</v>
      </c>
      <c r="E16" s="20">
        <v>14234.923650000002</v>
      </c>
      <c r="F16" s="20">
        <v>492751.89476999996</v>
      </c>
      <c r="G16" s="20">
        <v>91908.31588000001</v>
      </c>
      <c r="H16" s="20">
        <v>14338.651300000001</v>
      </c>
      <c r="I16" s="20">
        <f t="shared" si="0"/>
        <v>460061.61855000013</v>
      </c>
      <c r="J16" s="20">
        <f t="shared" si="2"/>
        <v>386504.9275899999</v>
      </c>
      <c r="K16" s="1033">
        <f t="shared" si="1"/>
        <v>0.840115567145478</v>
      </c>
    </row>
    <row r="17" spans="1:11" ht="12.75">
      <c r="A17" s="40" t="s">
        <v>304</v>
      </c>
      <c r="B17" s="22">
        <v>220075.10728000005</v>
      </c>
      <c r="C17" s="22">
        <v>842.32512</v>
      </c>
      <c r="D17" s="22">
        <v>5796.29638</v>
      </c>
      <c r="E17" s="22">
        <v>175710.25204</v>
      </c>
      <c r="F17" s="22">
        <v>207847.80990000002</v>
      </c>
      <c r="G17" s="22">
        <v>842.32512</v>
      </c>
      <c r="H17" s="22">
        <v>175553.66085</v>
      </c>
      <c r="I17" s="22">
        <f t="shared" si="0"/>
        <v>37726.233740000054</v>
      </c>
      <c r="J17" s="22">
        <f t="shared" si="2"/>
        <v>31451.823930000042</v>
      </c>
      <c r="K17" s="1034">
        <f t="shared" si="1"/>
        <v>0.8336857621876145</v>
      </c>
    </row>
    <row r="18" spans="1:11" ht="12.75">
      <c r="A18" s="40" t="s">
        <v>71</v>
      </c>
      <c r="B18" s="22">
        <v>207375.3772</v>
      </c>
      <c r="C18" s="22">
        <v>0</v>
      </c>
      <c r="D18" s="22">
        <v>3926.342</v>
      </c>
      <c r="E18" s="22">
        <v>0</v>
      </c>
      <c r="F18" s="22"/>
      <c r="G18" s="22"/>
      <c r="H18" s="22"/>
      <c r="I18" s="22">
        <f t="shared" si="0"/>
        <v>203449.03519999998</v>
      </c>
      <c r="J18" s="22">
        <f t="shared" si="2"/>
        <v>0</v>
      </c>
      <c r="K18" s="1034">
        <f t="shared" si="1"/>
        <v>0</v>
      </c>
    </row>
    <row r="19" spans="1:11" ht="12.75">
      <c r="A19" s="40" t="s">
        <v>241</v>
      </c>
      <c r="B19" s="22">
        <v>130631.78422000006</v>
      </c>
      <c r="C19" s="22">
        <v>718.49856</v>
      </c>
      <c r="D19" s="22">
        <v>116311.08150999999</v>
      </c>
      <c r="E19" s="22">
        <v>0</v>
      </c>
      <c r="F19" s="22"/>
      <c r="G19" s="22"/>
      <c r="H19" s="22"/>
      <c r="I19" s="22">
        <f t="shared" si="0"/>
        <v>13602.204150000063</v>
      </c>
      <c r="J19" s="22">
        <f t="shared" si="2"/>
        <v>0</v>
      </c>
      <c r="K19" s="1034">
        <f t="shared" si="1"/>
        <v>0</v>
      </c>
    </row>
    <row r="20" spans="1:11" ht="12.75">
      <c r="A20" s="40" t="s">
        <v>83</v>
      </c>
      <c r="B20" s="22">
        <v>14000.697629999999</v>
      </c>
      <c r="C20" s="22">
        <v>2572.09325</v>
      </c>
      <c r="D20" s="22">
        <v>2286.22934</v>
      </c>
      <c r="E20" s="22">
        <v>1191.2374499999999</v>
      </c>
      <c r="F20" s="22"/>
      <c r="G20" s="22"/>
      <c r="H20" s="22"/>
      <c r="I20" s="22">
        <f t="shared" si="0"/>
        <v>7951.137589999999</v>
      </c>
      <c r="J20" s="22">
        <f t="shared" si="2"/>
        <v>0</v>
      </c>
      <c r="K20" s="1034">
        <f t="shared" si="1"/>
        <v>0</v>
      </c>
    </row>
    <row r="21" spans="1:11" ht="12.75">
      <c r="A21" s="40" t="s">
        <v>82</v>
      </c>
      <c r="B21" s="22">
        <v>29822.372229999997</v>
      </c>
      <c r="C21" s="22">
        <v>2614.77641</v>
      </c>
      <c r="D21" s="22">
        <v>866.9620000000001</v>
      </c>
      <c r="E21" s="22">
        <v>-106.83691999999999</v>
      </c>
      <c r="F21" s="22">
        <v>353</v>
      </c>
      <c r="G21" s="22">
        <v>0</v>
      </c>
      <c r="H21" s="22"/>
      <c r="I21" s="22">
        <f t="shared" si="0"/>
        <v>26447.47074</v>
      </c>
      <c r="J21" s="22">
        <f t="shared" si="2"/>
        <v>353</v>
      </c>
      <c r="K21" s="1034">
        <f t="shared" si="1"/>
        <v>0.013347212044216822</v>
      </c>
    </row>
    <row r="22" spans="1:11" ht="12.75">
      <c r="A22" s="40" t="s">
        <v>106</v>
      </c>
      <c r="B22" s="22">
        <v>99561.90161000004</v>
      </c>
      <c r="C22" s="22">
        <v>15447.537919999999</v>
      </c>
      <c r="D22" s="22">
        <v>206.72500000000002</v>
      </c>
      <c r="E22" s="22">
        <v>2612.3249100000003</v>
      </c>
      <c r="F22" s="22">
        <v>3449.58312</v>
      </c>
      <c r="G22" s="22">
        <v>111.42250999999999</v>
      </c>
      <c r="H22" s="22"/>
      <c r="I22" s="22">
        <f t="shared" si="0"/>
        <v>81295.31378000004</v>
      </c>
      <c r="J22" s="22">
        <f t="shared" si="2"/>
        <v>3338.16061</v>
      </c>
      <c r="K22" s="1034">
        <f t="shared" si="1"/>
        <v>0.04106215296780417</v>
      </c>
    </row>
    <row r="23" spans="1:11" ht="12.75">
      <c r="A23" s="40" t="s">
        <v>135</v>
      </c>
      <c r="B23" s="22">
        <v>21432.888529999986</v>
      </c>
      <c r="C23" s="22">
        <v>660.79209</v>
      </c>
      <c r="D23" s="22">
        <v>409.39</v>
      </c>
      <c r="E23" s="22">
        <v>0</v>
      </c>
      <c r="F23" s="22">
        <v>14550.946379999998</v>
      </c>
      <c r="G23" s="22">
        <v>4.99993</v>
      </c>
      <c r="H23" s="22"/>
      <c r="I23" s="22">
        <f t="shared" si="0"/>
        <v>20362.706439999987</v>
      </c>
      <c r="J23" s="22">
        <f t="shared" si="2"/>
        <v>14545.946449999998</v>
      </c>
      <c r="K23" s="1034">
        <f t="shared" si="1"/>
        <v>0.7143424914001759</v>
      </c>
    </row>
    <row r="24" spans="1:11" ht="12.75">
      <c r="A24" s="41" t="s">
        <v>17</v>
      </c>
      <c r="B24" s="21">
        <v>294285.50332000025</v>
      </c>
      <c r="C24" s="21">
        <v>8232.73897</v>
      </c>
      <c r="D24" s="21">
        <v>82883.66056</v>
      </c>
      <c r="E24" s="21">
        <v>1147.98708</v>
      </c>
      <c r="F24" s="21">
        <v>83228.16268000002</v>
      </c>
      <c r="G24" s="21">
        <v>7430.21775</v>
      </c>
      <c r="H24" s="21"/>
      <c r="I24" s="21">
        <f t="shared" si="0"/>
        <v>202021.11671000026</v>
      </c>
      <c r="J24" s="21">
        <f t="shared" si="2"/>
        <v>75797.94493000003</v>
      </c>
      <c r="K24" s="1035">
        <f t="shared" si="1"/>
        <v>0.37519812861349233</v>
      </c>
    </row>
    <row r="25" spans="1:11" ht="12.75">
      <c r="A25" s="40" t="s">
        <v>24</v>
      </c>
      <c r="B25" s="22">
        <v>45681.378749999996</v>
      </c>
      <c r="C25" s="22">
        <v>0</v>
      </c>
      <c r="D25" s="22">
        <v>97.594</v>
      </c>
      <c r="E25" s="22">
        <v>3500.74398</v>
      </c>
      <c r="F25" s="22">
        <v>469</v>
      </c>
      <c r="G25" s="22">
        <v>0</v>
      </c>
      <c r="H25" s="22"/>
      <c r="I25" s="22">
        <f t="shared" si="0"/>
        <v>42083.04077</v>
      </c>
      <c r="J25" s="22">
        <f t="shared" si="2"/>
        <v>469</v>
      </c>
      <c r="K25" s="1034">
        <f t="shared" si="1"/>
        <v>0.011144631932926743</v>
      </c>
    </row>
    <row r="26" spans="1:11" ht="12.75">
      <c r="A26" s="40" t="s">
        <v>25</v>
      </c>
      <c r="B26" s="22">
        <v>312437.5023099999</v>
      </c>
      <c r="C26" s="22">
        <v>108527.78736999999</v>
      </c>
      <c r="D26" s="22">
        <v>0</v>
      </c>
      <c r="E26" s="22">
        <v>31729.221569999998</v>
      </c>
      <c r="F26" s="22"/>
      <c r="G26" s="22"/>
      <c r="H26" s="22"/>
      <c r="I26" s="22">
        <f t="shared" si="0"/>
        <v>172180.49336999992</v>
      </c>
      <c r="J26" s="22">
        <f t="shared" si="2"/>
        <v>0</v>
      </c>
      <c r="K26" s="1034">
        <f t="shared" si="1"/>
        <v>0</v>
      </c>
    </row>
    <row r="27" spans="1:11" ht="12.75">
      <c r="A27" s="41" t="s">
        <v>18</v>
      </c>
      <c r="B27" s="21">
        <v>441660.4480800002</v>
      </c>
      <c r="C27" s="21">
        <v>110525.86958000001</v>
      </c>
      <c r="D27" s="21">
        <v>7322.265000000001</v>
      </c>
      <c r="E27" s="21">
        <v>1.6</v>
      </c>
      <c r="F27" s="21">
        <v>28389.847110000002</v>
      </c>
      <c r="G27" s="21">
        <v>638.42915</v>
      </c>
      <c r="H27" s="21"/>
      <c r="I27" s="21">
        <f t="shared" si="0"/>
        <v>323810.7135000002</v>
      </c>
      <c r="J27" s="21">
        <f t="shared" si="2"/>
        <v>27751.417960000002</v>
      </c>
      <c r="K27" s="1035">
        <f t="shared" si="1"/>
        <v>0.08570259353077268</v>
      </c>
    </row>
    <row r="28" spans="1:11" ht="13.5" thickBot="1">
      <c r="A28" s="42" t="s">
        <v>73</v>
      </c>
      <c r="B28" s="43">
        <f aca="true" t="shared" si="3" ref="B28:J28">SUM(B7:B27)</f>
        <v>6460318.831340003</v>
      </c>
      <c r="C28" s="43">
        <f t="shared" si="3"/>
        <v>515207.50631999987</v>
      </c>
      <c r="D28" s="43">
        <f t="shared" si="3"/>
        <v>661453.7600500002</v>
      </c>
      <c r="E28" s="43">
        <f t="shared" si="3"/>
        <v>333544.0801000001</v>
      </c>
      <c r="F28" s="43">
        <f t="shared" si="3"/>
        <v>1970353.7117400002</v>
      </c>
      <c r="G28" s="43">
        <f t="shared" si="3"/>
        <v>122247.96856000001</v>
      </c>
      <c r="H28" s="43">
        <f t="shared" si="3"/>
        <v>282371.51813</v>
      </c>
      <c r="I28" s="43">
        <f t="shared" si="3"/>
        <v>4950113.484870003</v>
      </c>
      <c r="J28" s="43">
        <f t="shared" si="3"/>
        <v>1565734.2250499995</v>
      </c>
      <c r="K28" s="1036">
        <f t="shared" si="1"/>
        <v>0.31630269282424706</v>
      </c>
    </row>
    <row r="29" spans="1:11" ht="12.75">
      <c r="A29" s="24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15.75">
      <c r="A30" s="44" t="s">
        <v>355</v>
      </c>
      <c r="B30" s="127"/>
      <c r="C30" s="128"/>
      <c r="D30" s="128"/>
      <c r="E30" s="128"/>
      <c r="F30" s="128"/>
      <c r="G30" s="128"/>
      <c r="H30" s="128"/>
      <c r="I30" s="767">
        <f>SUM(I7:I16)</f>
        <v>3819184.0188800013</v>
      </c>
      <c r="J30" s="767">
        <f>SUM(J7:J16)</f>
        <v>1412026.9311699998</v>
      </c>
      <c r="K30" s="1039">
        <f>J30/I30</f>
        <v>0.369719532808499</v>
      </c>
    </row>
    <row r="31" spans="1:1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1038">
        <f>FLOOR(K30,0.01)</f>
        <v>0.36</v>
      </c>
    </row>
    <row r="34" spans="1:9" ht="15.75">
      <c r="A34" s="125" t="s">
        <v>361</v>
      </c>
      <c r="B34" s="49"/>
      <c r="C34" s="49"/>
      <c r="D34" s="49"/>
      <c r="E34" s="49"/>
      <c r="F34" s="49"/>
      <c r="G34" s="49"/>
      <c r="H34" s="49"/>
      <c r="I34" s="49"/>
    </row>
    <row r="35" spans="1:11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13.5" thickBo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15">
      <c r="A37" s="126"/>
      <c r="B37" s="1606" t="s">
        <v>542</v>
      </c>
      <c r="C37" s="1607"/>
      <c r="D37" s="1607"/>
      <c r="E37" s="1607"/>
      <c r="F37" s="1607"/>
      <c r="G37" s="1607"/>
      <c r="H37" s="1607"/>
      <c r="I37" s="1607"/>
      <c r="J37" s="1607"/>
      <c r="K37" s="1608"/>
    </row>
    <row r="38" spans="1:11" ht="36">
      <c r="A38" s="38"/>
      <c r="B38" s="1008" t="s">
        <v>294</v>
      </c>
      <c r="C38" s="1008" t="s">
        <v>295</v>
      </c>
      <c r="D38" s="1008" t="s">
        <v>296</v>
      </c>
      <c r="E38" s="1008" t="s">
        <v>297</v>
      </c>
      <c r="F38" s="1008" t="s">
        <v>298</v>
      </c>
      <c r="G38" s="1008" t="s">
        <v>299</v>
      </c>
      <c r="H38" s="1008" t="s">
        <v>300</v>
      </c>
      <c r="I38" s="1008" t="s">
        <v>301</v>
      </c>
      <c r="J38" s="1008" t="s">
        <v>302</v>
      </c>
      <c r="K38" s="1009" t="s">
        <v>303</v>
      </c>
    </row>
    <row r="39" spans="1:11" ht="12.75">
      <c r="A39" s="39" t="s">
        <v>7</v>
      </c>
      <c r="B39" s="20">
        <v>757251.1320400005</v>
      </c>
      <c r="C39" s="20">
        <v>42941.84486999999</v>
      </c>
      <c r="D39" s="20">
        <v>27738.42265</v>
      </c>
      <c r="E39" s="20">
        <v>20673.98979</v>
      </c>
      <c r="F39" s="20"/>
      <c r="G39" s="20"/>
      <c r="H39" s="20"/>
      <c r="I39" s="20">
        <f aca="true" t="shared" si="4" ref="I39:I59">B39-C39-D39-E39</f>
        <v>665896.8747300005</v>
      </c>
      <c r="J39" s="20">
        <v>141515.09813000011</v>
      </c>
      <c r="K39" s="763">
        <f>J39/I39</f>
        <v>0.21251803920446372</v>
      </c>
    </row>
    <row r="40" spans="1:11" ht="12.75">
      <c r="A40" s="39" t="s">
        <v>8</v>
      </c>
      <c r="B40" s="20">
        <v>618886.1055399999</v>
      </c>
      <c r="C40" s="20">
        <v>13982.833190000003</v>
      </c>
      <c r="D40" s="20">
        <v>5083.72722</v>
      </c>
      <c r="E40" s="20">
        <v>16699.04043</v>
      </c>
      <c r="F40" s="20"/>
      <c r="G40" s="20"/>
      <c r="H40" s="20"/>
      <c r="I40" s="20">
        <f t="shared" si="4"/>
        <v>583120.5046999998</v>
      </c>
      <c r="J40" s="20">
        <v>126001.03289999999</v>
      </c>
      <c r="K40" s="763">
        <f aca="true" t="shared" si="5" ref="K40:K60">J40/I40</f>
        <v>0.2160806074978005</v>
      </c>
    </row>
    <row r="41" spans="1:11" ht="12.75">
      <c r="A41" s="39" t="s">
        <v>9</v>
      </c>
      <c r="B41" s="20">
        <v>211803.33041000014</v>
      </c>
      <c r="C41" s="20">
        <v>7464.7503799999995</v>
      </c>
      <c r="D41" s="20">
        <v>1808.0799999999997</v>
      </c>
      <c r="E41" s="20">
        <v>2188.17695</v>
      </c>
      <c r="F41" s="20"/>
      <c r="G41" s="20"/>
      <c r="H41" s="20"/>
      <c r="I41" s="20">
        <f t="shared" si="4"/>
        <v>200342.32308000015</v>
      </c>
      <c r="J41" s="20">
        <v>38960.397690000005</v>
      </c>
      <c r="K41" s="763">
        <f t="shared" si="5"/>
        <v>0.19446913208869224</v>
      </c>
    </row>
    <row r="42" spans="1:11" ht="12.75">
      <c r="A42" s="39" t="s">
        <v>10</v>
      </c>
      <c r="B42" s="20">
        <v>291657.40934</v>
      </c>
      <c r="C42" s="20">
        <v>10581.99038</v>
      </c>
      <c r="D42" s="20">
        <v>4321.589180000001</v>
      </c>
      <c r="E42" s="20">
        <v>264</v>
      </c>
      <c r="F42" s="20"/>
      <c r="G42" s="20"/>
      <c r="H42" s="20"/>
      <c r="I42" s="20">
        <f t="shared" si="4"/>
        <v>276489.82978000003</v>
      </c>
      <c r="J42" s="20">
        <v>72056.57469000001</v>
      </c>
      <c r="K42" s="763">
        <f t="shared" si="5"/>
        <v>0.2606120259372095</v>
      </c>
    </row>
    <row r="43" spans="1:11" ht="12.75">
      <c r="A43" s="39" t="s">
        <v>11</v>
      </c>
      <c r="B43" s="20">
        <v>1138631.7248300002</v>
      </c>
      <c r="C43" s="20">
        <v>61028.20412000001</v>
      </c>
      <c r="D43" s="20">
        <v>114136.05157999998</v>
      </c>
      <c r="E43" s="20">
        <v>58425.45483</v>
      </c>
      <c r="F43" s="20"/>
      <c r="G43" s="20"/>
      <c r="H43" s="20"/>
      <c r="I43" s="20">
        <f t="shared" si="4"/>
        <v>905042.0143000004</v>
      </c>
      <c r="J43" s="20">
        <v>475797.4152500002</v>
      </c>
      <c r="K43" s="763">
        <f t="shared" si="5"/>
        <v>0.5257185939793115</v>
      </c>
    </row>
    <row r="44" spans="1:11" ht="12.75">
      <c r="A44" s="39" t="s">
        <v>12</v>
      </c>
      <c r="B44" s="20">
        <v>306407.06458999973</v>
      </c>
      <c r="C44" s="20">
        <v>5519.31962</v>
      </c>
      <c r="D44" s="20">
        <v>18040.64028</v>
      </c>
      <c r="E44" s="20">
        <v>11671.820000000002</v>
      </c>
      <c r="F44" s="20"/>
      <c r="G44" s="20"/>
      <c r="H44" s="20"/>
      <c r="I44" s="20">
        <f t="shared" si="4"/>
        <v>271175.2846899997</v>
      </c>
      <c r="J44" s="20">
        <v>90016.5256800001</v>
      </c>
      <c r="K44" s="763">
        <f t="shared" si="5"/>
        <v>0.3319495940896847</v>
      </c>
    </row>
    <row r="45" spans="1:11" ht="12.75">
      <c r="A45" s="39" t="s">
        <v>13</v>
      </c>
      <c r="B45" s="20">
        <v>309821.4383799998</v>
      </c>
      <c r="C45" s="20">
        <v>12638.626160000002</v>
      </c>
      <c r="D45" s="20">
        <v>7175.501810000001</v>
      </c>
      <c r="E45" s="20">
        <v>1049.092</v>
      </c>
      <c r="F45" s="20"/>
      <c r="G45" s="20"/>
      <c r="H45" s="20"/>
      <c r="I45" s="20">
        <f t="shared" si="4"/>
        <v>288958.2184099998</v>
      </c>
      <c r="J45" s="20">
        <v>60731.53648000001</v>
      </c>
      <c r="K45" s="763">
        <f t="shared" si="5"/>
        <v>0.21017411034085443</v>
      </c>
    </row>
    <row r="46" spans="1:11" ht="12.75">
      <c r="A46" s="39" t="s">
        <v>14</v>
      </c>
      <c r="B46" s="20">
        <v>138543.55656999987</v>
      </c>
      <c r="C46" s="20">
        <v>7467.034970000001</v>
      </c>
      <c r="D46" s="20">
        <v>3276.017</v>
      </c>
      <c r="E46" s="20">
        <v>-114.10838000000001</v>
      </c>
      <c r="F46" s="20"/>
      <c r="G46" s="20"/>
      <c r="H46" s="20"/>
      <c r="I46" s="20">
        <f t="shared" si="4"/>
        <v>127914.61297999987</v>
      </c>
      <c r="J46" s="20">
        <v>6428.32589</v>
      </c>
      <c r="K46" s="763">
        <f t="shared" si="5"/>
        <v>0.05025482030739602</v>
      </c>
    </row>
    <row r="47" spans="1:11" ht="12.75">
      <c r="A47" s="39" t="s">
        <v>15</v>
      </c>
      <c r="B47" s="20">
        <v>209961.1492699999</v>
      </c>
      <c r="C47" s="20">
        <v>8764.7062</v>
      </c>
      <c r="D47" s="20">
        <v>6560.03413</v>
      </c>
      <c r="E47" s="20">
        <v>12275.557799999999</v>
      </c>
      <c r="F47" s="20"/>
      <c r="G47" s="20"/>
      <c r="H47" s="20"/>
      <c r="I47" s="20">
        <f t="shared" si="4"/>
        <v>182360.85113999993</v>
      </c>
      <c r="J47" s="20">
        <v>17735.371180000002</v>
      </c>
      <c r="K47" s="763">
        <f t="shared" si="5"/>
        <v>0.09725426849639132</v>
      </c>
    </row>
    <row r="48" spans="1:11" ht="12.75">
      <c r="A48" s="39" t="s">
        <v>233</v>
      </c>
      <c r="B48" s="20">
        <v>721278.4652099997</v>
      </c>
      <c r="C48" s="20">
        <v>47154.45469</v>
      </c>
      <c r="D48" s="20">
        <v>160439.50894</v>
      </c>
      <c r="E48" s="20">
        <v>13843.52701</v>
      </c>
      <c r="F48" s="20"/>
      <c r="G48" s="20"/>
      <c r="H48" s="20"/>
      <c r="I48" s="20">
        <f t="shared" si="4"/>
        <v>499840.9745699997</v>
      </c>
      <c r="J48" s="20">
        <v>356929.34366999974</v>
      </c>
      <c r="K48" s="763">
        <f t="shared" si="5"/>
        <v>0.71408580294374</v>
      </c>
    </row>
    <row r="49" spans="1:11" ht="12.75">
      <c r="A49" s="40" t="s">
        <v>304</v>
      </c>
      <c r="B49" s="22">
        <v>132333.75420999998</v>
      </c>
      <c r="C49" s="22">
        <v>5.09016</v>
      </c>
      <c r="D49" s="22">
        <v>5161.25274</v>
      </c>
      <c r="E49" s="22">
        <v>90521.69286000001</v>
      </c>
      <c r="F49" s="22"/>
      <c r="G49" s="22"/>
      <c r="H49" s="22"/>
      <c r="I49" s="23">
        <f t="shared" si="4"/>
        <v>36645.718449999986</v>
      </c>
      <c r="J49" s="23">
        <v>28592.297110000007</v>
      </c>
      <c r="K49" s="764">
        <f t="shared" si="5"/>
        <v>0.780235681530212</v>
      </c>
    </row>
    <row r="50" spans="1:11" ht="12.75">
      <c r="A50" s="40" t="s">
        <v>71</v>
      </c>
      <c r="B50" s="22">
        <v>216378.10815999997</v>
      </c>
      <c r="C50" s="22">
        <v>0</v>
      </c>
      <c r="D50" s="22">
        <v>4141.055</v>
      </c>
      <c r="E50" s="22">
        <v>0</v>
      </c>
      <c r="F50" s="22"/>
      <c r="G50" s="22"/>
      <c r="H50" s="22"/>
      <c r="I50" s="23">
        <f t="shared" si="4"/>
        <v>212237.05315999998</v>
      </c>
      <c r="J50" s="23">
        <v>0</v>
      </c>
      <c r="K50" s="764">
        <f t="shared" si="5"/>
        <v>0</v>
      </c>
    </row>
    <row r="51" spans="1:11" ht="12.75">
      <c r="A51" s="40" t="s">
        <v>241</v>
      </c>
      <c r="B51" s="22">
        <v>140683.37912000003</v>
      </c>
      <c r="C51" s="22">
        <v>2469.76606</v>
      </c>
      <c r="D51" s="22">
        <v>121540.35204999999</v>
      </c>
      <c r="E51" s="22">
        <v>0</v>
      </c>
      <c r="F51" s="22"/>
      <c r="G51" s="22"/>
      <c r="H51" s="22"/>
      <c r="I51" s="23">
        <f t="shared" si="4"/>
        <v>16673.261010000046</v>
      </c>
      <c r="J51" s="23">
        <v>0</v>
      </c>
      <c r="K51" s="764">
        <f t="shared" si="5"/>
        <v>0</v>
      </c>
    </row>
    <row r="52" spans="1:11" ht="12.75">
      <c r="A52" s="40" t="s">
        <v>83</v>
      </c>
      <c r="B52" s="22">
        <v>17446.561709999994</v>
      </c>
      <c r="C52" s="22">
        <v>3149.00288</v>
      </c>
      <c r="D52" s="22">
        <v>2537.1731999999997</v>
      </c>
      <c r="E52" s="22">
        <v>1320.3640500000001</v>
      </c>
      <c r="F52" s="22"/>
      <c r="G52" s="22"/>
      <c r="H52" s="22"/>
      <c r="I52" s="23">
        <f t="shared" si="4"/>
        <v>10440.021579999995</v>
      </c>
      <c r="J52" s="23">
        <v>0</v>
      </c>
      <c r="K52" s="764">
        <f t="shared" si="5"/>
        <v>0</v>
      </c>
    </row>
    <row r="53" spans="1:11" ht="12.75">
      <c r="A53" s="40" t="s">
        <v>82</v>
      </c>
      <c r="B53" s="22">
        <v>51166.381039999986</v>
      </c>
      <c r="C53" s="22">
        <v>2716.54029</v>
      </c>
      <c r="D53" s="22">
        <v>775.6134999999999</v>
      </c>
      <c r="E53" s="22">
        <v>1677.13785</v>
      </c>
      <c r="F53" s="22"/>
      <c r="G53" s="22"/>
      <c r="H53" s="22"/>
      <c r="I53" s="23">
        <f t="shared" si="4"/>
        <v>45997.08939999999</v>
      </c>
      <c r="J53" s="23">
        <v>97</v>
      </c>
      <c r="K53" s="764">
        <f t="shared" si="5"/>
        <v>0.0021088290860421274</v>
      </c>
    </row>
    <row r="54" spans="1:11" ht="12.75">
      <c r="A54" s="40" t="s">
        <v>106</v>
      </c>
      <c r="B54" s="22">
        <v>114953.90716000005</v>
      </c>
      <c r="C54" s="22">
        <v>26785.57705</v>
      </c>
      <c r="D54" s="22">
        <v>206.73700000000005</v>
      </c>
      <c r="E54" s="22">
        <v>8003.7497</v>
      </c>
      <c r="F54" s="22"/>
      <c r="G54" s="22"/>
      <c r="H54" s="22"/>
      <c r="I54" s="23">
        <f t="shared" si="4"/>
        <v>79957.84341000004</v>
      </c>
      <c r="J54" s="23">
        <v>3367.74364</v>
      </c>
      <c r="K54" s="764">
        <f t="shared" si="5"/>
        <v>0.042118990412625464</v>
      </c>
    </row>
    <row r="55" spans="1:11" ht="12.75">
      <c r="A55" s="40" t="s">
        <v>135</v>
      </c>
      <c r="B55" s="22">
        <v>20288.583240000004</v>
      </c>
      <c r="C55" s="22">
        <v>528.88937</v>
      </c>
      <c r="D55" s="22">
        <v>302.495</v>
      </c>
      <c r="E55" s="22">
        <v>0</v>
      </c>
      <c r="F55" s="22"/>
      <c r="G55" s="22"/>
      <c r="H55" s="22"/>
      <c r="I55" s="23">
        <f t="shared" si="4"/>
        <v>19457.198870000004</v>
      </c>
      <c r="J55" s="23">
        <v>16131.12273</v>
      </c>
      <c r="K55" s="764">
        <f t="shared" si="5"/>
        <v>0.8290567844722859</v>
      </c>
    </row>
    <row r="56" spans="1:11" ht="12.75">
      <c r="A56" s="41" t="s">
        <v>17</v>
      </c>
      <c r="B56" s="21">
        <v>318575.93389999995</v>
      </c>
      <c r="C56" s="21">
        <v>7033.201419999999</v>
      </c>
      <c r="D56" s="21">
        <v>93768.30204</v>
      </c>
      <c r="E56" s="21">
        <v>1516.8045200000001</v>
      </c>
      <c r="F56" s="21"/>
      <c r="G56" s="21"/>
      <c r="H56" s="21"/>
      <c r="I56" s="23">
        <f t="shared" si="4"/>
        <v>216257.62591999996</v>
      </c>
      <c r="J56" s="23">
        <v>74503.74746000001</v>
      </c>
      <c r="K56" s="765">
        <f t="shared" si="5"/>
        <v>0.34451385075114593</v>
      </c>
    </row>
    <row r="57" spans="1:11" ht="12.75">
      <c r="A57" s="40" t="s">
        <v>24</v>
      </c>
      <c r="B57" s="22">
        <v>61440.29264999996</v>
      </c>
      <c r="C57" s="22">
        <v>0</v>
      </c>
      <c r="D57" s="22">
        <v>97.608</v>
      </c>
      <c r="E57" s="22">
        <v>6527.611129999999</v>
      </c>
      <c r="F57" s="22"/>
      <c r="G57" s="22"/>
      <c r="H57" s="22"/>
      <c r="I57" s="23">
        <f t="shared" si="4"/>
        <v>54815.07351999996</v>
      </c>
      <c r="J57" s="23">
        <v>406</v>
      </c>
      <c r="K57" s="764">
        <f t="shared" si="5"/>
        <v>0.00740672179983241</v>
      </c>
    </row>
    <row r="58" spans="1:11" ht="12.75">
      <c r="A58" s="40" t="s">
        <v>25</v>
      </c>
      <c r="B58" s="22">
        <v>279883.19853000017</v>
      </c>
      <c r="C58" s="22">
        <v>85153.70311999999</v>
      </c>
      <c r="D58" s="22">
        <v>0</v>
      </c>
      <c r="E58" s="22">
        <v>38118.02745</v>
      </c>
      <c r="F58" s="22"/>
      <c r="G58" s="22"/>
      <c r="H58" s="22"/>
      <c r="I58" s="23">
        <f t="shared" si="4"/>
        <v>156611.46796000018</v>
      </c>
      <c r="J58" s="23">
        <v>0</v>
      </c>
      <c r="K58" s="764">
        <f t="shared" si="5"/>
        <v>0</v>
      </c>
    </row>
    <row r="59" spans="1:11" ht="12.75">
      <c r="A59" s="41" t="s">
        <v>18</v>
      </c>
      <c r="B59" s="21">
        <v>410013.66603999934</v>
      </c>
      <c r="C59" s="21">
        <v>47196.57089999999</v>
      </c>
      <c r="D59" s="21">
        <v>7063.99002</v>
      </c>
      <c r="E59" s="21">
        <v>0</v>
      </c>
      <c r="F59" s="21"/>
      <c r="G59" s="21"/>
      <c r="H59" s="21"/>
      <c r="I59" s="23">
        <f t="shared" si="4"/>
        <v>355753.1051199993</v>
      </c>
      <c r="J59" s="23">
        <v>24341.894290000007</v>
      </c>
      <c r="K59" s="765">
        <f t="shared" si="5"/>
        <v>0.06842356100248015</v>
      </c>
    </row>
    <row r="60" spans="1:11" ht="13.5" thickBot="1">
      <c r="A60" s="42" t="s">
        <v>73</v>
      </c>
      <c r="B60" s="43">
        <f aca="true" t="shared" si="6" ref="B60:J60">SUM(B39:B59)</f>
        <v>6467405.14194</v>
      </c>
      <c r="C60" s="43">
        <f t="shared" si="6"/>
        <v>392582.10582999996</v>
      </c>
      <c r="D60" s="43">
        <f t="shared" si="6"/>
        <v>584174.1513400001</v>
      </c>
      <c r="E60" s="43">
        <f t="shared" si="6"/>
        <v>284661.93799000006</v>
      </c>
      <c r="F60" s="43">
        <f t="shared" si="6"/>
        <v>0</v>
      </c>
      <c r="G60" s="43">
        <f t="shared" si="6"/>
        <v>0</v>
      </c>
      <c r="H60" s="43">
        <f t="shared" si="6"/>
        <v>0</v>
      </c>
      <c r="I60" s="43">
        <f t="shared" si="6"/>
        <v>5205986.94678</v>
      </c>
      <c r="J60" s="43">
        <f t="shared" si="6"/>
        <v>1533611.42679</v>
      </c>
      <c r="K60" s="766">
        <f t="shared" si="5"/>
        <v>0.29458610681660796</v>
      </c>
    </row>
    <row r="61" spans="1:11" ht="12.75">
      <c r="A61" s="24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5.75">
      <c r="A62" s="44" t="s">
        <v>355</v>
      </c>
      <c r="B62" s="127"/>
      <c r="C62" s="128"/>
      <c r="D62" s="128"/>
      <c r="E62" s="128"/>
      <c r="F62" s="128"/>
      <c r="G62" s="128"/>
      <c r="H62" s="128"/>
      <c r="I62" s="767">
        <f>SUM(I39:I48)</f>
        <v>4001141.4883799995</v>
      </c>
      <c r="J62" s="767">
        <f>SUM(J39:J48)</f>
        <v>1386171.62156</v>
      </c>
      <c r="K62" s="1032">
        <f>J62/I62</f>
        <v>0.3464440399285254</v>
      </c>
    </row>
    <row r="63" spans="1:1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1037">
        <f>K62-0.01</f>
        <v>0.3364440399285254</v>
      </c>
    </row>
  </sheetData>
  <sheetProtection/>
  <mergeCells count="2">
    <mergeCell ref="B37:K37"/>
    <mergeCell ref="B5:K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K44"/>
  <sheetViews>
    <sheetView showGridLines="0" zoomScalePageLayoutView="0" workbookViewId="0" topLeftCell="V1">
      <selection activeCell="AI12" sqref="AI12"/>
    </sheetView>
  </sheetViews>
  <sheetFormatPr defaultColWidth="8.75390625" defaultRowHeight="12.75"/>
  <cols>
    <col min="1" max="1" width="4.125" style="49" customWidth="1"/>
    <col min="2" max="2" width="6.375" style="49" customWidth="1"/>
    <col min="3" max="3" width="8.375" style="49" customWidth="1"/>
    <col min="4" max="4" width="6.25390625" style="49" customWidth="1"/>
    <col min="5" max="5" width="8.75390625" style="49" customWidth="1"/>
    <col min="6" max="6" width="9.375" style="49" customWidth="1"/>
    <col min="7" max="7" width="6.25390625" style="49" customWidth="1"/>
    <col min="8" max="8" width="8.125" style="49" customWidth="1"/>
    <col min="9" max="9" width="9.125" style="49" customWidth="1"/>
    <col min="10" max="10" width="6.25390625" style="49" customWidth="1"/>
    <col min="11" max="11" width="8.125" style="49" customWidth="1"/>
    <col min="12" max="12" width="7.875" style="49" customWidth="1"/>
    <col min="13" max="13" width="6.25390625" style="49" customWidth="1"/>
    <col min="14" max="14" width="8.125" style="49" customWidth="1"/>
    <col min="15" max="15" width="6.25390625" style="49" customWidth="1"/>
    <col min="16" max="16" width="7.125" style="49" customWidth="1"/>
    <col min="17" max="17" width="5.375" style="49" customWidth="1"/>
    <col min="18" max="18" width="6.875" style="49" customWidth="1"/>
    <col min="19" max="19" width="7.875" style="49" customWidth="1"/>
    <col min="20" max="20" width="7.25390625" style="49" customWidth="1"/>
    <col min="21" max="21" width="8.75390625" style="49" customWidth="1"/>
    <col min="22" max="22" width="7.875" style="49" customWidth="1"/>
    <col min="23" max="23" width="6.25390625" style="49" customWidth="1"/>
    <col min="24" max="24" width="6.625" style="49" customWidth="1"/>
    <col min="25" max="25" width="9.625" style="49" customWidth="1"/>
    <col min="26" max="26" width="5.75390625" style="49" customWidth="1"/>
    <col min="27" max="27" width="8.75390625" style="49" customWidth="1"/>
    <col min="28" max="28" width="9.875" style="49" customWidth="1"/>
    <col min="29" max="29" width="5.75390625" style="49" customWidth="1"/>
    <col min="30" max="30" width="8.75390625" style="49" customWidth="1"/>
    <col min="31" max="31" width="8.875" style="49" customWidth="1"/>
    <col min="32" max="32" width="5.75390625" style="49" customWidth="1"/>
    <col min="33" max="33" width="8.75390625" style="49" customWidth="1"/>
    <col min="34" max="34" width="9.375" style="49" bestFit="1" customWidth="1"/>
    <col min="35" max="35" width="7.625" style="49" customWidth="1"/>
    <col min="36" max="16384" width="8.75390625" style="49" customWidth="1"/>
  </cols>
  <sheetData>
    <row r="1" spans="1:33" s="202" customFormat="1" ht="15.75">
      <c r="A1" s="760" t="s">
        <v>719</v>
      </c>
      <c r="H1" s="202" t="s">
        <v>419</v>
      </c>
      <c r="K1" s="761">
        <f>str1!H7</f>
        <v>434077.92</v>
      </c>
      <c r="AF1" s="1013" t="s">
        <v>395</v>
      </c>
      <c r="AG1" s="750">
        <f>D3+G3+J3+M3+R3+T3+W3+Z3+AC3+AF3</f>
        <v>1</v>
      </c>
    </row>
    <row r="2" ht="13.5" thickBot="1">
      <c r="A2" s="123"/>
    </row>
    <row r="3" spans="1:36" ht="12.75" customHeight="1">
      <c r="A3" s="1518"/>
      <c r="B3" s="1519"/>
      <c r="C3" s="227"/>
      <c r="D3" s="1012">
        <f>34.3%+3.5%</f>
        <v>0.378</v>
      </c>
      <c r="E3" s="229"/>
      <c r="F3" s="227"/>
      <c r="G3" s="228">
        <v>0.04</v>
      </c>
      <c r="H3" s="229"/>
      <c r="I3" s="227"/>
      <c r="J3" s="228">
        <v>0.04</v>
      </c>
      <c r="K3" s="229"/>
      <c r="L3" s="227"/>
      <c r="M3" s="228">
        <v>0</v>
      </c>
      <c r="N3" s="229"/>
      <c r="O3" s="231">
        <v>2.5</v>
      </c>
      <c r="P3" s="232">
        <v>1.5</v>
      </c>
      <c r="Q3" s="233" t="s">
        <v>203</v>
      </c>
      <c r="R3" s="1011">
        <v>0.026</v>
      </c>
      <c r="S3" s="230"/>
      <c r="T3" s="228">
        <v>0.16</v>
      </c>
      <c r="U3" s="229"/>
      <c r="V3" s="230"/>
      <c r="W3" s="1011">
        <v>0.026</v>
      </c>
      <c r="X3" s="229"/>
      <c r="Y3" s="230"/>
      <c r="Z3" s="228">
        <v>0.04</v>
      </c>
      <c r="AA3" s="229"/>
      <c r="AB3" s="230"/>
      <c r="AC3" s="1012">
        <v>0.145</v>
      </c>
      <c r="AD3" s="229"/>
      <c r="AE3" s="230"/>
      <c r="AF3" s="1012">
        <v>0.145</v>
      </c>
      <c r="AG3" s="229"/>
      <c r="AH3" s="1526" t="s">
        <v>398</v>
      </c>
      <c r="AI3" s="1528" t="s">
        <v>676</v>
      </c>
      <c r="AJ3" s="1530" t="s">
        <v>677</v>
      </c>
    </row>
    <row r="4" spans="1:36" s="237" customFormat="1" ht="69.75" customHeight="1" thickBot="1">
      <c r="A4" s="1524" t="s">
        <v>248</v>
      </c>
      <c r="B4" s="1525"/>
      <c r="C4" s="234" t="s">
        <v>532</v>
      </c>
      <c r="D4" s="235" t="s">
        <v>21</v>
      </c>
      <c r="E4" s="236" t="s">
        <v>249</v>
      </c>
      <c r="F4" s="234" t="s">
        <v>375</v>
      </c>
      <c r="G4" s="235" t="s">
        <v>21</v>
      </c>
      <c r="H4" s="236" t="s">
        <v>250</v>
      </c>
      <c r="I4" s="234" t="s">
        <v>376</v>
      </c>
      <c r="J4" s="235" t="s">
        <v>21</v>
      </c>
      <c r="K4" s="236" t="s">
        <v>251</v>
      </c>
      <c r="L4" s="234" t="s">
        <v>396</v>
      </c>
      <c r="M4" s="235" t="s">
        <v>21</v>
      </c>
      <c r="N4" s="236" t="s">
        <v>397</v>
      </c>
      <c r="O4" s="234" t="s">
        <v>244</v>
      </c>
      <c r="P4" s="235" t="s">
        <v>245</v>
      </c>
      <c r="Q4" s="235" t="s">
        <v>203</v>
      </c>
      <c r="R4" s="236" t="s">
        <v>377</v>
      </c>
      <c r="S4" s="234" t="s">
        <v>429</v>
      </c>
      <c r="T4" s="235" t="s">
        <v>21</v>
      </c>
      <c r="U4" s="236" t="s">
        <v>378</v>
      </c>
      <c r="V4" s="234" t="s">
        <v>204</v>
      </c>
      <c r="W4" s="235" t="s">
        <v>21</v>
      </c>
      <c r="X4" s="236" t="s">
        <v>379</v>
      </c>
      <c r="Y4" s="234" t="s">
        <v>380</v>
      </c>
      <c r="Z4" s="235" t="s">
        <v>21</v>
      </c>
      <c r="AA4" s="236" t="s">
        <v>381</v>
      </c>
      <c r="AB4" s="234" t="s">
        <v>382</v>
      </c>
      <c r="AC4" s="235" t="s">
        <v>21</v>
      </c>
      <c r="AD4" s="236" t="s">
        <v>383</v>
      </c>
      <c r="AE4" s="234" t="s">
        <v>386</v>
      </c>
      <c r="AF4" s="235" t="s">
        <v>21</v>
      </c>
      <c r="AG4" s="236" t="s">
        <v>384</v>
      </c>
      <c r="AH4" s="1527"/>
      <c r="AI4" s="1529"/>
      <c r="AJ4" s="1531"/>
    </row>
    <row r="5" spans="1:36" s="237" customFormat="1" ht="12" thickBot="1">
      <c r="A5" s="238"/>
      <c r="B5" s="239"/>
      <c r="C5" s="234"/>
      <c r="D5" s="235"/>
      <c r="E5" s="236" t="s">
        <v>252</v>
      </c>
      <c r="F5" s="234"/>
      <c r="G5" s="235"/>
      <c r="H5" s="236" t="s">
        <v>253</v>
      </c>
      <c r="I5" s="234"/>
      <c r="J5" s="235"/>
      <c r="K5" s="236" t="s">
        <v>254</v>
      </c>
      <c r="L5" s="234"/>
      <c r="M5" s="235"/>
      <c r="N5" s="236" t="s">
        <v>255</v>
      </c>
      <c r="O5" s="234"/>
      <c r="P5" s="235"/>
      <c r="Q5" s="235"/>
      <c r="R5" s="236" t="s">
        <v>256</v>
      </c>
      <c r="S5" s="234"/>
      <c r="T5" s="235"/>
      <c r="U5" s="236" t="s">
        <v>257</v>
      </c>
      <c r="V5" s="234"/>
      <c r="W5" s="235"/>
      <c r="X5" s="236" t="s">
        <v>258</v>
      </c>
      <c r="Y5" s="234"/>
      <c r="Z5" s="235"/>
      <c r="AA5" s="236" t="s">
        <v>259</v>
      </c>
      <c r="AB5" s="234"/>
      <c r="AC5" s="235"/>
      <c r="AD5" s="236" t="s">
        <v>260</v>
      </c>
      <c r="AE5" s="234"/>
      <c r="AF5" s="235"/>
      <c r="AG5" s="236" t="s">
        <v>385</v>
      </c>
      <c r="AH5" s="240" t="s">
        <v>678</v>
      </c>
      <c r="AI5" s="1500" t="s">
        <v>679</v>
      </c>
      <c r="AJ5" s="1506">
        <v>13</v>
      </c>
    </row>
    <row r="6" spans="1:37" ht="13.5" thickBot="1">
      <c r="A6" s="241">
        <v>11</v>
      </c>
      <c r="B6" s="242" t="s">
        <v>7</v>
      </c>
      <c r="C6" s="243">
        <v>31175.64907803118</v>
      </c>
      <c r="D6" s="258">
        <f>C6/$C$18</f>
        <v>0.12977403910071864</v>
      </c>
      <c r="E6" s="244">
        <f aca="true" t="shared" si="0" ref="E6:E17">D6*$K$1*$D$3</f>
        <v>21293.512995952995</v>
      </c>
      <c r="F6" s="243">
        <v>68901</v>
      </c>
      <c r="G6" s="245">
        <f>F6/$F$18</f>
        <v>0.10351028477684768</v>
      </c>
      <c r="H6" s="244">
        <f aca="true" t="shared" si="1" ref="H6:H17">G6*$K$1*$G$3</f>
        <v>1797.261164581668</v>
      </c>
      <c r="I6" s="243">
        <v>147796.42208999998</v>
      </c>
      <c r="J6" s="245">
        <f>I6/$I$18</f>
        <v>0.43056818703970884</v>
      </c>
      <c r="K6" s="244">
        <f aca="true" t="shared" si="2" ref="K6:K17">J6*$J$3*$K$1</f>
        <v>7476.00572193471</v>
      </c>
      <c r="L6" s="243"/>
      <c r="M6" s="245">
        <f>IF($L$18=0,0,L6/$L$18)</f>
        <v>0</v>
      </c>
      <c r="N6" s="244">
        <f aca="true" t="shared" si="3" ref="N6:N17">M6*$M$3*$K$1</f>
        <v>0</v>
      </c>
      <c r="O6" s="243">
        <v>59.1033653846153</v>
      </c>
      <c r="P6" s="245">
        <v>47.3346153846153</v>
      </c>
      <c r="Q6" s="194">
        <f>O6*$O$3+P6*$P$3</f>
        <v>218.76033653846122</v>
      </c>
      <c r="R6" s="244">
        <f aca="true" t="shared" si="4" ref="R6:R17">Q6/$Q$18*$K$1*$R$3</f>
        <v>2605.429919895892</v>
      </c>
      <c r="S6" s="243">
        <v>1794.146625697102</v>
      </c>
      <c r="T6" s="245">
        <f>S6/$S$18</f>
        <v>0.19173665971329484</v>
      </c>
      <c r="U6" s="244">
        <f aca="true" t="shared" si="5" ref="U6:U17">T6*$K$1*$T$3</f>
        <v>13316.58406977517</v>
      </c>
      <c r="V6" s="243">
        <v>1130</v>
      </c>
      <c r="W6" s="245">
        <f>V6/$V$18</f>
        <v>0.18822353627050886</v>
      </c>
      <c r="X6" s="244">
        <f aca="true" t="shared" si="6" ref="X6:X17">W6*$W$3*$K$1</f>
        <v>2124.295709103023</v>
      </c>
      <c r="Y6" s="243">
        <v>593</v>
      </c>
      <c r="Z6" s="245">
        <f>Y6/$Y$18</f>
        <v>0.8002699055330634</v>
      </c>
      <c r="AA6" s="244">
        <f aca="true" t="shared" si="7" ref="AA6:AA17">Z6*$K$1*$Z$3</f>
        <v>13895.179841295547</v>
      </c>
      <c r="AB6" s="193">
        <v>11407</v>
      </c>
      <c r="AC6" s="245">
        <f>AB6/$AB$18</f>
        <v>0.04622204573174438</v>
      </c>
      <c r="AD6" s="244">
        <f aca="true" t="shared" si="8" ref="AD6:AD17">AC6*$K$1*$AC$3</f>
        <v>2909.275573060169</v>
      </c>
      <c r="AE6" s="193">
        <v>1622</v>
      </c>
      <c r="AF6" s="245">
        <f>AE6/$AE$18</f>
        <v>0.0466266133900595</v>
      </c>
      <c r="AG6" s="244">
        <f aca="true" t="shared" si="9" ref="AG6:AG17">AF6*$AF$3*$K$1</f>
        <v>2934.7395867651708</v>
      </c>
      <c r="AH6" s="1449">
        <f>E6+H6+K6+R6+U6+X6+AA6+AD6+AG6+N6</f>
        <v>68352.28458236434</v>
      </c>
      <c r="AI6" s="1501">
        <v>-27.996413003276242</v>
      </c>
      <c r="AJ6" s="1504">
        <f>AH6+AI6</f>
        <v>68324.28816936107</v>
      </c>
      <c r="AK6" s="124"/>
    </row>
    <row r="7" spans="1:37" ht="13.5" thickBot="1">
      <c r="A7" s="192">
        <v>21</v>
      </c>
      <c r="B7" s="246" t="s">
        <v>8</v>
      </c>
      <c r="C7" s="243">
        <v>28645.387</v>
      </c>
      <c r="D7" s="258">
        <f aca="true" t="shared" si="10" ref="D7:D17">C7/$C$18</f>
        <v>0.11924138494402062</v>
      </c>
      <c r="E7" s="244">
        <f t="shared" si="0"/>
        <v>19565.29978997068</v>
      </c>
      <c r="F7" s="243">
        <v>60541</v>
      </c>
      <c r="G7" s="245">
        <f aca="true" t="shared" si="11" ref="G7:G17">F7/$F$18</f>
        <v>0.09095101886293575</v>
      </c>
      <c r="H7" s="244">
        <f t="shared" si="1"/>
        <v>1579.1931635961566</v>
      </c>
      <c r="I7" s="243">
        <v>13616.713840000008</v>
      </c>
      <c r="J7" s="245">
        <f aca="true" t="shared" si="12" ref="J7:J17">I7/$I$18</f>
        <v>0.039668915584148</v>
      </c>
      <c r="K7" s="244">
        <f t="shared" si="2"/>
        <v>688.7760146169019</v>
      </c>
      <c r="L7" s="243"/>
      <c r="M7" s="245">
        <f aca="true" t="shared" si="13" ref="M7:M17">IF($L$18=0,0,L7/$L$18)</f>
        <v>0</v>
      </c>
      <c r="N7" s="244">
        <f t="shared" si="3"/>
        <v>0</v>
      </c>
      <c r="O7" s="243">
        <v>25.9407692307692</v>
      </c>
      <c r="P7" s="245">
        <v>48.8230769230769</v>
      </c>
      <c r="Q7" s="194">
        <f aca="true" t="shared" si="14" ref="Q7:Q17">O7*$O$3+P7*$P$3</f>
        <v>138.08653846153834</v>
      </c>
      <c r="R7" s="244">
        <f t="shared" si="4"/>
        <v>1644.607082505988</v>
      </c>
      <c r="S7" s="243">
        <v>1380.3802544538235</v>
      </c>
      <c r="T7" s="245">
        <f aca="true" t="shared" si="15" ref="T7:T17">S7/$S$18</f>
        <v>0.1475183217092576</v>
      </c>
      <c r="U7" s="244">
        <f t="shared" si="5"/>
        <v>10245.511399911262</v>
      </c>
      <c r="V7" s="243">
        <v>1372.5</v>
      </c>
      <c r="W7" s="245">
        <f aca="true" t="shared" si="16" ref="W7:W17">V7/$V$18</f>
        <v>0.2286166402931623</v>
      </c>
      <c r="X7" s="244">
        <f t="shared" si="6"/>
        <v>2580.173328091946</v>
      </c>
      <c r="Y7" s="243">
        <v>11</v>
      </c>
      <c r="Z7" s="245">
        <f aca="true" t="shared" si="17" ref="Z7:Z17">Y7/$Y$18</f>
        <v>0.014844804318488529</v>
      </c>
      <c r="AA7" s="244">
        <f t="shared" si="7"/>
        <v>257.75207125506074</v>
      </c>
      <c r="AB7" s="193">
        <v>73235</v>
      </c>
      <c r="AC7" s="245">
        <f aca="true" t="shared" si="18" ref="AC7:AC17">AB7/$AB$18</f>
        <v>0.2967538808770316</v>
      </c>
      <c r="AD7" s="244">
        <f t="shared" si="8"/>
        <v>18678.074567639298</v>
      </c>
      <c r="AE7" s="193">
        <v>17286</v>
      </c>
      <c r="AF7" s="245">
        <f aca="true" t="shared" si="19" ref="AF7:AF17">AE7/$AE$18</f>
        <v>0.4969097651421508</v>
      </c>
      <c r="AG7" s="244">
        <f t="shared" si="9"/>
        <v>31276.14580568603</v>
      </c>
      <c r="AH7" s="1449">
        <f aca="true" t="shared" si="20" ref="AH7:AH17">E7+H7+K7+R7+U7+X7+AA7+AD7+AG7+N7</f>
        <v>86515.53322327332</v>
      </c>
      <c r="AI7" s="1501">
        <v>86.15681754325654</v>
      </c>
      <c r="AJ7" s="1504">
        <f aca="true" t="shared" si="21" ref="AJ7:AJ17">AH7+AI7</f>
        <v>86601.69004081658</v>
      </c>
      <c r="AK7" s="124"/>
    </row>
    <row r="8" spans="1:37" ht="13.5" thickBot="1">
      <c r="A8" s="192">
        <v>22</v>
      </c>
      <c r="B8" s="246" t="s">
        <v>9</v>
      </c>
      <c r="C8" s="243">
        <v>11033.141</v>
      </c>
      <c r="D8" s="258">
        <f t="shared" si="10"/>
        <v>0.04592736042011429</v>
      </c>
      <c r="E8" s="244">
        <f t="shared" si="0"/>
        <v>7535.828065091837</v>
      </c>
      <c r="F8" s="243">
        <v>13388</v>
      </c>
      <c r="G8" s="245">
        <f t="shared" si="11"/>
        <v>0.020112853116680988</v>
      </c>
      <c r="H8" s="244">
        <f t="shared" si="1"/>
        <v>349.221817846176</v>
      </c>
      <c r="I8" s="243">
        <v>24646.975079999993</v>
      </c>
      <c r="J8" s="245">
        <f t="shared" si="12"/>
        <v>0.07180284357456385</v>
      </c>
      <c r="K8" s="244">
        <f t="shared" si="2"/>
        <v>1246.7211595572815</v>
      </c>
      <c r="L8" s="243"/>
      <c r="M8" s="245">
        <f t="shared" si="13"/>
        <v>0</v>
      </c>
      <c r="N8" s="244">
        <f t="shared" si="3"/>
        <v>0</v>
      </c>
      <c r="O8" s="243">
        <v>11.85</v>
      </c>
      <c r="P8" s="245">
        <v>21.7461538461538</v>
      </c>
      <c r="Q8" s="194">
        <f t="shared" si="14"/>
        <v>62.2442307692307</v>
      </c>
      <c r="R8" s="244">
        <f t="shared" si="4"/>
        <v>741.3271699668729</v>
      </c>
      <c r="S8" s="243">
        <v>976.4005889938157</v>
      </c>
      <c r="T8" s="245">
        <f t="shared" si="15"/>
        <v>0.10434586827764325</v>
      </c>
      <c r="U8" s="244">
        <f t="shared" si="5"/>
        <v>7247.077994008539</v>
      </c>
      <c r="V8" s="243">
        <v>223</v>
      </c>
      <c r="W8" s="245">
        <f t="shared" si="16"/>
        <v>0.03714499875072874</v>
      </c>
      <c r="X8" s="244">
        <f t="shared" si="6"/>
        <v>419.21941869909216</v>
      </c>
      <c r="Y8" s="243">
        <v>0</v>
      </c>
      <c r="Z8" s="245">
        <f t="shared" si="17"/>
        <v>0</v>
      </c>
      <c r="AA8" s="244">
        <f t="shared" si="7"/>
        <v>0</v>
      </c>
      <c r="AB8" s="193">
        <v>23911</v>
      </c>
      <c r="AC8" s="245">
        <f t="shared" si="18"/>
        <v>0.09688922025876566</v>
      </c>
      <c r="AD8" s="244">
        <f t="shared" si="8"/>
        <v>6098.333324050294</v>
      </c>
      <c r="AE8" s="193">
        <v>1239</v>
      </c>
      <c r="AF8" s="245">
        <f t="shared" si="19"/>
        <v>0.03561675338488516</v>
      </c>
      <c r="AG8" s="244">
        <f t="shared" si="9"/>
        <v>2241.7647028372667</v>
      </c>
      <c r="AH8" s="1449">
        <f t="shared" si="20"/>
        <v>25879.49365205736</v>
      </c>
      <c r="AI8" s="1501">
        <v>-9.908001318152097</v>
      </c>
      <c r="AJ8" s="1504">
        <f t="shared" si="21"/>
        <v>25869.58565073921</v>
      </c>
      <c r="AK8" s="124"/>
    </row>
    <row r="9" spans="1:37" ht="13.5" thickBot="1">
      <c r="A9" s="192">
        <v>23</v>
      </c>
      <c r="B9" s="246" t="s">
        <v>10</v>
      </c>
      <c r="C9" s="243">
        <v>13028.041000000001</v>
      </c>
      <c r="D9" s="258">
        <f t="shared" si="10"/>
        <v>0.0542314771990158</v>
      </c>
      <c r="E9" s="244">
        <f t="shared" si="0"/>
        <v>8898.379618366806</v>
      </c>
      <c r="F9" s="243">
        <v>39866</v>
      </c>
      <c r="G9" s="245">
        <f t="shared" si="11"/>
        <v>0.0598908725985662</v>
      </c>
      <c r="H9" s="244">
        <f t="shared" si="1"/>
        <v>1039.8922161828245</v>
      </c>
      <c r="I9" s="243">
        <v>8877.940839999997</v>
      </c>
      <c r="J9" s="245">
        <f t="shared" si="12"/>
        <v>0.025863676793182844</v>
      </c>
      <c r="K9" s="244">
        <f t="shared" si="2"/>
        <v>449.07404103748314</v>
      </c>
      <c r="L9" s="243"/>
      <c r="M9" s="245">
        <f t="shared" si="13"/>
        <v>0</v>
      </c>
      <c r="N9" s="244">
        <f t="shared" si="3"/>
        <v>0</v>
      </c>
      <c r="O9" s="243">
        <v>7.09038461538461</v>
      </c>
      <c r="P9" s="245">
        <v>17.2665384615384</v>
      </c>
      <c r="Q9" s="194">
        <f t="shared" si="14"/>
        <v>43.62576923076912</v>
      </c>
      <c r="R9" s="244">
        <f t="shared" si="4"/>
        <v>519.5817771670675</v>
      </c>
      <c r="S9" s="243">
        <v>660.7047175465101</v>
      </c>
      <c r="T9" s="245">
        <f t="shared" si="15"/>
        <v>0.07060811741067302</v>
      </c>
      <c r="U9" s="244">
        <f t="shared" si="5"/>
        <v>4903.907958518517</v>
      </c>
      <c r="V9" s="243">
        <v>508.5</v>
      </c>
      <c r="W9" s="245">
        <f t="shared" si="16"/>
        <v>0.084700591321729</v>
      </c>
      <c r="X9" s="244">
        <f t="shared" si="6"/>
        <v>955.9330690963606</v>
      </c>
      <c r="Y9" s="243">
        <v>89</v>
      </c>
      <c r="Z9" s="245">
        <f t="shared" si="17"/>
        <v>0.12010796221322537</v>
      </c>
      <c r="AA9" s="244">
        <f t="shared" si="7"/>
        <v>2085.4485765182185</v>
      </c>
      <c r="AB9" s="193">
        <v>42133</v>
      </c>
      <c r="AC9" s="245">
        <f t="shared" si="18"/>
        <v>0.17072617277247182</v>
      </c>
      <c r="AD9" s="244">
        <f t="shared" si="8"/>
        <v>10745.726985162102</v>
      </c>
      <c r="AE9" s="193">
        <v>4435</v>
      </c>
      <c r="AF9" s="245">
        <f t="shared" si="19"/>
        <v>0.12749015436801103</v>
      </c>
      <c r="AG9" s="244">
        <f t="shared" si="9"/>
        <v>8024.395849139045</v>
      </c>
      <c r="AH9" s="1449">
        <f t="shared" si="20"/>
        <v>37622.340091188424</v>
      </c>
      <c r="AI9" s="1501">
        <v>-11.699465039098078</v>
      </c>
      <c r="AJ9" s="1504">
        <f t="shared" si="21"/>
        <v>37610.640626149325</v>
      </c>
      <c r="AK9" s="124"/>
    </row>
    <row r="10" spans="1:37" ht="13.5" thickBot="1">
      <c r="A10" s="192">
        <v>31</v>
      </c>
      <c r="B10" s="246" t="s">
        <v>11</v>
      </c>
      <c r="C10" s="243">
        <v>96214.03183863526</v>
      </c>
      <c r="D10" s="258">
        <f t="shared" si="10"/>
        <v>0.4005075723880764</v>
      </c>
      <c r="E10" s="244">
        <f t="shared" si="0"/>
        <v>65715.864719324</v>
      </c>
      <c r="F10" s="243">
        <v>275602</v>
      </c>
      <c r="G10" s="245">
        <f t="shared" si="11"/>
        <v>0.41403813449832044</v>
      </c>
      <c r="H10" s="244">
        <f t="shared" si="1"/>
        <v>7188.992488948446</v>
      </c>
      <c r="I10" s="243">
        <v>25105.209160000002</v>
      </c>
      <c r="J10" s="245">
        <f t="shared" si="12"/>
        <v>0.07313779481543534</v>
      </c>
      <c r="K10" s="244">
        <f t="shared" si="2"/>
        <v>1269.9000738748382</v>
      </c>
      <c r="L10" s="243"/>
      <c r="M10" s="245">
        <f t="shared" si="13"/>
        <v>0</v>
      </c>
      <c r="N10" s="244">
        <f t="shared" si="3"/>
        <v>0</v>
      </c>
      <c r="O10" s="243">
        <v>53.7799999999999</v>
      </c>
      <c r="P10" s="245">
        <v>79.0873076923076</v>
      </c>
      <c r="Q10" s="194">
        <f t="shared" si="14"/>
        <v>253.08096153846117</v>
      </c>
      <c r="R10" s="244">
        <f t="shared" si="4"/>
        <v>3014.187671229875</v>
      </c>
      <c r="S10" s="243">
        <v>1559.7335803371657</v>
      </c>
      <c r="T10" s="245">
        <f t="shared" si="15"/>
        <v>0.16668543275849007</v>
      </c>
      <c r="U10" s="244">
        <f t="shared" si="5"/>
        <v>11576.714551376837</v>
      </c>
      <c r="V10" s="243">
        <v>831.5</v>
      </c>
      <c r="W10" s="245">
        <f t="shared" si="16"/>
        <v>0.13850254018489214</v>
      </c>
      <c r="X10" s="244">
        <f t="shared" si="6"/>
        <v>1563.143258512534</v>
      </c>
      <c r="Y10" s="243">
        <v>4</v>
      </c>
      <c r="Z10" s="245">
        <f t="shared" si="17"/>
        <v>0.005398110661268556</v>
      </c>
      <c r="AA10" s="244">
        <f t="shared" si="7"/>
        <v>93.72802591093118</v>
      </c>
      <c r="AB10" s="193">
        <v>24874</v>
      </c>
      <c r="AC10" s="245">
        <f t="shared" si="18"/>
        <v>0.1007913706961874</v>
      </c>
      <c r="AD10" s="244">
        <f t="shared" si="8"/>
        <v>6343.939739133746</v>
      </c>
      <c r="AE10" s="193">
        <v>4736</v>
      </c>
      <c r="AF10" s="245">
        <f t="shared" si="19"/>
        <v>0.1361428119699888</v>
      </c>
      <c r="AG10" s="244">
        <f t="shared" si="9"/>
        <v>8569.005353218156</v>
      </c>
      <c r="AH10" s="1449">
        <f t="shared" si="20"/>
        <v>105335.47588152933</v>
      </c>
      <c r="AI10" s="1501">
        <v>-86.4022996064245</v>
      </c>
      <c r="AJ10" s="1504">
        <f t="shared" si="21"/>
        <v>105249.0735819229</v>
      </c>
      <c r="AK10" s="124"/>
    </row>
    <row r="11" spans="1:37" ht="13.5" thickBot="1">
      <c r="A11" s="192">
        <v>33</v>
      </c>
      <c r="B11" s="246" t="s">
        <v>12</v>
      </c>
      <c r="C11" s="243">
        <v>15155.772</v>
      </c>
      <c r="D11" s="258">
        <f t="shared" si="10"/>
        <v>0.06308852602256027</v>
      </c>
      <c r="E11" s="244">
        <f t="shared" si="0"/>
        <v>10351.657065357278</v>
      </c>
      <c r="F11" s="243">
        <v>35969</v>
      </c>
      <c r="G11" s="245">
        <f t="shared" si="11"/>
        <v>0.05403639182505964</v>
      </c>
      <c r="H11" s="244">
        <f t="shared" si="1"/>
        <v>938.2401827090757</v>
      </c>
      <c r="I11" s="243">
        <v>13076.493260000001</v>
      </c>
      <c r="J11" s="245">
        <f t="shared" si="12"/>
        <v>0.038095117027708646</v>
      </c>
      <c r="K11" s="244">
        <f t="shared" si="2"/>
        <v>661.449966461774</v>
      </c>
      <c r="L11" s="243"/>
      <c r="M11" s="245">
        <f t="shared" si="13"/>
        <v>0</v>
      </c>
      <c r="N11" s="244">
        <f t="shared" si="3"/>
        <v>0</v>
      </c>
      <c r="O11" s="243">
        <v>11.226923076923</v>
      </c>
      <c r="P11" s="245">
        <v>17.7246153846153</v>
      </c>
      <c r="Q11" s="194">
        <f t="shared" si="14"/>
        <v>54.65423076923045</v>
      </c>
      <c r="R11" s="244">
        <f t="shared" si="4"/>
        <v>650.9304673245102</v>
      </c>
      <c r="S11" s="243">
        <v>362.1052685391653</v>
      </c>
      <c r="T11" s="245">
        <f t="shared" si="15"/>
        <v>0.03869742509328586</v>
      </c>
      <c r="U11" s="244">
        <f t="shared" si="5"/>
        <v>2687.6316470158927</v>
      </c>
      <c r="V11" s="243">
        <v>1021</v>
      </c>
      <c r="W11" s="245">
        <f t="shared" si="16"/>
        <v>0.17006746064795536</v>
      </c>
      <c r="X11" s="244">
        <f t="shared" si="6"/>
        <v>1919.385769021404</v>
      </c>
      <c r="Y11" s="243">
        <v>10</v>
      </c>
      <c r="Z11" s="245">
        <f t="shared" si="17"/>
        <v>0.01349527665317139</v>
      </c>
      <c r="AA11" s="244">
        <f t="shared" si="7"/>
        <v>234.32006477732793</v>
      </c>
      <c r="AB11" s="193">
        <v>11985</v>
      </c>
      <c r="AC11" s="245">
        <f t="shared" si="18"/>
        <v>0.04856414640965691</v>
      </c>
      <c r="AD11" s="244">
        <f t="shared" si="8"/>
        <v>3056.6904307115037</v>
      </c>
      <c r="AE11" s="193">
        <v>1904</v>
      </c>
      <c r="AF11" s="245">
        <f t="shared" si="19"/>
        <v>0.05473308994739414</v>
      </c>
      <c r="AG11" s="244">
        <f t="shared" si="9"/>
        <v>3444.9717467329747</v>
      </c>
      <c r="AH11" s="1449">
        <f t="shared" si="20"/>
        <v>23945.27734011174</v>
      </c>
      <c r="AI11" s="1501">
        <v>-13.610213895898971</v>
      </c>
      <c r="AJ11" s="1504">
        <f t="shared" si="21"/>
        <v>23931.66712621584</v>
      </c>
      <c r="AK11" s="124"/>
    </row>
    <row r="12" spans="1:37" ht="13.5" thickBot="1">
      <c r="A12" s="192">
        <v>41</v>
      </c>
      <c r="B12" s="246" t="s">
        <v>13</v>
      </c>
      <c r="C12" s="243">
        <v>14225.152</v>
      </c>
      <c r="D12" s="258">
        <f t="shared" si="10"/>
        <v>0.05921465908347493</v>
      </c>
      <c r="E12" s="244">
        <f t="shared" si="0"/>
        <v>9716.027346319355</v>
      </c>
      <c r="F12" s="243">
        <v>16501</v>
      </c>
      <c r="G12" s="245">
        <f t="shared" si="11"/>
        <v>0.024789527134624515</v>
      </c>
      <c r="H12" s="244">
        <f t="shared" si="1"/>
        <v>430.42345505525475</v>
      </c>
      <c r="I12" s="243">
        <v>12576.507239999999</v>
      </c>
      <c r="J12" s="245">
        <f t="shared" si="12"/>
        <v>0.03663853187407409</v>
      </c>
      <c r="K12" s="244">
        <f t="shared" si="2"/>
        <v>636.1591083100714</v>
      </c>
      <c r="L12" s="243"/>
      <c r="M12" s="245">
        <f t="shared" si="13"/>
        <v>0</v>
      </c>
      <c r="N12" s="244">
        <f t="shared" si="3"/>
        <v>0</v>
      </c>
      <c r="O12" s="243">
        <v>8.63461538461538</v>
      </c>
      <c r="P12" s="245">
        <v>47.8584615384615</v>
      </c>
      <c r="Q12" s="194">
        <f t="shared" si="14"/>
        <v>93.3742307692307</v>
      </c>
      <c r="R12" s="244">
        <f t="shared" si="4"/>
        <v>1112.0846605145223</v>
      </c>
      <c r="S12" s="243">
        <v>1458.6271451328503</v>
      </c>
      <c r="T12" s="245">
        <f t="shared" si="15"/>
        <v>0.1558804016178151</v>
      </c>
      <c r="U12" s="244">
        <f t="shared" si="5"/>
        <v>10826.27848048413</v>
      </c>
      <c r="V12" s="243">
        <v>151</v>
      </c>
      <c r="W12" s="245">
        <f t="shared" si="16"/>
        <v>0.025151994669775964</v>
      </c>
      <c r="X12" s="244">
        <f t="shared" si="6"/>
        <v>283.8660637827934</v>
      </c>
      <c r="Y12" s="243">
        <v>9</v>
      </c>
      <c r="Z12" s="245">
        <f t="shared" si="17"/>
        <v>0.012145748987854251</v>
      </c>
      <c r="AA12" s="244">
        <f t="shared" si="7"/>
        <v>210.88805829959514</v>
      </c>
      <c r="AB12" s="193">
        <v>15071</v>
      </c>
      <c r="AC12" s="245">
        <f t="shared" si="18"/>
        <v>0.061068856949515166</v>
      </c>
      <c r="AD12" s="244">
        <f t="shared" si="8"/>
        <v>3843.7531482063473</v>
      </c>
      <c r="AE12" s="193">
        <v>372</v>
      </c>
      <c r="AF12" s="245">
        <f t="shared" si="19"/>
        <v>0.010693649926696755</v>
      </c>
      <c r="AG12" s="244">
        <f t="shared" si="9"/>
        <v>673.0722110213585</v>
      </c>
      <c r="AH12" s="1449">
        <f t="shared" si="20"/>
        <v>27732.552531993428</v>
      </c>
      <c r="AI12" s="1501">
        <v>91.07650316660379</v>
      </c>
      <c r="AJ12" s="1504">
        <f t="shared" si="21"/>
        <v>27823.629035160033</v>
      </c>
      <c r="AK12" s="124"/>
    </row>
    <row r="13" spans="1:37" ht="13.5" thickBot="1">
      <c r="A13" s="192">
        <v>51</v>
      </c>
      <c r="B13" s="246" t="s">
        <v>14</v>
      </c>
      <c r="C13" s="243">
        <v>1582.579</v>
      </c>
      <c r="D13" s="258">
        <f t="shared" si="10"/>
        <v>0.006587759199878263</v>
      </c>
      <c r="E13" s="244">
        <f t="shared" si="0"/>
        <v>1080.9291065368398</v>
      </c>
      <c r="F13" s="243">
        <v>2238</v>
      </c>
      <c r="G13" s="245">
        <f t="shared" si="11"/>
        <v>0.003362157549681211</v>
      </c>
      <c r="H13" s="244">
        <f t="shared" si="1"/>
        <v>58.37753423511666</v>
      </c>
      <c r="I13" s="243">
        <v>16331.159980000006</v>
      </c>
      <c r="J13" s="245">
        <f t="shared" si="12"/>
        <v>0.04757678058378261</v>
      </c>
      <c r="K13" s="244">
        <f t="shared" si="2"/>
        <v>826.0811982441896</v>
      </c>
      <c r="L13" s="243"/>
      <c r="M13" s="245">
        <f t="shared" si="13"/>
        <v>0</v>
      </c>
      <c r="N13" s="244">
        <f t="shared" si="3"/>
        <v>0</v>
      </c>
      <c r="O13" s="243">
        <v>3.16153846153846</v>
      </c>
      <c r="P13" s="245">
        <v>9.10538461538461</v>
      </c>
      <c r="Q13" s="194">
        <f t="shared" si="14"/>
        <v>21.561923076923065</v>
      </c>
      <c r="R13" s="244">
        <f t="shared" si="4"/>
        <v>256.8019431860406</v>
      </c>
      <c r="S13" s="243">
        <v>519.9714673915852</v>
      </c>
      <c r="T13" s="245">
        <f t="shared" si="15"/>
        <v>0.05556825226876104</v>
      </c>
      <c r="U13" s="244">
        <f t="shared" si="5"/>
        <v>3859.3522180574514</v>
      </c>
      <c r="V13" s="243">
        <v>90.5</v>
      </c>
      <c r="W13" s="245">
        <f t="shared" si="16"/>
        <v>0.015074539851753143</v>
      </c>
      <c r="X13" s="244">
        <f t="shared" si="6"/>
        <v>170.1316474989589</v>
      </c>
      <c r="Y13" s="243">
        <v>0</v>
      </c>
      <c r="Z13" s="245">
        <f t="shared" si="17"/>
        <v>0</v>
      </c>
      <c r="AA13" s="244">
        <f t="shared" si="7"/>
        <v>0</v>
      </c>
      <c r="AB13" s="193">
        <v>6552</v>
      </c>
      <c r="AC13" s="245">
        <f t="shared" si="18"/>
        <v>0.026549210452738597</v>
      </c>
      <c r="AD13" s="244">
        <f t="shared" si="8"/>
        <v>1671.0417773902188</v>
      </c>
      <c r="AE13" s="193">
        <v>563</v>
      </c>
      <c r="AF13" s="245">
        <f t="shared" si="19"/>
        <v>0.01618420674389858</v>
      </c>
      <c r="AG13" s="244">
        <f t="shared" si="9"/>
        <v>1018.6549860350129</v>
      </c>
      <c r="AH13" s="1449">
        <f t="shared" si="20"/>
        <v>8941.370411183829</v>
      </c>
      <c r="AI13" s="1501">
        <v>-1.4211904677081375</v>
      </c>
      <c r="AJ13" s="1504">
        <f t="shared" si="21"/>
        <v>8939.94922071612</v>
      </c>
      <c r="AK13" s="124"/>
    </row>
    <row r="14" spans="1:37" ht="13.5" thickBot="1">
      <c r="A14" s="192">
        <v>56</v>
      </c>
      <c r="B14" s="246" t="s">
        <v>15</v>
      </c>
      <c r="C14" s="243">
        <v>5509.616</v>
      </c>
      <c r="D14" s="258">
        <f t="shared" si="10"/>
        <v>0.02293473089924514</v>
      </c>
      <c r="E14" s="244">
        <f t="shared" si="0"/>
        <v>3763.1639875425344</v>
      </c>
      <c r="F14" s="243">
        <v>10948</v>
      </c>
      <c r="G14" s="245">
        <f t="shared" si="11"/>
        <v>0.016447230050898078</v>
      </c>
      <c r="H14" s="244">
        <f t="shared" si="1"/>
        <v>285.57517641021326</v>
      </c>
      <c r="I14" s="243">
        <v>11718.639449999997</v>
      </c>
      <c r="J14" s="245">
        <f t="shared" si="12"/>
        <v>0.0341393470234751</v>
      </c>
      <c r="K14" s="244">
        <f t="shared" si="2"/>
        <v>592.7654698443305</v>
      </c>
      <c r="L14" s="243"/>
      <c r="M14" s="245">
        <f t="shared" si="13"/>
        <v>0</v>
      </c>
      <c r="N14" s="244">
        <f t="shared" si="3"/>
        <v>0</v>
      </c>
      <c r="O14" s="243">
        <v>5.6926923076923</v>
      </c>
      <c r="P14" s="245">
        <v>14.7423076923076</v>
      </c>
      <c r="Q14" s="194">
        <f t="shared" si="14"/>
        <v>36.34519230769215</v>
      </c>
      <c r="R14" s="244">
        <f t="shared" si="4"/>
        <v>432.870295325142</v>
      </c>
      <c r="S14" s="243">
        <v>645.2782288340841</v>
      </c>
      <c r="T14" s="245">
        <f t="shared" si="15"/>
        <v>0.06895952115077916</v>
      </c>
      <c r="U14" s="244">
        <f t="shared" si="5"/>
        <v>4789.4088808521965</v>
      </c>
      <c r="V14" s="243">
        <v>675.5</v>
      </c>
      <c r="W14" s="245">
        <f t="shared" si="16"/>
        <v>0.11251769800949446</v>
      </c>
      <c r="X14" s="244">
        <f t="shared" si="6"/>
        <v>1269.8776561938867</v>
      </c>
      <c r="Y14" s="243">
        <v>25</v>
      </c>
      <c r="Z14" s="245">
        <f t="shared" si="17"/>
        <v>0.033738191632928474</v>
      </c>
      <c r="AA14" s="244">
        <f t="shared" si="7"/>
        <v>585.8001619433198</v>
      </c>
      <c r="AB14" s="193">
        <v>37619</v>
      </c>
      <c r="AC14" s="245">
        <f t="shared" si="18"/>
        <v>0.15243509585188847</v>
      </c>
      <c r="AD14" s="244">
        <f t="shared" si="8"/>
        <v>9594.462854646314</v>
      </c>
      <c r="AE14" s="193">
        <v>2630</v>
      </c>
      <c r="AF14" s="245">
        <f t="shared" si="19"/>
        <v>0.07560295512691523</v>
      </c>
      <c r="AG14" s="244">
        <f t="shared" si="9"/>
        <v>4758.54815856498</v>
      </c>
      <c r="AH14" s="1449">
        <f t="shared" si="20"/>
        <v>26072.47264132292</v>
      </c>
      <c r="AI14" s="1501">
        <v>-4.9477553663559535</v>
      </c>
      <c r="AJ14" s="1504">
        <f t="shared" si="21"/>
        <v>26067.52488595656</v>
      </c>
      <c r="AK14" s="124"/>
    </row>
    <row r="15" spans="1:37" ht="13.5" thickBot="1">
      <c r="A15" s="192">
        <v>71</v>
      </c>
      <c r="B15" s="246" t="s">
        <v>207</v>
      </c>
      <c r="C15" s="243">
        <v>22440.740083333556</v>
      </c>
      <c r="D15" s="258">
        <f t="shared" si="10"/>
        <v>0.09341346747053862</v>
      </c>
      <c r="E15" s="244">
        <f t="shared" si="0"/>
        <v>15327.417543328445</v>
      </c>
      <c r="F15" s="243">
        <v>124925</v>
      </c>
      <c r="G15" s="245">
        <f t="shared" si="11"/>
        <v>0.18767539405447958</v>
      </c>
      <c r="H15" s="244">
        <f t="shared" si="1"/>
        <v>3258.6297874539546</v>
      </c>
      <c r="I15" s="243">
        <v>4320.02275</v>
      </c>
      <c r="J15" s="245">
        <f t="shared" si="12"/>
        <v>0.012585313887403306</v>
      </c>
      <c r="K15" s="244">
        <f t="shared" si="2"/>
        <v>218.52027499164564</v>
      </c>
      <c r="L15" s="243"/>
      <c r="M15" s="245">
        <f t="shared" si="13"/>
        <v>0</v>
      </c>
      <c r="N15" s="244">
        <f t="shared" si="3"/>
        <v>0</v>
      </c>
      <c r="O15" s="243">
        <v>5.0276923076923</v>
      </c>
      <c r="P15" s="245">
        <v>6.40961538461538</v>
      </c>
      <c r="Q15" s="194">
        <f t="shared" si="14"/>
        <v>22.18365384615382</v>
      </c>
      <c r="R15" s="244">
        <f t="shared" si="4"/>
        <v>264.206740481134</v>
      </c>
      <c r="S15" s="243"/>
      <c r="T15" s="245">
        <f t="shared" si="15"/>
        <v>0</v>
      </c>
      <c r="U15" s="244">
        <f t="shared" si="5"/>
        <v>0</v>
      </c>
      <c r="V15" s="243"/>
      <c r="W15" s="245">
        <f t="shared" si="16"/>
        <v>0</v>
      </c>
      <c r="X15" s="244">
        <f t="shared" si="6"/>
        <v>0</v>
      </c>
      <c r="Y15" s="243"/>
      <c r="Z15" s="245">
        <f t="shared" si="17"/>
        <v>0</v>
      </c>
      <c r="AA15" s="244">
        <f t="shared" si="7"/>
        <v>0</v>
      </c>
      <c r="AB15" s="243"/>
      <c r="AC15" s="245">
        <f t="shared" si="18"/>
        <v>0</v>
      </c>
      <c r="AD15" s="244">
        <f t="shared" si="8"/>
        <v>0</v>
      </c>
      <c r="AE15" s="243"/>
      <c r="AF15" s="245">
        <f t="shared" si="19"/>
        <v>0</v>
      </c>
      <c r="AG15" s="244">
        <f t="shared" si="9"/>
        <v>0</v>
      </c>
      <c r="AH15" s="1449">
        <f t="shared" si="20"/>
        <v>19068.77434625518</v>
      </c>
      <c r="AI15" s="1501">
        <v>-20.15227416435424</v>
      </c>
      <c r="AJ15" s="1504">
        <f t="shared" si="21"/>
        <v>19048.622072090828</v>
      </c>
      <c r="AK15" s="124"/>
    </row>
    <row r="16" spans="1:37" ht="13.5" thickBot="1">
      <c r="A16" s="192">
        <v>85</v>
      </c>
      <c r="B16" s="246" t="s">
        <v>106</v>
      </c>
      <c r="C16" s="243">
        <v>288.517</v>
      </c>
      <c r="D16" s="258">
        <f t="shared" si="10"/>
        <v>0.0012010019854119616</v>
      </c>
      <c r="E16" s="244">
        <f t="shared" si="0"/>
        <v>197.06215173504097</v>
      </c>
      <c r="F16" s="243">
        <v>1128</v>
      </c>
      <c r="G16" s="245">
        <f t="shared" si="11"/>
        <v>0.001694599515657018</v>
      </c>
      <c r="H16" s="244">
        <f t="shared" si="1"/>
        <v>29.42352931957623</v>
      </c>
      <c r="I16" s="243">
        <v>38883.065910000005</v>
      </c>
      <c r="J16" s="245">
        <f t="shared" si="12"/>
        <v>0.11327616026604052</v>
      </c>
      <c r="K16" s="244">
        <f t="shared" si="2"/>
        <v>1966.8272013547805</v>
      </c>
      <c r="L16" s="243"/>
      <c r="M16" s="245">
        <f t="shared" si="13"/>
        <v>0</v>
      </c>
      <c r="N16" s="244">
        <f t="shared" si="3"/>
        <v>0</v>
      </c>
      <c r="O16" s="243">
        <v>0</v>
      </c>
      <c r="P16" s="245">
        <v>0.05</v>
      </c>
      <c r="Q16" s="194">
        <f t="shared" si="14"/>
        <v>0.07500000000000001</v>
      </c>
      <c r="R16" s="244">
        <f t="shared" si="4"/>
        <v>0.8932480498256892</v>
      </c>
      <c r="S16" s="243"/>
      <c r="T16" s="245">
        <f t="shared" si="15"/>
        <v>0</v>
      </c>
      <c r="U16" s="244">
        <f t="shared" si="5"/>
        <v>0</v>
      </c>
      <c r="V16" s="243"/>
      <c r="W16" s="245">
        <f t="shared" si="16"/>
        <v>0</v>
      </c>
      <c r="X16" s="244">
        <f t="shared" si="6"/>
        <v>0</v>
      </c>
      <c r="Y16" s="243"/>
      <c r="Z16" s="245">
        <f t="shared" si="17"/>
        <v>0</v>
      </c>
      <c r="AA16" s="244">
        <f t="shared" si="7"/>
        <v>0</v>
      </c>
      <c r="AB16" s="243"/>
      <c r="AC16" s="245">
        <f t="shared" si="18"/>
        <v>0</v>
      </c>
      <c r="AD16" s="244">
        <f t="shared" si="8"/>
        <v>0</v>
      </c>
      <c r="AE16" s="243"/>
      <c r="AF16" s="245">
        <f t="shared" si="19"/>
        <v>0</v>
      </c>
      <c r="AG16" s="244">
        <f t="shared" si="9"/>
        <v>0</v>
      </c>
      <c r="AH16" s="1449">
        <f t="shared" si="20"/>
        <v>2194.2061304592235</v>
      </c>
      <c r="AI16" s="1501"/>
      <c r="AJ16" s="1504">
        <f t="shared" si="21"/>
        <v>2194.2061304592235</v>
      </c>
      <c r="AK16" s="124"/>
    </row>
    <row r="17" spans="1:37" ht="13.5" thickBot="1">
      <c r="A17" s="197">
        <v>92</v>
      </c>
      <c r="B17" s="247" t="s">
        <v>17</v>
      </c>
      <c r="C17" s="248">
        <v>931.618</v>
      </c>
      <c r="D17" s="258">
        <f t="shared" si="10"/>
        <v>0.003878021286945036</v>
      </c>
      <c r="E17" s="244">
        <f t="shared" si="0"/>
        <v>636.3113704741677</v>
      </c>
      <c r="F17" s="248">
        <v>15637</v>
      </c>
      <c r="G17" s="245">
        <f t="shared" si="11"/>
        <v>0.023491536016248926</v>
      </c>
      <c r="H17" s="244">
        <f t="shared" si="1"/>
        <v>407.8862836615368</v>
      </c>
      <c r="I17" s="248">
        <v>26309.889359999997</v>
      </c>
      <c r="J17" s="245">
        <f t="shared" si="12"/>
        <v>0.07664733153047688</v>
      </c>
      <c r="K17" s="244">
        <f t="shared" si="2"/>
        <v>1330.836569771993</v>
      </c>
      <c r="L17" s="248"/>
      <c r="M17" s="245">
        <f t="shared" si="13"/>
        <v>0</v>
      </c>
      <c r="N17" s="244">
        <f t="shared" si="3"/>
        <v>0</v>
      </c>
      <c r="O17" s="248">
        <v>1</v>
      </c>
      <c r="P17" s="249">
        <v>0.746153846153846</v>
      </c>
      <c r="Q17" s="194">
        <f t="shared" si="14"/>
        <v>3.619230769230769</v>
      </c>
      <c r="R17" s="244">
        <f t="shared" si="4"/>
        <v>43.10494435312683</v>
      </c>
      <c r="S17" s="248"/>
      <c r="T17" s="245">
        <f t="shared" si="15"/>
        <v>0</v>
      </c>
      <c r="U17" s="244">
        <f t="shared" si="5"/>
        <v>0</v>
      </c>
      <c r="V17" s="248"/>
      <c r="W17" s="245">
        <f t="shared" si="16"/>
        <v>0</v>
      </c>
      <c r="X17" s="244">
        <f t="shared" si="6"/>
        <v>0</v>
      </c>
      <c r="Y17" s="248"/>
      <c r="Z17" s="245">
        <f t="shared" si="17"/>
        <v>0</v>
      </c>
      <c r="AA17" s="244">
        <f t="shared" si="7"/>
        <v>0</v>
      </c>
      <c r="AB17" s="248"/>
      <c r="AC17" s="245">
        <f t="shared" si="18"/>
        <v>0</v>
      </c>
      <c r="AD17" s="244">
        <f t="shared" si="8"/>
        <v>0</v>
      </c>
      <c r="AE17" s="248"/>
      <c r="AF17" s="245">
        <f t="shared" si="19"/>
        <v>0</v>
      </c>
      <c r="AG17" s="244">
        <f t="shared" si="9"/>
        <v>0</v>
      </c>
      <c r="AH17" s="1450">
        <f t="shared" si="20"/>
        <v>2418.139168260824</v>
      </c>
      <c r="AI17" s="1502">
        <v>-1</v>
      </c>
      <c r="AJ17" s="1504">
        <f t="shared" si="21"/>
        <v>2417.139168260824</v>
      </c>
      <c r="AK17" s="124"/>
    </row>
    <row r="18" spans="1:37" ht="13.5" thickBot="1">
      <c r="A18" s="250" t="s">
        <v>242</v>
      </c>
      <c r="B18" s="251"/>
      <c r="C18" s="252">
        <v>240230.244</v>
      </c>
      <c r="D18" s="255">
        <v>0.9999999999999999</v>
      </c>
      <c r="E18" s="253">
        <f aca="true" t="shared" si="22" ref="E18:AI18">SUM(E6:E17)</f>
        <v>164081.45375999997</v>
      </c>
      <c r="F18" s="252">
        <f t="shared" si="22"/>
        <v>665644</v>
      </c>
      <c r="G18" s="255">
        <f t="shared" si="22"/>
        <v>0.9999999999999998</v>
      </c>
      <c r="H18" s="253">
        <f t="shared" si="22"/>
        <v>17363.116800000003</v>
      </c>
      <c r="I18" s="252">
        <f t="shared" si="22"/>
        <v>343259.03896</v>
      </c>
      <c r="J18" s="255">
        <f t="shared" si="22"/>
        <v>0.9999999999999999</v>
      </c>
      <c r="K18" s="253">
        <f t="shared" si="22"/>
        <v>17363.116800000003</v>
      </c>
      <c r="L18" s="252">
        <f t="shared" si="22"/>
        <v>0</v>
      </c>
      <c r="M18" s="255">
        <f t="shared" si="22"/>
        <v>0</v>
      </c>
      <c r="N18" s="253">
        <f t="shared" si="22"/>
        <v>0</v>
      </c>
      <c r="O18" s="252">
        <f t="shared" si="22"/>
        <v>192.50798076923047</v>
      </c>
      <c r="P18" s="255">
        <f>SUM(P6:P17)</f>
        <v>310.8942307692302</v>
      </c>
      <c r="Q18" s="256">
        <f t="shared" si="22"/>
        <v>947.6112980769217</v>
      </c>
      <c r="R18" s="253">
        <f t="shared" si="22"/>
        <v>11286.025919999995</v>
      </c>
      <c r="S18" s="252">
        <f t="shared" si="22"/>
        <v>9357.347876926102</v>
      </c>
      <c r="T18" s="255">
        <f t="shared" si="22"/>
        <v>1</v>
      </c>
      <c r="U18" s="253">
        <f t="shared" si="22"/>
        <v>69452.4672</v>
      </c>
      <c r="V18" s="252">
        <f t="shared" si="22"/>
        <v>6003.5</v>
      </c>
      <c r="W18" s="255">
        <f t="shared" si="22"/>
        <v>1</v>
      </c>
      <c r="X18" s="253">
        <f t="shared" si="22"/>
        <v>11286.025919999996</v>
      </c>
      <c r="Y18" s="252">
        <f t="shared" si="22"/>
        <v>741</v>
      </c>
      <c r="Z18" s="255">
        <f t="shared" si="22"/>
        <v>1.0000000000000002</v>
      </c>
      <c r="AA18" s="253">
        <f t="shared" si="22"/>
        <v>17363.1168</v>
      </c>
      <c r="AB18" s="254">
        <f t="shared" si="22"/>
        <v>246787</v>
      </c>
      <c r="AC18" s="255">
        <f t="shared" si="22"/>
        <v>1</v>
      </c>
      <c r="AD18" s="253">
        <f t="shared" si="22"/>
        <v>62941.29839999999</v>
      </c>
      <c r="AE18" s="254">
        <f t="shared" si="22"/>
        <v>34787</v>
      </c>
      <c r="AF18" s="255">
        <f t="shared" si="22"/>
        <v>0.9999999999999998</v>
      </c>
      <c r="AG18" s="253">
        <f t="shared" si="22"/>
        <v>62941.2984</v>
      </c>
      <c r="AH18" s="789">
        <f t="shared" si="22"/>
        <v>434077.9199999999</v>
      </c>
      <c r="AI18" s="1503">
        <f t="shared" si="22"/>
        <v>0.09570784859209525</v>
      </c>
      <c r="AJ18" s="1505">
        <f>SUM(AJ6:AJ17)</f>
        <v>434078.01570784854</v>
      </c>
      <c r="AK18" s="124"/>
    </row>
    <row r="19" spans="1:37" ht="12.75">
      <c r="A19" s="192"/>
      <c r="B19" s="257" t="s">
        <v>82</v>
      </c>
      <c r="C19" s="258">
        <v>166.378</v>
      </c>
      <c r="D19" s="61"/>
      <c r="J19" s="61"/>
      <c r="M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K19" s="124"/>
    </row>
    <row r="20" spans="1:37" ht="12.75">
      <c r="A20" s="192"/>
      <c r="B20" s="257" t="s">
        <v>24</v>
      </c>
      <c r="C20" s="258">
        <v>221.097</v>
      </c>
      <c r="D20" s="61"/>
      <c r="J20" s="61"/>
      <c r="M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K20" s="124"/>
    </row>
    <row r="21" spans="1:37" ht="12.75">
      <c r="A21" s="259" t="s">
        <v>70</v>
      </c>
      <c r="B21" s="260"/>
      <c r="C21" s="261">
        <f>C18+SUM(C19:C20)</f>
        <v>240617.719</v>
      </c>
      <c r="D21" s="61"/>
      <c r="J21" s="61"/>
      <c r="M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K21" s="124"/>
    </row>
    <row r="22" spans="1:37" ht="12.75">
      <c r="A22" s="61"/>
      <c r="B22" s="61"/>
      <c r="C22" s="61"/>
      <c r="D22" s="61"/>
      <c r="G22" s="61"/>
      <c r="J22" s="61"/>
      <c r="M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K22" s="124"/>
    </row>
    <row r="23" spans="1:33" ht="13.5" customHeight="1" hidden="1" thickBo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</row>
    <row r="24" spans="1:33" ht="12.75" customHeight="1" hidden="1">
      <c r="A24" s="1520"/>
      <c r="B24" s="1521"/>
      <c r="C24" s="262" t="s">
        <v>202</v>
      </c>
      <c r="D24" s="262" t="s">
        <v>202</v>
      </c>
      <c r="E24" s="263" t="s">
        <v>205</v>
      </c>
      <c r="F24" s="262" t="s">
        <v>214</v>
      </c>
      <c r="G24" s="262"/>
      <c r="H24" s="263"/>
      <c r="I24" s="262"/>
      <c r="J24" s="262"/>
      <c r="K24" s="263"/>
      <c r="L24" s="262"/>
      <c r="M24" s="262"/>
      <c r="N24" s="263"/>
      <c r="O24" s="61"/>
      <c r="P24" s="61"/>
      <c r="Q24" s="61"/>
      <c r="R24" s="61"/>
      <c r="S24" s="61"/>
      <c r="T24" s="61"/>
      <c r="U24" s="61"/>
      <c r="V24" s="61"/>
      <c r="W24" s="262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 spans="1:33" ht="13.5" customHeight="1" hidden="1" thickBot="1">
      <c r="A25" s="1522"/>
      <c r="B25" s="1523"/>
      <c r="C25" s="190" t="s">
        <v>275</v>
      </c>
      <c r="D25" s="190" t="s">
        <v>261</v>
      </c>
      <c r="E25" s="264" t="s">
        <v>206</v>
      </c>
      <c r="F25" s="190" t="s">
        <v>243</v>
      </c>
      <c r="G25" s="190"/>
      <c r="H25" s="264"/>
      <c r="I25" s="190"/>
      <c r="J25" s="190"/>
      <c r="K25" s="264"/>
      <c r="L25" s="190"/>
      <c r="M25" s="190"/>
      <c r="N25" s="264"/>
      <c r="O25" s="61"/>
      <c r="P25" s="61"/>
      <c r="Q25" s="61"/>
      <c r="R25" s="61"/>
      <c r="S25" s="61"/>
      <c r="T25" s="61"/>
      <c r="U25" s="61"/>
      <c r="V25" s="61"/>
      <c r="W25" s="190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 spans="1:33" ht="12.75" customHeight="1" hidden="1">
      <c r="A26" s="265">
        <v>11</v>
      </c>
      <c r="B26" s="266" t="s">
        <v>7</v>
      </c>
      <c r="C26" s="191" t="e">
        <f>str1!#REF!</f>
        <v>#REF!</v>
      </c>
      <c r="D26" s="191">
        <f aca="true" t="shared" si="23" ref="D26:D37">AH6</f>
        <v>68352.28458236434</v>
      </c>
      <c r="E26" s="267" t="e">
        <f>SUM(C26:D26)</f>
        <v>#REF!</v>
      </c>
      <c r="F26" s="191">
        <v>328299</v>
      </c>
      <c r="G26" s="191"/>
      <c r="H26" s="267"/>
      <c r="I26" s="191"/>
      <c r="J26" s="191"/>
      <c r="K26" s="267"/>
      <c r="L26" s="191"/>
      <c r="M26" s="191"/>
      <c r="N26" s="267"/>
      <c r="O26" s="61"/>
      <c r="P26" s="61"/>
      <c r="Q26" s="61"/>
      <c r="R26" s="61"/>
      <c r="S26" s="61"/>
      <c r="T26" s="61"/>
      <c r="U26" s="61"/>
      <c r="V26" s="61"/>
      <c r="W26" s="191"/>
      <c r="X26" s="61"/>
      <c r="Y26" s="61"/>
      <c r="Z26" s="61"/>
      <c r="AA26" s="61"/>
      <c r="AB26" s="61"/>
      <c r="AC26" s="61"/>
      <c r="AD26" s="61"/>
      <c r="AE26" s="61"/>
      <c r="AF26" s="61"/>
      <c r="AG26" s="61"/>
    </row>
    <row r="27" spans="1:33" ht="12.75" customHeight="1" hidden="1">
      <c r="A27" s="268">
        <v>21</v>
      </c>
      <c r="B27" s="269" t="s">
        <v>8</v>
      </c>
      <c r="C27" s="196" t="e">
        <f>str1!#REF!</f>
        <v>#REF!</v>
      </c>
      <c r="D27" s="196">
        <f t="shared" si="23"/>
        <v>86515.53322327332</v>
      </c>
      <c r="E27" s="270" t="e">
        <f aca="true" t="shared" si="24" ref="E27:E37">SUM(C27:D27)</f>
        <v>#REF!</v>
      </c>
      <c r="F27" s="196">
        <v>333427</v>
      </c>
      <c r="G27" s="196"/>
      <c r="H27" s="270"/>
      <c r="I27" s="196"/>
      <c r="J27" s="196"/>
      <c r="K27" s="270"/>
      <c r="L27" s="196"/>
      <c r="M27" s="196"/>
      <c r="N27" s="270"/>
      <c r="O27" s="61"/>
      <c r="P27" s="61"/>
      <c r="Q27" s="61"/>
      <c r="R27" s="61"/>
      <c r="S27" s="61"/>
      <c r="T27" s="61"/>
      <c r="U27" s="61"/>
      <c r="V27" s="61"/>
      <c r="W27" s="196"/>
      <c r="X27" s="61"/>
      <c r="Y27" s="61"/>
      <c r="Z27" s="61"/>
      <c r="AA27" s="61"/>
      <c r="AB27" s="61"/>
      <c r="AC27" s="61"/>
      <c r="AD27" s="61"/>
      <c r="AE27" s="61"/>
      <c r="AF27" s="61"/>
      <c r="AG27" s="61"/>
    </row>
    <row r="28" spans="1:33" ht="12.75" customHeight="1" hidden="1">
      <c r="A28" s="268">
        <v>22</v>
      </c>
      <c r="B28" s="269" t="s">
        <v>9</v>
      </c>
      <c r="C28" s="196" t="e">
        <f>str1!#REF!</f>
        <v>#REF!</v>
      </c>
      <c r="D28" s="196">
        <f t="shared" si="23"/>
        <v>25879.49365205736</v>
      </c>
      <c r="E28" s="270" t="e">
        <f t="shared" si="24"/>
        <v>#REF!</v>
      </c>
      <c r="F28" s="196">
        <v>126011</v>
      </c>
      <c r="G28" s="196"/>
      <c r="H28" s="270"/>
      <c r="I28" s="196"/>
      <c r="J28" s="196"/>
      <c r="K28" s="270"/>
      <c r="L28" s="196"/>
      <c r="M28" s="196"/>
      <c r="N28" s="270"/>
      <c r="O28" s="61"/>
      <c r="P28" s="61"/>
      <c r="Q28" s="61"/>
      <c r="R28" s="61"/>
      <c r="S28" s="61"/>
      <c r="T28" s="61"/>
      <c r="U28" s="61"/>
      <c r="V28" s="61"/>
      <c r="W28" s="196"/>
      <c r="X28" s="61"/>
      <c r="Y28" s="61"/>
      <c r="Z28" s="61"/>
      <c r="AA28" s="61"/>
      <c r="AB28" s="61"/>
      <c r="AC28" s="61"/>
      <c r="AD28" s="61"/>
      <c r="AE28" s="61"/>
      <c r="AF28" s="61"/>
      <c r="AG28" s="61"/>
    </row>
    <row r="29" spans="1:33" ht="12.75" customHeight="1" hidden="1">
      <c r="A29" s="268">
        <v>23</v>
      </c>
      <c r="B29" s="269" t="s">
        <v>10</v>
      </c>
      <c r="C29" s="196" t="e">
        <f>str1!#REF!</f>
        <v>#REF!</v>
      </c>
      <c r="D29" s="196">
        <f t="shared" si="23"/>
        <v>37622.340091188424</v>
      </c>
      <c r="E29" s="270" t="e">
        <f t="shared" si="24"/>
        <v>#REF!</v>
      </c>
      <c r="F29" s="196">
        <v>139398</v>
      </c>
      <c r="G29" s="196"/>
      <c r="H29" s="270"/>
      <c r="I29" s="196"/>
      <c r="J29" s="196"/>
      <c r="K29" s="270"/>
      <c r="L29" s="196"/>
      <c r="M29" s="196"/>
      <c r="N29" s="270"/>
      <c r="O29" s="61"/>
      <c r="P29" s="61"/>
      <c r="Q29" s="61"/>
      <c r="R29" s="61"/>
      <c r="S29" s="61"/>
      <c r="T29" s="61"/>
      <c r="U29" s="61"/>
      <c r="V29" s="61"/>
      <c r="W29" s="196"/>
      <c r="X29" s="61"/>
      <c r="Y29" s="61"/>
      <c r="Z29" s="61"/>
      <c r="AA29" s="61"/>
      <c r="AB29" s="61"/>
      <c r="AC29" s="61"/>
      <c r="AD29" s="61"/>
      <c r="AE29" s="61"/>
      <c r="AF29" s="61"/>
      <c r="AG29" s="61"/>
    </row>
    <row r="30" spans="1:33" ht="12.75" customHeight="1" hidden="1">
      <c r="A30" s="268">
        <v>31</v>
      </c>
      <c r="B30" s="269" t="s">
        <v>11</v>
      </c>
      <c r="C30" s="196" t="e">
        <f>str1!#REF!</f>
        <v>#REF!</v>
      </c>
      <c r="D30" s="196">
        <f t="shared" si="23"/>
        <v>105335.47588152933</v>
      </c>
      <c r="E30" s="270" t="e">
        <f t="shared" si="24"/>
        <v>#REF!</v>
      </c>
      <c r="F30" s="196">
        <v>345106</v>
      </c>
      <c r="G30" s="196"/>
      <c r="H30" s="270"/>
      <c r="I30" s="196"/>
      <c r="J30" s="196"/>
      <c r="K30" s="270"/>
      <c r="L30" s="196"/>
      <c r="M30" s="196"/>
      <c r="N30" s="270"/>
      <c r="O30" s="61"/>
      <c r="P30" s="61"/>
      <c r="Q30" s="61"/>
      <c r="R30" s="61"/>
      <c r="S30" s="61"/>
      <c r="T30" s="61"/>
      <c r="U30" s="61"/>
      <c r="V30" s="61"/>
      <c r="W30" s="196"/>
      <c r="X30" s="61"/>
      <c r="Y30" s="61"/>
      <c r="Z30" s="61"/>
      <c r="AA30" s="61"/>
      <c r="AB30" s="61"/>
      <c r="AC30" s="61"/>
      <c r="AD30" s="61"/>
      <c r="AE30" s="61"/>
      <c r="AF30" s="61"/>
      <c r="AG30" s="61"/>
    </row>
    <row r="31" spans="1:23" ht="12.75" customHeight="1" hidden="1">
      <c r="A31" s="268">
        <v>33</v>
      </c>
      <c r="B31" s="269" t="s">
        <v>12</v>
      </c>
      <c r="C31" s="196" t="e">
        <f>str1!#REF!</f>
        <v>#REF!</v>
      </c>
      <c r="D31" s="196">
        <f t="shared" si="23"/>
        <v>23945.27734011174</v>
      </c>
      <c r="E31" s="270" t="e">
        <f t="shared" si="24"/>
        <v>#REF!</v>
      </c>
      <c r="F31" s="196">
        <v>126549</v>
      </c>
      <c r="G31" s="196"/>
      <c r="H31" s="270"/>
      <c r="I31" s="196"/>
      <c r="J31" s="196"/>
      <c r="K31" s="270"/>
      <c r="L31" s="196"/>
      <c r="M31" s="196"/>
      <c r="N31" s="270"/>
      <c r="W31" s="196"/>
    </row>
    <row r="32" spans="1:23" ht="12.75" customHeight="1" hidden="1">
      <c r="A32" s="268">
        <v>41</v>
      </c>
      <c r="B32" s="269" t="s">
        <v>13</v>
      </c>
      <c r="C32" s="196" t="e">
        <f>str1!#REF!</f>
        <v>#REF!</v>
      </c>
      <c r="D32" s="196">
        <f t="shared" si="23"/>
        <v>27732.552531993428</v>
      </c>
      <c r="E32" s="270" t="e">
        <f t="shared" si="24"/>
        <v>#REF!</v>
      </c>
      <c r="F32" s="196">
        <v>202164</v>
      </c>
      <c r="G32" s="196"/>
      <c r="H32" s="270"/>
      <c r="I32" s="196"/>
      <c r="J32" s="196"/>
      <c r="K32" s="270"/>
      <c r="L32" s="196"/>
      <c r="M32" s="196"/>
      <c r="N32" s="270"/>
      <c r="W32" s="196"/>
    </row>
    <row r="33" spans="1:23" ht="12.75" customHeight="1" hidden="1">
      <c r="A33" s="268">
        <v>51</v>
      </c>
      <c r="B33" s="269" t="s">
        <v>14</v>
      </c>
      <c r="C33" s="196" t="e">
        <f>str1!#REF!</f>
        <v>#REF!</v>
      </c>
      <c r="D33" s="196">
        <f t="shared" si="23"/>
        <v>8941.370411183829</v>
      </c>
      <c r="E33" s="270" t="e">
        <f t="shared" si="24"/>
        <v>#REF!</v>
      </c>
      <c r="F33" s="196">
        <v>71266</v>
      </c>
      <c r="G33" s="196"/>
      <c r="H33" s="270"/>
      <c r="I33" s="196"/>
      <c r="J33" s="196"/>
      <c r="K33" s="270"/>
      <c r="L33" s="196"/>
      <c r="M33" s="196"/>
      <c r="N33" s="270"/>
      <c r="W33" s="196"/>
    </row>
    <row r="34" spans="1:23" ht="12.75" customHeight="1" hidden="1">
      <c r="A34" s="268">
        <v>56</v>
      </c>
      <c r="B34" s="269" t="s">
        <v>15</v>
      </c>
      <c r="C34" s="196" t="e">
        <f>str1!#REF!</f>
        <v>#REF!</v>
      </c>
      <c r="D34" s="196">
        <f t="shared" si="23"/>
        <v>26072.47264132292</v>
      </c>
      <c r="E34" s="270" t="e">
        <f t="shared" si="24"/>
        <v>#REF!</v>
      </c>
      <c r="F34" s="196">
        <v>122590</v>
      </c>
      <c r="G34" s="196"/>
      <c r="H34" s="270"/>
      <c r="I34" s="196"/>
      <c r="J34" s="196"/>
      <c r="K34" s="270"/>
      <c r="L34" s="196"/>
      <c r="M34" s="196"/>
      <c r="N34" s="270"/>
      <c r="W34" s="196"/>
    </row>
    <row r="35" spans="1:23" ht="12.75" customHeight="1" hidden="1">
      <c r="A35" s="268">
        <v>71</v>
      </c>
      <c r="B35" s="269" t="s">
        <v>207</v>
      </c>
      <c r="C35" s="196" t="e">
        <f>str1!#REF!</f>
        <v>#REF!</v>
      </c>
      <c r="D35" s="196">
        <f t="shared" si="23"/>
        <v>19068.77434625518</v>
      </c>
      <c r="E35" s="270" t="e">
        <f t="shared" si="24"/>
        <v>#REF!</v>
      </c>
      <c r="F35" s="196">
        <v>21395</v>
      </c>
      <c r="G35" s="196"/>
      <c r="H35" s="270"/>
      <c r="I35" s="196"/>
      <c r="J35" s="196"/>
      <c r="K35" s="270"/>
      <c r="L35" s="196"/>
      <c r="M35" s="196"/>
      <c r="N35" s="270"/>
      <c r="W35" s="196"/>
    </row>
    <row r="36" spans="1:23" ht="12.75" customHeight="1" hidden="1">
      <c r="A36" s="268">
        <v>85</v>
      </c>
      <c r="B36" s="269" t="s">
        <v>106</v>
      </c>
      <c r="C36" s="196" t="e">
        <f>str1!#REF!</f>
        <v>#REF!</v>
      </c>
      <c r="D36" s="196">
        <f t="shared" si="23"/>
        <v>2194.2061304592235</v>
      </c>
      <c r="E36" s="271" t="e">
        <f t="shared" si="24"/>
        <v>#REF!</v>
      </c>
      <c r="F36" s="196">
        <v>1648</v>
      </c>
      <c r="G36" s="196"/>
      <c r="H36" s="271"/>
      <c r="I36" s="196"/>
      <c r="J36" s="196"/>
      <c r="K36" s="271"/>
      <c r="L36" s="196"/>
      <c r="M36" s="196"/>
      <c r="N36" s="271"/>
      <c r="W36" s="196"/>
    </row>
    <row r="37" spans="1:23" ht="13.5" customHeight="1" hidden="1" thickBot="1">
      <c r="A37" s="272">
        <v>92</v>
      </c>
      <c r="B37" s="273" t="s">
        <v>17</v>
      </c>
      <c r="C37" s="274" t="e">
        <f>str1!#REF!</f>
        <v>#REF!</v>
      </c>
      <c r="D37" s="274">
        <f t="shared" si="23"/>
        <v>2418.139168260824</v>
      </c>
      <c r="E37" s="275" t="e">
        <f t="shared" si="24"/>
        <v>#REF!</v>
      </c>
      <c r="F37" s="274">
        <v>2251</v>
      </c>
      <c r="G37" s="274"/>
      <c r="H37" s="275"/>
      <c r="I37" s="274"/>
      <c r="J37" s="274"/>
      <c r="K37" s="275"/>
      <c r="L37" s="274"/>
      <c r="M37" s="274"/>
      <c r="N37" s="275"/>
      <c r="W37" s="274"/>
    </row>
    <row r="38" spans="1:23" ht="13.5" customHeight="1" hidden="1" thickBot="1">
      <c r="A38" s="276" t="s">
        <v>70</v>
      </c>
      <c r="B38" s="204"/>
      <c r="C38" s="198" t="e">
        <f>SUM(C26:C36)</f>
        <v>#REF!</v>
      </c>
      <c r="D38" s="198">
        <f>SUM(D26:D37)</f>
        <v>434077.9199999999</v>
      </c>
      <c r="E38" s="277" t="e">
        <f>SUM(E26:E37)</f>
        <v>#REF!</v>
      </c>
      <c r="F38" s="198">
        <f>SUM(F26:F37)</f>
        <v>1820104</v>
      </c>
      <c r="G38" s="198"/>
      <c r="H38" s="277"/>
      <c r="I38" s="198"/>
      <c r="J38" s="198"/>
      <c r="K38" s="277"/>
      <c r="L38" s="198"/>
      <c r="M38" s="198"/>
      <c r="N38" s="277"/>
      <c r="W38" s="198"/>
    </row>
    <row r="39" spans="1:23" ht="12.75" hidden="1">
      <c r="A39" s="278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W39" s="279"/>
    </row>
    <row r="44" spans="3:23" ht="12.75"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W44" s="124"/>
    </row>
  </sheetData>
  <sheetProtection/>
  <mergeCells count="6">
    <mergeCell ref="A3:B3"/>
    <mergeCell ref="A24:B25"/>
    <mergeCell ref="A4:B4"/>
    <mergeCell ref="AH3:AH4"/>
    <mergeCell ref="AI3:AI4"/>
    <mergeCell ref="AJ3:AJ4"/>
  </mergeCells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scale="52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T60"/>
  <sheetViews>
    <sheetView showGridLines="0" zoomScalePageLayoutView="0" workbookViewId="0" topLeftCell="A1">
      <selection activeCell="E35" sqref="E35"/>
    </sheetView>
  </sheetViews>
  <sheetFormatPr defaultColWidth="11.375" defaultRowHeight="12.75"/>
  <cols>
    <col min="1" max="1" width="11.375" style="49" customWidth="1"/>
    <col min="2" max="2" width="11.125" style="49" customWidth="1"/>
    <col min="3" max="3" width="10.375" style="49" customWidth="1"/>
    <col min="4" max="5" width="10.25390625" style="49" customWidth="1"/>
    <col min="6" max="6" width="11.25390625" style="49" customWidth="1"/>
    <col min="7" max="7" width="11.125" style="49" customWidth="1"/>
    <col min="8" max="8" width="10.375" style="49" customWidth="1"/>
    <col min="9" max="9" width="10.25390625" style="49" customWidth="1"/>
    <col min="10" max="10" width="11.00390625" style="49" bestFit="1" customWidth="1"/>
    <col min="11" max="11" width="9.875" style="49" customWidth="1"/>
    <col min="12" max="12" width="9.125" style="49" customWidth="1"/>
    <col min="13" max="13" width="9.625" style="49" customWidth="1"/>
    <col min="14" max="14" width="4.00390625" style="49" customWidth="1"/>
    <col min="15" max="15" width="10.25390625" style="49" customWidth="1"/>
    <col min="16" max="16" width="2.75390625" style="49" customWidth="1"/>
    <col min="17" max="17" width="8.75390625" style="49" customWidth="1"/>
    <col min="18" max="18" width="11.375" style="49" customWidth="1"/>
    <col min="19" max="19" width="10.75390625" style="49" customWidth="1"/>
    <col min="20" max="16384" width="11.375" style="49" customWidth="1"/>
  </cols>
  <sheetData>
    <row r="1" ht="15.75">
      <c r="A1" s="125" t="s">
        <v>671</v>
      </c>
    </row>
    <row r="2" ht="12.75">
      <c r="A2" s="284" t="s">
        <v>672</v>
      </c>
    </row>
    <row r="3" ht="13.5" thickBot="1">
      <c r="A3" s="280"/>
    </row>
    <row r="4" spans="1:3" ht="15.75" customHeight="1">
      <c r="A4" s="12" t="s">
        <v>286</v>
      </c>
      <c r="C4" s="281">
        <f>str1!F8</f>
        <v>590751</v>
      </c>
    </row>
    <row r="5" spans="1:3" ht="15.75" customHeight="1">
      <c r="A5" s="13" t="s">
        <v>354</v>
      </c>
      <c r="B5" s="13"/>
      <c r="C5" s="1001">
        <v>26574</v>
      </c>
    </row>
    <row r="6" spans="1:3" ht="19.5" thickBot="1">
      <c r="A6" s="14" t="s">
        <v>287</v>
      </c>
      <c r="B6" s="13"/>
      <c r="C6" s="33">
        <f>C4-C5</f>
        <v>564177</v>
      </c>
    </row>
    <row r="7" ht="13.5" thickBot="1"/>
    <row r="8" spans="1:9" ht="44.25" customHeight="1">
      <c r="A8" s="29"/>
      <c r="B8" s="30" t="s">
        <v>363</v>
      </c>
      <c r="C8" s="30" t="s">
        <v>364</v>
      </c>
      <c r="D8" s="667" t="s">
        <v>288</v>
      </c>
      <c r="E8" s="30" t="s">
        <v>289</v>
      </c>
      <c r="F8" s="30" t="s">
        <v>533</v>
      </c>
      <c r="G8" s="31" t="s">
        <v>290</v>
      </c>
      <c r="H8" s="665" t="s">
        <v>579</v>
      </c>
      <c r="I8" s="45" t="s">
        <v>387</v>
      </c>
    </row>
    <row r="9" spans="1:9" s="13" customFormat="1" ht="12.75" customHeight="1">
      <c r="A9" s="32"/>
      <c r="B9" s="15">
        <v>1</v>
      </c>
      <c r="C9" s="15">
        <v>2</v>
      </c>
      <c r="D9" s="668" t="s">
        <v>330</v>
      </c>
      <c r="E9" s="15">
        <v>4</v>
      </c>
      <c r="F9" s="15">
        <v>5</v>
      </c>
      <c r="G9" s="16">
        <v>6</v>
      </c>
      <c r="H9" s="666">
        <v>7</v>
      </c>
      <c r="I9" s="46">
        <v>8</v>
      </c>
    </row>
    <row r="10" spans="1:9" ht="12.75">
      <c r="A10" s="32" t="s">
        <v>7</v>
      </c>
      <c r="B10" s="1000">
        <v>31727.307</v>
      </c>
      <c r="C10" s="1000">
        <v>-1053.8346224982072</v>
      </c>
      <c r="D10" s="669">
        <f>SUM(B10:C10)</f>
        <v>30673.472377501792</v>
      </c>
      <c r="E10" s="1442">
        <f>D10/$D$25</f>
        <v>0.12485704996928768</v>
      </c>
      <c r="F10" s="17">
        <f>E10*$C$6</f>
        <v>70441.47588052282</v>
      </c>
      <c r="G10" s="18"/>
      <c r="H10" s="671">
        <f aca="true" t="shared" si="0" ref="H10:H24">F10+G10</f>
        <v>70441.47588052282</v>
      </c>
      <c r="I10" s="47">
        <f>ROUND(H10,1)</f>
        <v>70441.5</v>
      </c>
    </row>
    <row r="11" spans="1:9" ht="12.75">
      <c r="A11" s="32" t="s">
        <v>8</v>
      </c>
      <c r="B11" s="1000">
        <v>29082.31</v>
      </c>
      <c r="C11" s="1000"/>
      <c r="D11" s="669">
        <f aca="true" t="shared" si="1" ref="D11:D24">SUM(B11:C11)</f>
        <v>29082.31</v>
      </c>
      <c r="E11" s="1442">
        <f aca="true" t="shared" si="2" ref="E11:E24">D11/$D$25</f>
        <v>0.11838018820313467</v>
      </c>
      <c r="F11" s="17">
        <f>E11*$C$6</f>
        <v>66787.37943987991</v>
      </c>
      <c r="G11" s="18"/>
      <c r="H11" s="671">
        <f t="shared" si="0"/>
        <v>66787.37943987991</v>
      </c>
      <c r="I11" s="47">
        <f aca="true" t="shared" si="3" ref="I11:I24">ROUND(H11,1)</f>
        <v>66787.4</v>
      </c>
    </row>
    <row r="12" spans="1:9" ht="12.75">
      <c r="A12" s="32" t="s">
        <v>9</v>
      </c>
      <c r="B12" s="1000">
        <v>10734.199</v>
      </c>
      <c r="C12" s="1000"/>
      <c r="D12" s="669">
        <f t="shared" si="1"/>
        <v>10734.199</v>
      </c>
      <c r="E12" s="1442">
        <f t="shared" si="2"/>
        <v>0.043693795225685304</v>
      </c>
      <c r="F12" s="17">
        <f aca="true" t="shared" si="4" ref="F12:F23">E12*$C$6</f>
        <v>24651.034309041457</v>
      </c>
      <c r="G12" s="18"/>
      <c r="H12" s="671">
        <f t="shared" si="0"/>
        <v>24651.034309041457</v>
      </c>
      <c r="I12" s="47">
        <f t="shared" si="3"/>
        <v>24651</v>
      </c>
    </row>
    <row r="13" spans="1:11" ht="12.75">
      <c r="A13" s="32" t="s">
        <v>291</v>
      </c>
      <c r="B13" s="1014">
        <v>13431.638</v>
      </c>
      <c r="C13" s="1014">
        <v>31.216</v>
      </c>
      <c r="D13" s="669">
        <f t="shared" si="1"/>
        <v>13462.854000000001</v>
      </c>
      <c r="E13" s="1442">
        <f t="shared" si="2"/>
        <v>0.05480084595313524</v>
      </c>
      <c r="F13" s="17">
        <f t="shared" si="4"/>
        <v>30917.37686730198</v>
      </c>
      <c r="G13" s="18"/>
      <c r="H13" s="671">
        <f t="shared" si="0"/>
        <v>30917.37686730198</v>
      </c>
      <c r="I13" s="47">
        <f t="shared" si="3"/>
        <v>30917.4</v>
      </c>
      <c r="K13" s="282"/>
    </row>
    <row r="14" spans="1:9" ht="12.75">
      <c r="A14" s="32" t="s">
        <v>11</v>
      </c>
      <c r="B14" s="1000">
        <v>100675.05</v>
      </c>
      <c r="C14" s="1000">
        <v>-3755.832712261921</v>
      </c>
      <c r="D14" s="669">
        <f t="shared" si="1"/>
        <v>96919.21728773808</v>
      </c>
      <c r="E14" s="1442">
        <f t="shared" si="2"/>
        <v>0.3945118246460799</v>
      </c>
      <c r="F14" s="17">
        <f t="shared" si="4"/>
        <v>222574.49769335144</v>
      </c>
      <c r="G14" s="18"/>
      <c r="H14" s="671">
        <f t="shared" si="0"/>
        <v>222574.49769335144</v>
      </c>
      <c r="I14" s="47">
        <f t="shared" si="3"/>
        <v>222574.5</v>
      </c>
    </row>
    <row r="15" spans="1:9" ht="12.75">
      <c r="A15" s="32" t="s">
        <v>12</v>
      </c>
      <c r="B15" s="1000">
        <v>15625.684</v>
      </c>
      <c r="C15" s="1000"/>
      <c r="D15" s="669">
        <f t="shared" si="1"/>
        <v>15625.684</v>
      </c>
      <c r="E15" s="1442">
        <f t="shared" si="2"/>
        <v>0.06360469346220125</v>
      </c>
      <c r="F15" s="17">
        <f t="shared" si="4"/>
        <v>35884.30514342432</v>
      </c>
      <c r="G15" s="18"/>
      <c r="H15" s="671">
        <f t="shared" si="0"/>
        <v>35884.30514342432</v>
      </c>
      <c r="I15" s="47">
        <f t="shared" si="3"/>
        <v>35884.3</v>
      </c>
    </row>
    <row r="16" spans="1:9" ht="12.75">
      <c r="A16" s="32" t="s">
        <v>13</v>
      </c>
      <c r="B16" s="1000">
        <v>13198.003</v>
      </c>
      <c r="C16" s="1000"/>
      <c r="D16" s="669">
        <f t="shared" si="1"/>
        <v>13198.003</v>
      </c>
      <c r="E16" s="1442">
        <f t="shared" si="2"/>
        <v>0.053722764080485215</v>
      </c>
      <c r="F16" s="17">
        <f t="shared" si="4"/>
        <v>30309.14787063591</v>
      </c>
      <c r="G16" s="18"/>
      <c r="H16" s="671">
        <f t="shared" si="0"/>
        <v>30309.14787063591</v>
      </c>
      <c r="I16" s="47">
        <f t="shared" si="3"/>
        <v>30309.1</v>
      </c>
    </row>
    <row r="17" spans="1:9" ht="12.75">
      <c r="A17" s="32" t="s">
        <v>14</v>
      </c>
      <c r="B17" s="1000">
        <v>1501.679</v>
      </c>
      <c r="C17" s="1000"/>
      <c r="D17" s="669">
        <f t="shared" si="1"/>
        <v>1501.679</v>
      </c>
      <c r="E17" s="1442">
        <f t="shared" si="2"/>
        <v>0.006112617692359894</v>
      </c>
      <c r="F17" s="17">
        <f t="shared" si="4"/>
        <v>3448.598311822528</v>
      </c>
      <c r="G17" s="18"/>
      <c r="H17" s="671">
        <f t="shared" si="0"/>
        <v>3448.598311822528</v>
      </c>
      <c r="I17" s="47">
        <f t="shared" si="3"/>
        <v>3448.6</v>
      </c>
    </row>
    <row r="18" spans="1:9" ht="12.75">
      <c r="A18" s="32" t="s">
        <v>15</v>
      </c>
      <c r="B18" s="1000">
        <v>5627.187</v>
      </c>
      <c r="C18" s="1000"/>
      <c r="D18" s="669">
        <f t="shared" si="1"/>
        <v>5627.187</v>
      </c>
      <c r="E18" s="1442">
        <f t="shared" si="2"/>
        <v>0.022905589553038695</v>
      </c>
      <c r="F18" s="17">
        <f t="shared" si="4"/>
        <v>12922.806797264711</v>
      </c>
      <c r="G18" s="18"/>
      <c r="H18" s="671">
        <f t="shared" si="0"/>
        <v>12922.806797264711</v>
      </c>
      <c r="I18" s="47">
        <f t="shared" si="3"/>
        <v>12922.8</v>
      </c>
    </row>
    <row r="19" spans="1:9" ht="12.75">
      <c r="A19" s="32" t="s">
        <v>292</v>
      </c>
      <c r="B19" s="1000">
        <v>19984.132</v>
      </c>
      <c r="C19" s="1000">
        <v>6809.66717000006</v>
      </c>
      <c r="D19" s="669">
        <f t="shared" si="1"/>
        <v>26793.79917000006</v>
      </c>
      <c r="E19" s="1442">
        <f t="shared" si="2"/>
        <v>0.10906475408664582</v>
      </c>
      <c r="F19" s="17">
        <f t="shared" si="4"/>
        <v>61531.82576634158</v>
      </c>
      <c r="G19" s="18"/>
      <c r="H19" s="671">
        <f t="shared" si="0"/>
        <v>61531.82576634158</v>
      </c>
      <c r="I19" s="47">
        <f t="shared" si="3"/>
        <v>61531.8</v>
      </c>
    </row>
    <row r="20" spans="1:9" ht="12.75">
      <c r="A20" s="32" t="s">
        <v>106</v>
      </c>
      <c r="B20" s="1000">
        <v>356.493</v>
      </c>
      <c r="C20" s="1000"/>
      <c r="D20" s="669">
        <f t="shared" si="1"/>
        <v>356.493</v>
      </c>
      <c r="E20" s="1442">
        <f t="shared" si="2"/>
        <v>0.0014511126672227923</v>
      </c>
      <c r="F20" s="17">
        <f t="shared" si="4"/>
        <v>818.6843912557533</v>
      </c>
      <c r="G20" s="18"/>
      <c r="H20" s="671">
        <f t="shared" si="0"/>
        <v>818.6843912557533</v>
      </c>
      <c r="I20" s="47">
        <f t="shared" si="3"/>
        <v>818.7</v>
      </c>
    </row>
    <row r="21" spans="1:9" ht="12.75">
      <c r="A21" s="32" t="s">
        <v>82</v>
      </c>
      <c r="B21" s="1000">
        <v>205.145</v>
      </c>
      <c r="C21" s="1000"/>
      <c r="D21" s="669">
        <f t="shared" si="1"/>
        <v>205.145</v>
      </c>
      <c r="E21" s="1442">
        <f t="shared" si="2"/>
        <v>0.0008350472747499102</v>
      </c>
      <c r="F21" s="17">
        <f t="shared" si="4"/>
        <v>471.1144663265801</v>
      </c>
      <c r="G21" s="18"/>
      <c r="H21" s="671">
        <f t="shared" si="0"/>
        <v>471.1144663265801</v>
      </c>
      <c r="I21" s="47">
        <f t="shared" si="3"/>
        <v>471.1</v>
      </c>
    </row>
    <row r="22" spans="1:9" ht="12.75">
      <c r="A22" s="32" t="s">
        <v>17</v>
      </c>
      <c r="B22" s="1000">
        <v>1137.399</v>
      </c>
      <c r="C22" s="17"/>
      <c r="D22" s="669">
        <f t="shared" si="1"/>
        <v>1137.399</v>
      </c>
      <c r="E22" s="1442">
        <f t="shared" si="2"/>
        <v>0.004629807868840445</v>
      </c>
      <c r="F22" s="17">
        <f t="shared" si="4"/>
        <v>2612.0311140187955</v>
      </c>
      <c r="G22" s="18"/>
      <c r="H22" s="671">
        <f t="shared" si="0"/>
        <v>2612.0311140187955</v>
      </c>
      <c r="I22" s="47">
        <f t="shared" si="3"/>
        <v>2612</v>
      </c>
    </row>
    <row r="23" spans="1:9" ht="12.75">
      <c r="A23" s="32" t="s">
        <v>24</v>
      </c>
      <c r="B23" s="1000">
        <v>351.284</v>
      </c>
      <c r="C23" s="17"/>
      <c r="D23" s="669">
        <f t="shared" si="1"/>
        <v>351.284</v>
      </c>
      <c r="E23" s="1442">
        <f t="shared" si="2"/>
        <v>0.0014299093171329911</v>
      </c>
      <c r="F23" s="17">
        <f t="shared" si="4"/>
        <v>806.7219488121395</v>
      </c>
      <c r="G23" s="18"/>
      <c r="H23" s="671">
        <f t="shared" si="0"/>
        <v>806.7219488121395</v>
      </c>
      <c r="I23" s="47">
        <f t="shared" si="3"/>
        <v>806.7</v>
      </c>
    </row>
    <row r="24" spans="1:9" ht="13.5" thickBot="1">
      <c r="A24" s="754" t="s">
        <v>293</v>
      </c>
      <c r="B24" s="1000">
        <v>31.216</v>
      </c>
      <c r="C24" s="17">
        <v>-31.216</v>
      </c>
      <c r="D24" s="669">
        <f t="shared" si="1"/>
        <v>0</v>
      </c>
      <c r="E24" s="1442">
        <f t="shared" si="2"/>
        <v>0</v>
      </c>
      <c r="F24" s="1000">
        <f>C5</f>
        <v>26574</v>
      </c>
      <c r="G24" s="18"/>
      <c r="H24" s="671">
        <f t="shared" si="0"/>
        <v>26574</v>
      </c>
      <c r="I24" s="47">
        <f t="shared" si="3"/>
        <v>26574</v>
      </c>
    </row>
    <row r="25" spans="1:12" ht="17.25" customHeight="1" thickBot="1">
      <c r="A25" s="34" t="s">
        <v>35</v>
      </c>
      <c r="B25" s="35">
        <f>SUM(B10:B24)</f>
        <v>243668.72600000002</v>
      </c>
      <c r="C25" s="35">
        <f>SUM(C10:C24)</f>
        <v>1999.9998352399311</v>
      </c>
      <c r="D25" s="670">
        <f>SUM(D10:D24)</f>
        <v>245668.72583523998</v>
      </c>
      <c r="E25" s="36">
        <f>SUM(E10:E24)</f>
        <v>0.9999999999999999</v>
      </c>
      <c r="F25" s="664">
        <f>C4</f>
        <v>590751</v>
      </c>
      <c r="G25" s="37">
        <f>SUM(G10:G24)</f>
        <v>0</v>
      </c>
      <c r="H25" s="672">
        <f>SUM(H10:H24)</f>
        <v>590750.9999999998</v>
      </c>
      <c r="I25" s="48">
        <f>SUM(I10:I24)</f>
        <v>590750.8999999998</v>
      </c>
      <c r="L25" s="283"/>
    </row>
    <row r="26" spans="1:13" ht="12" customHeight="1">
      <c r="A26" s="19"/>
      <c r="B26" s="27"/>
      <c r="F26" s="710" t="s">
        <v>353</v>
      </c>
      <c r="G26" s="28">
        <f>F25-F24</f>
        <v>564177</v>
      </c>
      <c r="M26" s="283"/>
    </row>
    <row r="27" spans="6:7" ht="12" customHeight="1">
      <c r="F27" s="711" t="s">
        <v>73</v>
      </c>
      <c r="G27" s="25">
        <f>SUM(F10:F24)</f>
        <v>590750.9999999998</v>
      </c>
    </row>
    <row r="28" ht="6" customHeight="1"/>
    <row r="31" ht="12.75">
      <c r="E31" s="283"/>
    </row>
    <row r="37" ht="12.75">
      <c r="T37" s="124"/>
    </row>
    <row r="38" ht="12.75">
      <c r="T38" s="124"/>
    </row>
    <row r="39" ht="12.75">
      <c r="T39" s="124"/>
    </row>
    <row r="40" ht="12.75">
      <c r="T40" s="124"/>
    </row>
    <row r="41" ht="12.75">
      <c r="T41" s="124"/>
    </row>
    <row r="42" ht="12.75">
      <c r="T42" s="124"/>
    </row>
    <row r="43" ht="12.75">
      <c r="T43" s="124"/>
    </row>
    <row r="44" ht="12.75">
      <c r="T44" s="124"/>
    </row>
    <row r="45" ht="12.75">
      <c r="T45" s="124"/>
    </row>
    <row r="46" ht="12.75">
      <c r="T46" s="124"/>
    </row>
    <row r="47" ht="12.75">
      <c r="T47" s="124"/>
    </row>
    <row r="48" ht="12.75">
      <c r="T48" s="124"/>
    </row>
    <row r="49" ht="12.75">
      <c r="T49" s="124"/>
    </row>
    <row r="50" ht="12.75">
      <c r="T50" s="124"/>
    </row>
    <row r="51" ht="12.75">
      <c r="T51" s="124"/>
    </row>
    <row r="52" ht="12.75">
      <c r="T52" s="124"/>
    </row>
    <row r="53" ht="12.75">
      <c r="T53" s="124"/>
    </row>
    <row r="54" ht="12.75">
      <c r="T54" s="124"/>
    </row>
    <row r="55" ht="12.75">
      <c r="T55" s="124"/>
    </row>
    <row r="56" ht="12.75">
      <c r="T56" s="124"/>
    </row>
    <row r="57" ht="12.75">
      <c r="T57" s="124"/>
    </row>
    <row r="58" ht="12.75">
      <c r="T58" s="124"/>
    </row>
    <row r="60" ht="12.75">
      <c r="L60" s="12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 alignWithMargins="0">
    <oddFooter>&amp;C&amp;9 3  
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3:O51"/>
  <sheetViews>
    <sheetView showGridLines="0" zoomScalePageLayoutView="0" workbookViewId="0" topLeftCell="A1">
      <selection activeCell="J26" sqref="J26"/>
    </sheetView>
  </sheetViews>
  <sheetFormatPr defaultColWidth="8.75390625" defaultRowHeight="12.75"/>
  <cols>
    <col min="1" max="1" width="3.75390625" style="49" customWidth="1"/>
    <col min="2" max="2" width="8.75390625" style="49" customWidth="1"/>
    <col min="3" max="3" width="9.75390625" style="49" customWidth="1"/>
    <col min="4" max="5" width="10.75390625" style="49" customWidth="1"/>
    <col min="6" max="6" width="10.00390625" style="49" customWidth="1"/>
    <col min="7" max="7" width="11.00390625" style="49" customWidth="1"/>
    <col min="8" max="8" width="9.625" style="49" customWidth="1"/>
    <col min="9" max="9" width="9.125" style="49" bestFit="1" customWidth="1"/>
    <col min="10" max="16384" width="8.75390625" style="49" customWidth="1"/>
  </cols>
  <sheetData>
    <row r="3" spans="1:12" ht="16.5" thickBot="1">
      <c r="A3" s="122" t="s">
        <v>365</v>
      </c>
      <c r="B3" s="60"/>
      <c r="C3" s="60"/>
      <c r="D3" s="60"/>
      <c r="E3" s="60"/>
      <c r="F3" s="60"/>
      <c r="G3" s="60"/>
      <c r="H3" s="60"/>
      <c r="I3" s="60"/>
      <c r="J3" s="61"/>
      <c r="K3" s="61"/>
      <c r="L3" s="61"/>
    </row>
    <row r="4" spans="1:12" ht="12.75">
      <c r="A4" s="139"/>
      <c r="B4" s="142"/>
      <c r="C4" s="1535" t="s">
        <v>673</v>
      </c>
      <c r="D4" s="1536"/>
      <c r="E4" s="1537"/>
      <c r="F4" s="1538" t="s">
        <v>674</v>
      </c>
      <c r="G4" s="1538"/>
      <c r="H4" s="1539"/>
      <c r="I4" s="60"/>
      <c r="J4" s="60"/>
      <c r="K4" s="60"/>
      <c r="L4" s="61"/>
    </row>
    <row r="5" spans="1:12" ht="33.75" customHeight="1" thickBot="1">
      <c r="A5" s="1543" t="s">
        <v>6</v>
      </c>
      <c r="B5" s="1544"/>
      <c r="C5" s="285" t="s">
        <v>19</v>
      </c>
      <c r="D5" s="286" t="s">
        <v>155</v>
      </c>
      <c r="E5" s="287" t="s">
        <v>16</v>
      </c>
      <c r="F5" s="288" t="s">
        <v>19</v>
      </c>
      <c r="G5" s="286" t="s">
        <v>155</v>
      </c>
      <c r="H5" s="287" t="s">
        <v>16</v>
      </c>
      <c r="I5" s="60"/>
      <c r="J5" s="60"/>
      <c r="K5" s="60"/>
      <c r="L5" s="61"/>
    </row>
    <row r="6" spans="1:12" ht="12.75">
      <c r="A6" s="729">
        <v>11</v>
      </c>
      <c r="B6" s="210" t="s">
        <v>7</v>
      </c>
      <c r="C6" s="759">
        <f>str1!H16</f>
        <v>325063.7</v>
      </c>
      <c r="D6" s="291">
        <f>str3!I10</f>
        <v>70441.5</v>
      </c>
      <c r="E6" s="289">
        <f>SUM(C6:D6)</f>
        <v>395505.2</v>
      </c>
      <c r="F6" s="290">
        <v>329459</v>
      </c>
      <c r="G6" s="291">
        <v>66146</v>
      </c>
      <c r="H6" s="755">
        <f>F6+G6</f>
        <v>395605</v>
      </c>
      <c r="I6" s="60"/>
      <c r="J6" s="60"/>
      <c r="K6" s="60"/>
      <c r="L6" s="61"/>
    </row>
    <row r="7" spans="1:12" ht="12.75">
      <c r="A7" s="730">
        <v>21</v>
      </c>
      <c r="B7" s="214" t="s">
        <v>8</v>
      </c>
      <c r="C7" s="673">
        <f>str1!H17</f>
        <v>335068.1</v>
      </c>
      <c r="D7" s="295">
        <f>str3!I11</f>
        <v>66787.4</v>
      </c>
      <c r="E7" s="293">
        <f aca="true" t="shared" si="0" ref="E7:E21">SUM(C7:D7)</f>
        <v>401855.5</v>
      </c>
      <c r="F7" s="294">
        <v>337265</v>
      </c>
      <c r="G7" s="295">
        <v>60777</v>
      </c>
      <c r="H7" s="756">
        <f>G7+F7</f>
        <v>398042</v>
      </c>
      <c r="I7" s="60"/>
      <c r="J7" s="60"/>
      <c r="K7" s="60"/>
      <c r="L7" s="61"/>
    </row>
    <row r="8" spans="1:12" ht="12.75">
      <c r="A8" s="730">
        <v>22</v>
      </c>
      <c r="B8" s="214" t="s">
        <v>9</v>
      </c>
      <c r="C8" s="673">
        <f>str1!H18</f>
        <v>119527.6</v>
      </c>
      <c r="D8" s="295">
        <f>str3!I12</f>
        <v>24651</v>
      </c>
      <c r="E8" s="293">
        <f t="shared" si="0"/>
        <v>144178.6</v>
      </c>
      <c r="F8" s="294">
        <v>121336</v>
      </c>
      <c r="G8" s="295">
        <v>23409</v>
      </c>
      <c r="H8" s="756">
        <f aca="true" t="shared" si="1" ref="H8:H21">G8+F8</f>
        <v>144745</v>
      </c>
      <c r="I8" s="60"/>
      <c r="J8" s="60"/>
      <c r="K8" s="60"/>
      <c r="L8" s="61"/>
    </row>
    <row r="9" spans="1:12" ht="12.75">
      <c r="A9" s="730">
        <v>23</v>
      </c>
      <c r="B9" s="214" t="s">
        <v>10</v>
      </c>
      <c r="C9" s="673">
        <f>str1!H19</f>
        <v>141611.5</v>
      </c>
      <c r="D9" s="295">
        <f>str3!I13</f>
        <v>30917.4</v>
      </c>
      <c r="E9" s="293">
        <f t="shared" si="0"/>
        <v>172528.9</v>
      </c>
      <c r="F9" s="294">
        <v>144246</v>
      </c>
      <c r="G9" s="295">
        <v>27642</v>
      </c>
      <c r="H9" s="756">
        <f t="shared" si="1"/>
        <v>171888</v>
      </c>
      <c r="I9" s="60"/>
      <c r="J9" s="60"/>
      <c r="K9" s="60"/>
      <c r="L9" s="61"/>
    </row>
    <row r="10" spans="1:12" ht="12.75">
      <c r="A10" s="730">
        <v>31</v>
      </c>
      <c r="B10" s="214" t="s">
        <v>11</v>
      </c>
      <c r="C10" s="673">
        <f>str1!H20</f>
        <v>359445.8</v>
      </c>
      <c r="D10" s="295">
        <f>str3!I14</f>
        <v>222574.5</v>
      </c>
      <c r="E10" s="293">
        <f t="shared" si="0"/>
        <v>582020.3</v>
      </c>
      <c r="F10" s="294">
        <v>365485</v>
      </c>
      <c r="G10" s="295">
        <v>204138</v>
      </c>
      <c r="H10" s="756">
        <f t="shared" si="1"/>
        <v>569623</v>
      </c>
      <c r="I10" s="60"/>
      <c r="J10" s="60"/>
      <c r="K10" s="60"/>
      <c r="L10" s="61"/>
    </row>
    <row r="11" spans="1:12" ht="12.75">
      <c r="A11" s="730">
        <v>33</v>
      </c>
      <c r="B11" s="214" t="s">
        <v>12</v>
      </c>
      <c r="C11" s="673">
        <f>str1!H21</f>
        <v>129597.5</v>
      </c>
      <c r="D11" s="295">
        <f>str3!I15</f>
        <v>35884.3</v>
      </c>
      <c r="E11" s="293">
        <f t="shared" si="0"/>
        <v>165481.8</v>
      </c>
      <c r="F11" s="294">
        <v>132412</v>
      </c>
      <c r="G11" s="295">
        <v>32156</v>
      </c>
      <c r="H11" s="756">
        <f t="shared" si="1"/>
        <v>164568</v>
      </c>
      <c r="I11" s="60"/>
      <c r="J11" s="60"/>
      <c r="K11" s="60"/>
      <c r="L11" s="61"/>
    </row>
    <row r="12" spans="1:12" ht="12.75">
      <c r="A12" s="730">
        <v>41</v>
      </c>
      <c r="B12" s="214" t="s">
        <v>13</v>
      </c>
      <c r="C12" s="757">
        <f>str1!H22</f>
        <v>181108</v>
      </c>
      <c r="D12" s="295">
        <f>str3!I16</f>
        <v>30309.1</v>
      </c>
      <c r="E12" s="293">
        <f t="shared" si="0"/>
        <v>211417.1</v>
      </c>
      <c r="F12" s="294">
        <v>183950</v>
      </c>
      <c r="G12" s="295">
        <v>30182</v>
      </c>
      <c r="H12" s="756">
        <f t="shared" si="1"/>
        <v>214132</v>
      </c>
      <c r="I12" s="60"/>
      <c r="J12" s="60"/>
      <c r="K12" s="60"/>
      <c r="L12" s="61"/>
    </row>
    <row r="13" spans="1:12" ht="12.75">
      <c r="A13" s="730">
        <v>51</v>
      </c>
      <c r="B13" s="214" t="s">
        <v>14</v>
      </c>
      <c r="C13" s="673">
        <f>str1!H23</f>
        <v>69591.9</v>
      </c>
      <c r="D13" s="295">
        <f>str3!I17</f>
        <v>3448.6</v>
      </c>
      <c r="E13" s="293">
        <f t="shared" si="0"/>
        <v>73040.5</v>
      </c>
      <c r="F13" s="294">
        <v>70741</v>
      </c>
      <c r="G13" s="295">
        <v>3358</v>
      </c>
      <c r="H13" s="756">
        <f t="shared" si="1"/>
        <v>74099</v>
      </c>
      <c r="I13" s="60"/>
      <c r="J13" s="60"/>
      <c r="K13" s="60"/>
      <c r="L13" s="61"/>
    </row>
    <row r="14" spans="1:12" ht="12.75">
      <c r="A14" s="730">
        <v>56</v>
      </c>
      <c r="B14" s="214" t="s">
        <v>15</v>
      </c>
      <c r="C14" s="758">
        <f>str1!H24</f>
        <v>123983.9</v>
      </c>
      <c r="D14" s="295">
        <f>str3!I18</f>
        <v>12922.8</v>
      </c>
      <c r="E14" s="293">
        <f t="shared" si="0"/>
        <v>136906.69999999998</v>
      </c>
      <c r="F14" s="294">
        <v>124385</v>
      </c>
      <c r="G14" s="295">
        <v>11690</v>
      </c>
      <c r="H14" s="756">
        <f t="shared" si="1"/>
        <v>136075</v>
      </c>
      <c r="I14" s="60"/>
      <c r="J14" s="60"/>
      <c r="K14" s="60"/>
      <c r="L14" s="61"/>
    </row>
    <row r="15" spans="1:12" ht="12.75">
      <c r="A15" s="730"/>
      <c r="B15" s="214" t="s">
        <v>200</v>
      </c>
      <c r="C15" s="673"/>
      <c r="D15" s="295">
        <v>0</v>
      </c>
      <c r="E15" s="293">
        <f t="shared" si="0"/>
        <v>0</v>
      </c>
      <c r="F15" s="294"/>
      <c r="G15" s="295">
        <v>0</v>
      </c>
      <c r="H15" s="756">
        <f t="shared" si="1"/>
        <v>0</v>
      </c>
      <c r="I15" s="60"/>
      <c r="J15" s="60"/>
      <c r="K15" s="60"/>
      <c r="L15" s="61"/>
    </row>
    <row r="16" spans="1:12" ht="12.75">
      <c r="A16" s="730">
        <v>71</v>
      </c>
      <c r="B16" s="214" t="s">
        <v>207</v>
      </c>
      <c r="C16" s="673">
        <f>str1!H25</f>
        <v>19048.6</v>
      </c>
      <c r="D16" s="295">
        <f>str3!I19</f>
        <v>61531.8</v>
      </c>
      <c r="E16" s="293">
        <f t="shared" si="0"/>
        <v>80580.4</v>
      </c>
      <c r="F16" s="294">
        <v>19328</v>
      </c>
      <c r="G16" s="295">
        <v>47613</v>
      </c>
      <c r="H16" s="756">
        <f t="shared" si="1"/>
        <v>66941</v>
      </c>
      <c r="I16" s="60"/>
      <c r="J16" s="60"/>
      <c r="K16" s="60"/>
      <c r="L16" s="61"/>
    </row>
    <row r="17" spans="1:12" ht="12.75">
      <c r="A17" s="730">
        <v>84</v>
      </c>
      <c r="B17" s="214" t="s">
        <v>82</v>
      </c>
      <c r="C17" s="673">
        <v>0</v>
      </c>
      <c r="D17" s="295">
        <f>str3!I21</f>
        <v>471.1</v>
      </c>
      <c r="E17" s="293">
        <f t="shared" si="0"/>
        <v>471.1</v>
      </c>
      <c r="F17" s="294">
        <v>0</v>
      </c>
      <c r="G17" s="295">
        <v>353</v>
      </c>
      <c r="H17" s="756">
        <f t="shared" si="1"/>
        <v>353</v>
      </c>
      <c r="I17" s="60"/>
      <c r="J17" s="60"/>
      <c r="K17" s="60"/>
      <c r="L17" s="61"/>
    </row>
    <row r="18" spans="1:12" ht="12.75">
      <c r="A18" s="730">
        <v>85</v>
      </c>
      <c r="B18" s="214" t="s">
        <v>106</v>
      </c>
      <c r="C18" s="673">
        <f>str1!H26</f>
        <v>2194.2</v>
      </c>
      <c r="D18" s="295">
        <f>str3!I20</f>
        <v>818.7</v>
      </c>
      <c r="E18" s="293">
        <f t="shared" si="0"/>
        <v>3012.8999999999996</v>
      </c>
      <c r="F18" s="294">
        <v>2224</v>
      </c>
      <c r="G18" s="295">
        <v>612</v>
      </c>
      <c r="H18" s="756">
        <f t="shared" si="1"/>
        <v>2836</v>
      </c>
      <c r="I18" s="60"/>
      <c r="J18" s="60"/>
      <c r="K18" s="60"/>
      <c r="L18" s="61"/>
    </row>
    <row r="19" spans="1:12" ht="12.75">
      <c r="A19" s="730">
        <v>92</v>
      </c>
      <c r="B19" s="214" t="s">
        <v>17</v>
      </c>
      <c r="C19" s="673">
        <f>str1!H27</f>
        <v>2417.1</v>
      </c>
      <c r="D19" s="295">
        <f>str3!I22</f>
        <v>2612</v>
      </c>
      <c r="E19" s="293">
        <f t="shared" si="0"/>
        <v>5029.1</v>
      </c>
      <c r="F19" s="294">
        <v>2451</v>
      </c>
      <c r="G19" s="295">
        <v>1977</v>
      </c>
      <c r="H19" s="756">
        <f t="shared" si="1"/>
        <v>4428</v>
      </c>
      <c r="I19" s="60"/>
      <c r="J19" s="60"/>
      <c r="K19" s="60"/>
      <c r="L19" s="61"/>
    </row>
    <row r="20" spans="1:12" ht="12.75">
      <c r="A20" s="731">
        <v>96</v>
      </c>
      <c r="B20" s="732" t="s">
        <v>24</v>
      </c>
      <c r="C20" s="673">
        <v>0</v>
      </c>
      <c r="D20" s="295">
        <f>str3!I23</f>
        <v>806.7</v>
      </c>
      <c r="E20" s="293">
        <f t="shared" si="0"/>
        <v>806.7</v>
      </c>
      <c r="F20" s="294">
        <v>0</v>
      </c>
      <c r="G20" s="296">
        <v>469</v>
      </c>
      <c r="H20" s="756">
        <f t="shared" si="1"/>
        <v>469</v>
      </c>
      <c r="I20" s="60"/>
      <c r="J20" s="60"/>
      <c r="K20" s="60"/>
      <c r="L20" s="61"/>
    </row>
    <row r="21" spans="1:12" ht="12.75">
      <c r="A21" s="731">
        <v>99</v>
      </c>
      <c r="B21" s="218" t="s">
        <v>284</v>
      </c>
      <c r="C21" s="673">
        <v>0</v>
      </c>
      <c r="D21" s="974">
        <f>str3!I24</f>
        <v>26574</v>
      </c>
      <c r="E21" s="293">
        <f t="shared" si="0"/>
        <v>26574</v>
      </c>
      <c r="F21" s="297">
        <v>0</v>
      </c>
      <c r="G21" s="296">
        <v>21215</v>
      </c>
      <c r="H21" s="756">
        <f t="shared" si="1"/>
        <v>21215</v>
      </c>
      <c r="I21" s="60"/>
      <c r="J21" s="60"/>
      <c r="K21" s="60"/>
      <c r="L21" s="61"/>
    </row>
    <row r="22" spans="1:15" ht="13.5" thickBot="1">
      <c r="A22" s="298" t="s">
        <v>70</v>
      </c>
      <c r="B22" s="299"/>
      <c r="C22" s="300">
        <f>SUM(C6:C20)</f>
        <v>1808657.9</v>
      </c>
      <c r="D22" s="301">
        <f>SUM(D6:D21)</f>
        <v>590750.8999999998</v>
      </c>
      <c r="E22" s="302">
        <f>SUM(E6:E21)</f>
        <v>2399408.8000000007</v>
      </c>
      <c r="F22" s="303">
        <f>SUM(F6:F21)</f>
        <v>1833282</v>
      </c>
      <c r="G22" s="303">
        <f>SUM(G6:G21)</f>
        <v>531737</v>
      </c>
      <c r="H22" s="302">
        <f>SUM(H6:H21)</f>
        <v>2365019</v>
      </c>
      <c r="I22" s="1002">
        <f>H22-G22-F22</f>
        <v>0</v>
      </c>
      <c r="J22" s="60"/>
      <c r="K22" s="60"/>
      <c r="L22" s="130"/>
      <c r="M22" s="130"/>
      <c r="N22" s="130"/>
      <c r="O22" s="130"/>
    </row>
    <row r="23" spans="3:15" s="130" customFormat="1" ht="6" customHeight="1">
      <c r="C23" s="304"/>
      <c r="D23" s="304"/>
      <c r="E23" s="305"/>
      <c r="F23" s="306"/>
      <c r="J23" s="60"/>
      <c r="K23" s="60"/>
      <c r="L23" s="61"/>
      <c r="M23" s="49"/>
      <c r="N23" s="49"/>
      <c r="O23" s="49"/>
    </row>
    <row r="24" spans="1:15" s="130" customFormat="1" ht="12.75">
      <c r="A24" s="64" t="s">
        <v>602</v>
      </c>
      <c r="C24" s="304"/>
      <c r="D24" s="975">
        <f>str3!C5</f>
        <v>26574</v>
      </c>
      <c r="E24" s="130" t="s">
        <v>603</v>
      </c>
      <c r="J24" s="60"/>
      <c r="K24" s="60"/>
      <c r="L24" s="307"/>
      <c r="M24" s="49"/>
      <c r="N24" s="49"/>
      <c r="O24" s="49"/>
    </row>
    <row r="25" spans="3:15" s="130" customFormat="1" ht="12.75">
      <c r="C25" s="304"/>
      <c r="D25" s="304"/>
      <c r="E25" s="305"/>
      <c r="F25" s="306"/>
      <c r="L25" s="61"/>
      <c r="M25" s="49"/>
      <c r="N25" s="49"/>
      <c r="O25" s="49"/>
    </row>
    <row r="26" spans="3:15" s="130" customFormat="1" ht="12.75">
      <c r="C26" s="304"/>
      <c r="D26" s="304"/>
      <c r="E26" s="305"/>
      <c r="F26" s="306"/>
      <c r="L26" s="61"/>
      <c r="M26" s="49"/>
      <c r="N26" s="49"/>
      <c r="O26" s="49"/>
    </row>
    <row r="27" spans="1:12" ht="15.75">
      <c r="A27" s="308" t="s">
        <v>366</v>
      </c>
      <c r="L27" s="61"/>
    </row>
    <row r="28" spans="1:15" ht="11.25" customHeight="1">
      <c r="A28" s="308"/>
      <c r="L28" s="61"/>
      <c r="M28" s="128"/>
      <c r="N28" s="128"/>
      <c r="O28" s="128"/>
    </row>
    <row r="29" spans="1:15" s="128" customFormat="1" ht="15.75" thickBot="1">
      <c r="A29" s="127" t="s">
        <v>165</v>
      </c>
      <c r="L29" s="61"/>
      <c r="M29" s="49"/>
      <c r="N29" s="49"/>
      <c r="O29" s="49"/>
    </row>
    <row r="30" spans="1:12" ht="12.75">
      <c r="A30" s="50">
        <v>4</v>
      </c>
      <c r="B30" s="309" t="s">
        <v>367</v>
      </c>
      <c r="C30" s="310"/>
      <c r="D30" s="310"/>
      <c r="E30" s="310"/>
      <c r="F30" s="310"/>
      <c r="G30" s="310"/>
      <c r="H30" s="310"/>
      <c r="I30" s="311">
        <f>'příl.1 - cp 2016'!I7</f>
        <v>88000</v>
      </c>
      <c r="J30" s="58"/>
      <c r="L30" s="61"/>
    </row>
    <row r="31" spans="1:12" ht="12.75">
      <c r="A31" s="312">
        <v>5</v>
      </c>
      <c r="B31" s="55" t="s">
        <v>368</v>
      </c>
      <c r="C31" s="55"/>
      <c r="D31" s="55"/>
      <c r="E31" s="55"/>
      <c r="F31" s="55"/>
      <c r="G31" s="55"/>
      <c r="H31" s="55"/>
      <c r="I31" s="313">
        <f>'příl.1 - cp 2016'!I12</f>
        <v>0</v>
      </c>
      <c r="J31" s="58"/>
      <c r="L31" s="61"/>
    </row>
    <row r="32" spans="1:12" ht="12.75">
      <c r="A32" s="312">
        <v>6</v>
      </c>
      <c r="B32" s="55" t="s">
        <v>84</v>
      </c>
      <c r="C32" s="55"/>
      <c r="D32" s="55"/>
      <c r="E32" s="55"/>
      <c r="F32" s="55"/>
      <c r="G32" s="55"/>
      <c r="H32" s="55"/>
      <c r="I32" s="313">
        <f>'příl.1 - cp 2016'!I13</f>
        <v>7056</v>
      </c>
      <c r="J32" s="58"/>
      <c r="L32" s="61"/>
    </row>
    <row r="33" spans="1:15" ht="13.5" thickBot="1">
      <c r="A33" s="51">
        <v>7</v>
      </c>
      <c r="B33" s="169" t="s">
        <v>198</v>
      </c>
      <c r="C33" s="58"/>
      <c r="D33" s="58"/>
      <c r="E33" s="58"/>
      <c r="F33" s="58"/>
      <c r="G33" s="58"/>
      <c r="H33" s="58"/>
      <c r="I33" s="314">
        <f>'příl.1 - cp 2016'!I26</f>
        <v>0</v>
      </c>
      <c r="J33" s="58"/>
      <c r="L33" s="315"/>
      <c r="M33" s="123"/>
      <c r="N33" s="123"/>
      <c r="O33" s="123"/>
    </row>
    <row r="34" spans="1:15" s="123" customFormat="1" ht="13.5" thickBot="1">
      <c r="A34" s="316">
        <v>8</v>
      </c>
      <c r="B34" s="1532" t="s">
        <v>369</v>
      </c>
      <c r="C34" s="1533"/>
      <c r="D34" s="1533"/>
      <c r="E34" s="1533"/>
      <c r="F34" s="1533"/>
      <c r="G34" s="1533"/>
      <c r="H34" s="1534"/>
      <c r="I34" s="317">
        <f>SUM(I30:I33)</f>
        <v>95056</v>
      </c>
      <c r="J34" s="318"/>
      <c r="L34" s="61"/>
      <c r="M34" s="64"/>
      <c r="N34" s="64"/>
      <c r="O34" s="64"/>
    </row>
    <row r="35" spans="1:15" s="64" customFormat="1" ht="15">
      <c r="A35" s="319"/>
      <c r="B35" s="320"/>
      <c r="I35" s="131"/>
      <c r="J35" s="321"/>
      <c r="L35" s="61"/>
      <c r="M35" s="128"/>
      <c r="N35" s="128"/>
      <c r="O35" s="128"/>
    </row>
    <row r="36" spans="1:15" s="128" customFormat="1" ht="15.75" thickBot="1">
      <c r="A36" s="127" t="s">
        <v>166</v>
      </c>
      <c r="J36" s="321"/>
      <c r="L36" s="61"/>
      <c r="M36" s="49"/>
      <c r="N36" s="49"/>
      <c r="O36" s="49"/>
    </row>
    <row r="37" spans="1:12" ht="12.75">
      <c r="A37" s="322">
        <v>9</v>
      </c>
      <c r="B37" s="323" t="s">
        <v>171</v>
      </c>
      <c r="C37" s="323"/>
      <c r="D37" s="323"/>
      <c r="E37" s="323"/>
      <c r="F37" s="323"/>
      <c r="G37" s="323"/>
      <c r="H37" s="323"/>
      <c r="I37" s="324">
        <f>'příl.1 - cp 2016'!I27-'příl.1 - cp 2016'!I89</f>
        <v>175332</v>
      </c>
      <c r="J37" s="325"/>
      <c r="L37" s="61"/>
    </row>
    <row r="38" spans="1:15" ht="13.5" thickBot="1">
      <c r="A38" s="51">
        <v>10</v>
      </c>
      <c r="B38" s="58" t="s">
        <v>172</v>
      </c>
      <c r="C38" s="58"/>
      <c r="D38" s="58"/>
      <c r="E38" s="58"/>
      <c r="F38" s="58"/>
      <c r="G38" s="58"/>
      <c r="H38" s="58"/>
      <c r="I38" s="314">
        <f>'příl.1 - cp 2016'!I89</f>
        <v>17500</v>
      </c>
      <c r="J38" s="321"/>
      <c r="L38" s="326"/>
      <c r="M38" s="327"/>
      <c r="N38" s="327"/>
      <c r="O38" s="327"/>
    </row>
    <row r="39" spans="1:15" s="327" customFormat="1" ht="12.75">
      <c r="A39" s="328">
        <v>11</v>
      </c>
      <c r="B39" s="1540" t="s">
        <v>168</v>
      </c>
      <c r="C39" s="1541"/>
      <c r="D39" s="1541"/>
      <c r="E39" s="1541"/>
      <c r="F39" s="1541"/>
      <c r="G39" s="1541"/>
      <c r="H39" s="1542"/>
      <c r="I39" s="329">
        <f>SUM(I37:I38)</f>
        <v>192832</v>
      </c>
      <c r="J39" s="330"/>
      <c r="L39" s="61"/>
      <c r="M39" s="49"/>
      <c r="N39" s="49"/>
      <c r="O39" s="49"/>
    </row>
    <row r="40" spans="1:15" ht="13.5" thickBot="1">
      <c r="A40" s="331">
        <v>12</v>
      </c>
      <c r="B40" s="332" t="s">
        <v>167</v>
      </c>
      <c r="C40" s="332"/>
      <c r="D40" s="332"/>
      <c r="E40" s="332"/>
      <c r="F40" s="332"/>
      <c r="G40" s="332"/>
      <c r="H40" s="332"/>
      <c r="I40" s="333">
        <f>'příl.1 - cp 2016'!I154</f>
        <v>210974</v>
      </c>
      <c r="J40" s="330"/>
      <c r="L40" s="315"/>
      <c r="M40" s="123"/>
      <c r="N40" s="123"/>
      <c r="O40" s="123"/>
    </row>
    <row r="41" spans="1:15" s="123" customFormat="1" ht="13.5" thickBot="1">
      <c r="A41" s="316">
        <v>13</v>
      </c>
      <c r="B41" s="1532" t="s">
        <v>191</v>
      </c>
      <c r="C41" s="1533"/>
      <c r="D41" s="1533"/>
      <c r="E41" s="1533"/>
      <c r="F41" s="1533"/>
      <c r="G41" s="1533"/>
      <c r="H41" s="1534"/>
      <c r="I41" s="317">
        <f>SUM(I39:I40)</f>
        <v>403806</v>
      </c>
      <c r="J41" s="330"/>
      <c r="K41" s="334"/>
      <c r="L41" s="62"/>
      <c r="M41" s="58"/>
      <c r="N41" s="58"/>
      <c r="O41" s="58"/>
    </row>
    <row r="42" spans="1:15" s="58" customFormat="1" ht="15.75" thickBot="1">
      <c r="A42" s="335"/>
      <c r="H42" s="726" t="s">
        <v>73</v>
      </c>
      <c r="I42" s="421">
        <f>I34+I41</f>
        <v>498862</v>
      </c>
      <c r="J42" s="318"/>
      <c r="L42" s="63"/>
      <c r="M42" s="203"/>
      <c r="N42" s="203"/>
      <c r="O42" s="203"/>
    </row>
    <row r="43" spans="1:15" s="203" customFormat="1" ht="15.75" hidden="1" thickBot="1">
      <c r="A43" s="132" t="s">
        <v>128</v>
      </c>
      <c r="J43" s="336"/>
      <c r="L43" s="49"/>
      <c r="M43" s="49"/>
      <c r="N43" s="49"/>
      <c r="O43" s="49"/>
    </row>
    <row r="44" spans="1:15" ht="12.75" customHeight="1" hidden="1">
      <c r="A44" s="156">
        <v>14</v>
      </c>
      <c r="B44" s="337" t="s">
        <v>196</v>
      </c>
      <c r="C44" s="338"/>
      <c r="D44" s="338"/>
      <c r="E44" s="338"/>
      <c r="F44" s="338"/>
      <c r="G44" s="339"/>
      <c r="H44" s="340"/>
      <c r="I44" s="160">
        <v>2333005</v>
      </c>
      <c r="J44" s="321"/>
      <c r="L44" s="123"/>
      <c r="M44" s="123"/>
      <c r="N44" s="123"/>
      <c r="O44" s="123"/>
    </row>
    <row r="45" spans="1:10" s="123" customFormat="1" ht="12.75" customHeight="1" hidden="1">
      <c r="A45" s="341">
        <v>15</v>
      </c>
      <c r="B45" s="342" t="s">
        <v>197</v>
      </c>
      <c r="C45" s="343"/>
      <c r="D45" s="343"/>
      <c r="E45" s="343"/>
      <c r="F45" s="343"/>
      <c r="G45" s="344"/>
      <c r="H45" s="345"/>
      <c r="I45" s="346">
        <v>555881</v>
      </c>
      <c r="J45" s="330"/>
    </row>
    <row r="46" spans="1:12" s="123" customFormat="1" ht="12.75" customHeight="1" hidden="1" thickBot="1">
      <c r="A46" s="347">
        <v>16</v>
      </c>
      <c r="B46" s="348" t="s">
        <v>232</v>
      </c>
      <c r="C46" s="349"/>
      <c r="D46" s="349"/>
      <c r="E46" s="349"/>
      <c r="F46" s="349"/>
      <c r="G46" s="350"/>
      <c r="H46" s="351"/>
      <c r="I46" s="352" t="e">
        <v>#REF!</v>
      </c>
      <c r="J46" s="330"/>
      <c r="L46" s="353" t="s">
        <v>173</v>
      </c>
    </row>
    <row r="47" spans="1:15" s="123" customFormat="1" ht="13.5" hidden="1" thickBot="1">
      <c r="A47" s="354">
        <v>17</v>
      </c>
      <c r="B47" s="355" t="s">
        <v>370</v>
      </c>
      <c r="C47" s="356"/>
      <c r="D47" s="356"/>
      <c r="E47" s="356"/>
      <c r="F47" s="356"/>
      <c r="G47" s="356"/>
      <c r="H47" s="357"/>
      <c r="I47" s="358" t="e">
        <v>#REF!</v>
      </c>
      <c r="K47" s="359"/>
      <c r="L47" s="61"/>
      <c r="M47" s="49"/>
      <c r="N47" s="49"/>
      <c r="O47" s="49"/>
    </row>
    <row r="48" spans="1:12" ht="13.5" customHeight="1" hidden="1">
      <c r="A48" s="60"/>
      <c r="B48" s="60"/>
      <c r="C48" s="60"/>
      <c r="D48" s="60"/>
      <c r="E48" s="60"/>
      <c r="F48" s="60"/>
      <c r="G48" s="60"/>
      <c r="H48" s="60"/>
      <c r="I48" s="292" t="e">
        <v>#REF!</v>
      </c>
      <c r="K48" s="124"/>
      <c r="L48" s="61"/>
    </row>
    <row r="49" spans="1:12" ht="12.75" hidden="1">
      <c r="A49" s="60"/>
      <c r="B49" s="60"/>
      <c r="C49" s="60"/>
      <c r="D49" s="60"/>
      <c r="E49" s="60"/>
      <c r="F49" s="60"/>
      <c r="G49" s="60"/>
      <c r="H49" s="60" t="s">
        <v>111</v>
      </c>
      <c r="I49" s="292" t="e">
        <v>#REF!</v>
      </c>
      <c r="L49" s="61"/>
    </row>
    <row r="50" ht="13.5" thickBot="1">
      <c r="I50" s="124"/>
    </row>
    <row r="51" spans="8:9" ht="30.75" customHeight="1" thickBot="1">
      <c r="H51" s="1509" t="s">
        <v>717</v>
      </c>
      <c r="I51" s="1510">
        <v>493873</v>
      </c>
    </row>
  </sheetData>
  <sheetProtection/>
  <mergeCells count="6">
    <mergeCell ref="B41:H41"/>
    <mergeCell ref="C4:E4"/>
    <mergeCell ref="F4:H4"/>
    <mergeCell ref="B34:H34"/>
    <mergeCell ref="B39:H39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T191"/>
  <sheetViews>
    <sheetView showGridLines="0" zoomScalePageLayoutView="0" workbookViewId="0" topLeftCell="A1">
      <selection activeCell="P36" sqref="P36"/>
    </sheetView>
  </sheetViews>
  <sheetFormatPr defaultColWidth="11.375" defaultRowHeight="12.75"/>
  <cols>
    <col min="1" max="1" width="9.00390625" style="364" customWidth="1"/>
    <col min="2" max="2" width="11.75390625" style="364" customWidth="1"/>
    <col min="3" max="3" width="9.625" style="364" customWidth="1"/>
    <col min="4" max="4" width="10.25390625" style="364" customWidth="1"/>
    <col min="5" max="5" width="10.00390625" style="364" customWidth="1"/>
    <col min="6" max="6" width="8.75390625" style="364" customWidth="1"/>
    <col min="7" max="7" width="10.00390625" style="364" customWidth="1"/>
    <col min="8" max="10" width="8.375" style="364" customWidth="1"/>
    <col min="11" max="11" width="11.125" style="364" customWidth="1"/>
    <col min="12" max="12" width="10.75390625" style="364" customWidth="1"/>
    <col min="13" max="13" width="12.125" style="364" customWidth="1"/>
    <col min="14" max="14" width="11.125" style="364" customWidth="1"/>
    <col min="15" max="15" width="4.625" style="364" customWidth="1"/>
    <col min="16" max="16" width="20.125" style="364" bestFit="1" customWidth="1"/>
    <col min="17" max="17" width="7.375" style="364" bestFit="1" customWidth="1"/>
    <col min="18" max="16384" width="11.375" style="364" customWidth="1"/>
  </cols>
  <sheetData>
    <row r="1" spans="1:15" s="360" customFormat="1" ht="15.75">
      <c r="A1" s="122" t="s">
        <v>716</v>
      </c>
      <c r="G1" s="361"/>
      <c r="H1" s="361"/>
      <c r="I1" s="361"/>
      <c r="J1" s="361"/>
      <c r="K1" s="361"/>
      <c r="L1" s="361"/>
      <c r="M1" s="361"/>
      <c r="N1" s="361"/>
      <c r="O1" s="361"/>
    </row>
    <row r="2" spans="1:15" s="360" customFormat="1" ht="15.75">
      <c r="A2" s="122"/>
      <c r="G2" s="361"/>
      <c r="H2" s="361"/>
      <c r="I2" s="361"/>
      <c r="J2" s="361"/>
      <c r="K2" s="361"/>
      <c r="L2" s="361"/>
      <c r="M2" s="361"/>
      <c r="N2" s="361"/>
      <c r="O2" s="361"/>
    </row>
    <row r="3" spans="1:14" ht="13.5" customHeight="1" thickBot="1">
      <c r="A3" s="362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2:14" ht="12" hidden="1" thickBot="1">
      <c r="B4" s="365"/>
      <c r="C4" s="362"/>
      <c r="D4" s="362"/>
      <c r="E4" s="362"/>
      <c r="F4" s="366">
        <v>1</v>
      </c>
      <c r="G4" s="367">
        <v>1</v>
      </c>
      <c r="H4" s="366"/>
      <c r="I4" s="366"/>
      <c r="J4" s="366"/>
      <c r="K4" s="368"/>
      <c r="L4" s="362"/>
      <c r="M4" s="362"/>
      <c r="N4" s="362"/>
    </row>
    <row r="5" spans="1:17" s="376" customFormat="1" ht="18.75" customHeight="1">
      <c r="A5" s="369"/>
      <c r="B5" s="688" t="s">
        <v>22</v>
      </c>
      <c r="C5" s="1545" t="s">
        <v>329</v>
      </c>
      <c r="D5" s="371" t="s">
        <v>331</v>
      </c>
      <c r="E5" s="372" t="s">
        <v>208</v>
      </c>
      <c r="F5" s="372"/>
      <c r="G5" s="1545" t="s">
        <v>710</v>
      </c>
      <c r="H5" s="372" t="s">
        <v>211</v>
      </c>
      <c r="I5" s="1545" t="s">
        <v>714</v>
      </c>
      <c r="J5" s="1548" t="s">
        <v>713</v>
      </c>
      <c r="K5" s="373" t="s">
        <v>328</v>
      </c>
      <c r="L5" s="370" t="s">
        <v>333</v>
      </c>
      <c r="M5" s="705" t="s">
        <v>335</v>
      </c>
      <c r="N5" s="706" t="s">
        <v>335</v>
      </c>
      <c r="O5" s="364"/>
      <c r="P5" s="374"/>
      <c r="Q5" s="375"/>
    </row>
    <row r="6" spans="1:17" s="376" customFormat="1" ht="12" customHeight="1">
      <c r="A6" s="377" t="s">
        <v>6</v>
      </c>
      <c r="B6" s="689"/>
      <c r="C6" s="1546"/>
      <c r="D6" s="378" t="s">
        <v>332</v>
      </c>
      <c r="E6" s="379" t="s">
        <v>209</v>
      </c>
      <c r="F6" s="379" t="s">
        <v>21</v>
      </c>
      <c r="G6" s="1546"/>
      <c r="H6" s="379" t="s">
        <v>210</v>
      </c>
      <c r="I6" s="1546"/>
      <c r="J6" s="1549"/>
      <c r="K6" s="380"/>
      <c r="L6" s="707" t="s">
        <v>334</v>
      </c>
      <c r="M6" s="708"/>
      <c r="N6" s="709" t="s">
        <v>374</v>
      </c>
      <c r="O6" s="364"/>
      <c r="P6" s="381" t="s">
        <v>263</v>
      </c>
      <c r="Q6" s="382">
        <v>2016</v>
      </c>
    </row>
    <row r="7" spans="1:17" s="376" customFormat="1" ht="19.5" customHeight="1" thickBot="1">
      <c r="A7" s="383"/>
      <c r="B7" s="689">
        <v>2016</v>
      </c>
      <c r="C7" s="1547"/>
      <c r="D7" s="384"/>
      <c r="E7" s="385" t="s">
        <v>213</v>
      </c>
      <c r="F7" s="385"/>
      <c r="G7" s="1547"/>
      <c r="H7" s="385" t="s">
        <v>212</v>
      </c>
      <c r="I7" s="1547"/>
      <c r="J7" s="1550"/>
      <c r="K7" s="386"/>
      <c r="L7" s="387"/>
      <c r="M7" s="684"/>
      <c r="N7" s="388"/>
      <c r="O7" s="364"/>
      <c r="P7" s="389"/>
      <c r="Q7" s="390"/>
    </row>
    <row r="8" spans="1:17" ht="12" customHeight="1">
      <c r="A8" s="391"/>
      <c r="B8" s="690">
        <v>1</v>
      </c>
      <c r="C8" s="392">
        <v>2</v>
      </c>
      <c r="D8" s="392" t="s">
        <v>330</v>
      </c>
      <c r="E8" s="393">
        <v>4</v>
      </c>
      <c r="F8" s="393">
        <v>5</v>
      </c>
      <c r="G8" s="393">
        <v>6</v>
      </c>
      <c r="H8" s="393">
        <v>7</v>
      </c>
      <c r="I8" s="1507">
        <v>8</v>
      </c>
      <c r="J8" s="1508" t="s">
        <v>712</v>
      </c>
      <c r="K8" s="394" t="s">
        <v>711</v>
      </c>
      <c r="L8" s="395">
        <v>11</v>
      </c>
      <c r="M8" s="685" t="s">
        <v>715</v>
      </c>
      <c r="N8" s="682">
        <v>12</v>
      </c>
      <c r="P8" s="396"/>
      <c r="Q8" s="397"/>
    </row>
    <row r="9" spans="1:17" ht="12.75" customHeight="1" thickBot="1">
      <c r="A9" s="398"/>
      <c r="B9" s="691"/>
      <c r="C9" s="399"/>
      <c r="D9" s="399"/>
      <c r="E9" s="400"/>
      <c r="F9" s="400"/>
      <c r="G9" s="400"/>
      <c r="H9" s="400"/>
      <c r="I9" s="401"/>
      <c r="J9" s="683"/>
      <c r="K9" s="401"/>
      <c r="L9" s="402"/>
      <c r="M9" s="686"/>
      <c r="N9" s="403"/>
      <c r="P9" s="396"/>
      <c r="Q9" s="397"/>
    </row>
    <row r="10" spans="1:20" ht="12.75" customHeight="1">
      <c r="A10" s="391" t="s">
        <v>7</v>
      </c>
      <c r="B10" s="692">
        <v>325063.7033265679</v>
      </c>
      <c r="C10" s="404">
        <v>-2473.0135733333327</v>
      </c>
      <c r="D10" s="404">
        <f>B10+C10</f>
        <v>322590.68975323456</v>
      </c>
      <c r="E10" s="405">
        <v>495464.8558355535</v>
      </c>
      <c r="F10" s="406">
        <f aca="true" t="shared" si="0" ref="F10:F26">E10/$E$27</f>
        <v>0.1554127418779199</v>
      </c>
      <c r="G10" s="405">
        <f>F10*str4!$I$51</f>
        <v>76754.15706947393</v>
      </c>
      <c r="H10" s="406">
        <f>IF(E10=0,0,G10/E10)</f>
        <v>0.15491342355662235</v>
      </c>
      <c r="I10" s="405">
        <v>430.1042800763804</v>
      </c>
      <c r="J10" s="1118">
        <f>G10+I10</f>
        <v>77184.26134955032</v>
      </c>
      <c r="K10" s="405">
        <f>D10-J10</f>
        <v>245406.42840368423</v>
      </c>
      <c r="L10" s="813">
        <v>-6245.867729961246</v>
      </c>
      <c r="M10" s="687">
        <f>K10+L10</f>
        <v>239160.560673723</v>
      </c>
      <c r="N10" s="1117">
        <f>ROUND(M10,1)</f>
        <v>239160.6</v>
      </c>
      <c r="P10" s="407" t="s">
        <v>423</v>
      </c>
      <c r="Q10" s="408">
        <f>'příl.1 - cp 2016'!I7</f>
        <v>88000</v>
      </c>
      <c r="S10" s="450"/>
      <c r="T10" s="695"/>
    </row>
    <row r="11" spans="1:20" ht="12.75" customHeight="1">
      <c r="A11" s="409" t="s">
        <v>8</v>
      </c>
      <c r="B11" s="692">
        <v>335068.1351333189</v>
      </c>
      <c r="C11" s="410">
        <v>4130.520333333332</v>
      </c>
      <c r="D11" s="410">
        <f aca="true" t="shared" si="1" ref="D11:D26">B11+C11</f>
        <v>339198.65546665224</v>
      </c>
      <c r="E11" s="411">
        <v>509886.34681323986</v>
      </c>
      <c r="F11" s="412">
        <f t="shared" si="0"/>
        <v>0.1599363391187983</v>
      </c>
      <c r="G11" s="411">
        <f>F11*str4!$I$51</f>
        <v>78988.23960961826</v>
      </c>
      <c r="H11" s="412">
        <f aca="true" t="shared" si="2" ref="H11:H27">IF(E11=0,0,G11/E11)</f>
        <v>0.15491342355662235</v>
      </c>
      <c r="I11" s="411">
        <v>1069.8868487270904</v>
      </c>
      <c r="J11" s="1119">
        <f aca="true" t="shared" si="3" ref="J11:J26">G11+I11</f>
        <v>80058.12645834536</v>
      </c>
      <c r="K11" s="411">
        <f aca="true" t="shared" si="4" ref="K11:K26">D11-J11</f>
        <v>259140.52900830688</v>
      </c>
      <c r="L11" s="814">
        <v>-8902.624569148946</v>
      </c>
      <c r="M11" s="687">
        <f>K11+L11</f>
        <v>250237.90443915792</v>
      </c>
      <c r="N11" s="1117">
        <f aca="true" t="shared" si="5" ref="N11:N26">ROUND(M11,1)</f>
        <v>250237.9</v>
      </c>
      <c r="P11" s="414" t="s">
        <v>273</v>
      </c>
      <c r="Q11" s="415">
        <f>'příl.1 - cp 2016'!I13</f>
        <v>7056</v>
      </c>
      <c r="S11" s="450"/>
      <c r="T11" s="695"/>
    </row>
    <row r="12" spans="1:20" ht="12.75" customHeight="1">
      <c r="A12" s="409" t="s">
        <v>9</v>
      </c>
      <c r="B12" s="692">
        <v>119527.62504199024</v>
      </c>
      <c r="C12" s="410">
        <v>871.6240866666674</v>
      </c>
      <c r="D12" s="410">
        <f>B12+C12</f>
        <v>120399.2491286569</v>
      </c>
      <c r="E12" s="411">
        <v>154658.66292</v>
      </c>
      <c r="F12" s="412">
        <f t="shared" si="0"/>
        <v>0.04851187037077719</v>
      </c>
      <c r="G12" s="411">
        <f>F12*str4!$I$51</f>
        <v>23958.702955626843</v>
      </c>
      <c r="H12" s="412">
        <f t="shared" si="2"/>
        <v>0.15491342355662235</v>
      </c>
      <c r="I12" s="411">
        <v>445.2348557143137</v>
      </c>
      <c r="J12" s="1119">
        <f t="shared" si="3"/>
        <v>24403.937811341155</v>
      </c>
      <c r="K12" s="411">
        <f t="shared" si="4"/>
        <v>95995.31131731575</v>
      </c>
      <c r="L12" s="814">
        <v>-6124.833965491331</v>
      </c>
      <c r="M12" s="687">
        <f aca="true" t="shared" si="6" ref="M12:M26">K12+L12</f>
        <v>89870.47735182442</v>
      </c>
      <c r="N12" s="1117">
        <f t="shared" si="5"/>
        <v>89870.5</v>
      </c>
      <c r="P12" s="414" t="s">
        <v>186</v>
      </c>
      <c r="Q12" s="415">
        <f>'příl.1 - cp 2016'!I26</f>
        <v>0</v>
      </c>
      <c r="S12" s="450"/>
      <c r="T12" s="695"/>
    </row>
    <row r="13" spans="1:20" ht="12.75" customHeight="1">
      <c r="A13" s="409" t="s">
        <v>10</v>
      </c>
      <c r="B13" s="692">
        <v>141611.54194740596</v>
      </c>
      <c r="C13" s="410">
        <v>-1478.4131786666676</v>
      </c>
      <c r="D13" s="410">
        <f t="shared" si="1"/>
        <v>140133.1287687393</v>
      </c>
      <c r="E13" s="411">
        <v>236050.61582012672</v>
      </c>
      <c r="F13" s="412">
        <f t="shared" si="0"/>
        <v>0.074042130323676</v>
      </c>
      <c r="G13" s="411">
        <f>F13*str4!$I$51</f>
        <v>36567.40902934484</v>
      </c>
      <c r="H13" s="412">
        <f t="shared" si="2"/>
        <v>0.15491342355662238</v>
      </c>
      <c r="I13" s="411">
        <v>382.01572856185004</v>
      </c>
      <c r="J13" s="1119">
        <f t="shared" si="3"/>
        <v>36949.42475790669</v>
      </c>
      <c r="K13" s="411">
        <f t="shared" si="4"/>
        <v>103183.7040108326</v>
      </c>
      <c r="L13" s="814">
        <v>-3215.636283741983</v>
      </c>
      <c r="M13" s="687">
        <f t="shared" si="6"/>
        <v>99968.06772709062</v>
      </c>
      <c r="N13" s="1117">
        <f t="shared" si="5"/>
        <v>99968.1</v>
      </c>
      <c r="P13" s="414" t="s">
        <v>170</v>
      </c>
      <c r="Q13" s="415">
        <f>'příl.1 - cp 2016'!I27-'příl.1 - cp 2016'!I89</f>
        <v>175332</v>
      </c>
      <c r="S13" s="450"/>
      <c r="T13" s="695"/>
    </row>
    <row r="14" spans="1:20" ht="12.75" customHeight="1">
      <c r="A14" s="409" t="s">
        <v>11</v>
      </c>
      <c r="B14" s="692">
        <v>359445.8151062656</v>
      </c>
      <c r="C14" s="410">
        <v>669.2647173333335</v>
      </c>
      <c r="D14" s="410">
        <f t="shared" si="1"/>
        <v>360115.0798235989</v>
      </c>
      <c r="E14" s="411">
        <v>796874.1656406667</v>
      </c>
      <c r="F14" s="412">
        <f t="shared" si="0"/>
        <v>0.24995597075204082</v>
      </c>
      <c r="G14" s="411">
        <f>F14*str4!$I$51</f>
        <v>123446.50514322266</v>
      </c>
      <c r="H14" s="412">
        <f t="shared" si="2"/>
        <v>0.15491342355662238</v>
      </c>
      <c r="I14" s="411">
        <v>809.5596818418605</v>
      </c>
      <c r="J14" s="1119">
        <f t="shared" si="3"/>
        <v>124256.06482506452</v>
      </c>
      <c r="K14" s="411">
        <f t="shared" si="4"/>
        <v>235859.0149985344</v>
      </c>
      <c r="L14" s="814">
        <v>-5755.258173906188</v>
      </c>
      <c r="M14" s="687">
        <f t="shared" si="6"/>
        <v>230103.75682462822</v>
      </c>
      <c r="N14" s="1117">
        <f t="shared" si="5"/>
        <v>230103.8</v>
      </c>
      <c r="P14" s="414" t="s">
        <v>33</v>
      </c>
      <c r="Q14" s="415">
        <f>'příl.1 - cp 2016'!I89</f>
        <v>17500</v>
      </c>
      <c r="S14" s="450"/>
      <c r="T14" s="695"/>
    </row>
    <row r="15" spans="1:20" ht="12.75" customHeight="1">
      <c r="A15" s="409" t="s">
        <v>12</v>
      </c>
      <c r="B15" s="692">
        <v>129597.46771311079</v>
      </c>
      <c r="C15" s="410">
        <v>-7279.349653333334</v>
      </c>
      <c r="D15" s="410">
        <f t="shared" si="1"/>
        <v>122318.11805977745</v>
      </c>
      <c r="E15" s="411">
        <v>176364.6084539999</v>
      </c>
      <c r="F15" s="412">
        <f t="shared" si="0"/>
        <v>0.05532038659702464</v>
      </c>
      <c r="G15" s="411">
        <f>F15*str4!$I$51</f>
        <v>27321.24528983235</v>
      </c>
      <c r="H15" s="412">
        <f t="shared" si="2"/>
        <v>0.15491342355662235</v>
      </c>
      <c r="I15" s="411">
        <v>298.9335366670367</v>
      </c>
      <c r="J15" s="1119">
        <f t="shared" si="3"/>
        <v>27620.17882649939</v>
      </c>
      <c r="K15" s="411">
        <f t="shared" si="4"/>
        <v>94697.93923327807</v>
      </c>
      <c r="L15" s="814">
        <v>-2876.729966375925</v>
      </c>
      <c r="M15" s="687">
        <f t="shared" si="6"/>
        <v>91821.20926690215</v>
      </c>
      <c r="N15" s="1117">
        <f t="shared" si="5"/>
        <v>91821.2</v>
      </c>
      <c r="P15" s="414" t="s">
        <v>74</v>
      </c>
      <c r="Q15" s="415">
        <f>'příl.1 - cp 2016'!I154</f>
        <v>210974</v>
      </c>
      <c r="S15" s="450"/>
      <c r="T15" s="695"/>
    </row>
    <row r="16" spans="1:20" ht="12.75" customHeight="1">
      <c r="A16" s="409" t="s">
        <v>13</v>
      </c>
      <c r="B16" s="692">
        <v>181108.03814543667</v>
      </c>
      <c r="C16" s="410">
        <v>5727.430072000003</v>
      </c>
      <c r="D16" s="410">
        <f t="shared" si="1"/>
        <v>186835.4682174367</v>
      </c>
      <c r="E16" s="411">
        <v>215534.4563842667</v>
      </c>
      <c r="F16" s="412">
        <f t="shared" si="0"/>
        <v>0.06760681497652687</v>
      </c>
      <c r="G16" s="411">
        <f>F16*str4!$I$51</f>
        <v>33389.18053290225</v>
      </c>
      <c r="H16" s="412">
        <f t="shared" si="2"/>
        <v>0.15491342355662235</v>
      </c>
      <c r="I16" s="411">
        <v>582.7968917657346</v>
      </c>
      <c r="J16" s="1119">
        <f t="shared" si="3"/>
        <v>33971.97742466799</v>
      </c>
      <c r="K16" s="411">
        <f t="shared" si="4"/>
        <v>152863.49079276872</v>
      </c>
      <c r="L16" s="814">
        <v>-6364.066058919438</v>
      </c>
      <c r="M16" s="687">
        <f t="shared" si="6"/>
        <v>146499.42473384927</v>
      </c>
      <c r="N16" s="1117">
        <f t="shared" si="5"/>
        <v>146499.4</v>
      </c>
      <c r="P16" s="414"/>
      <c r="Q16" s="415"/>
      <c r="S16" s="450"/>
      <c r="T16" s="695"/>
    </row>
    <row r="17" spans="1:20" ht="12.75" customHeight="1">
      <c r="A17" s="409" t="s">
        <v>14</v>
      </c>
      <c r="B17" s="692">
        <v>69591.91060620609</v>
      </c>
      <c r="C17" s="410">
        <v>-3953.7388800000012</v>
      </c>
      <c r="D17" s="410">
        <f t="shared" si="1"/>
        <v>65638.17172620608</v>
      </c>
      <c r="E17" s="411">
        <v>71121.3804718033</v>
      </c>
      <c r="F17" s="412">
        <f t="shared" si="0"/>
        <v>0.022308683683781368</v>
      </c>
      <c r="G17" s="411">
        <f>F17*str4!$I$51</f>
        <v>11017.656536960156</v>
      </c>
      <c r="H17" s="412">
        <f t="shared" si="2"/>
        <v>0.15491342355662235</v>
      </c>
      <c r="I17" s="411">
        <v>180.29609324385152</v>
      </c>
      <c r="J17" s="1119">
        <f t="shared" si="3"/>
        <v>11197.952630204007</v>
      </c>
      <c r="K17" s="411">
        <f t="shared" si="4"/>
        <v>54440.21909600208</v>
      </c>
      <c r="L17" s="814">
        <v>-1003.8353324367899</v>
      </c>
      <c r="M17" s="687">
        <f t="shared" si="6"/>
        <v>53436.38376356529</v>
      </c>
      <c r="N17" s="1117">
        <f t="shared" si="5"/>
        <v>53436.4</v>
      </c>
      <c r="P17" s="414"/>
      <c r="Q17" s="415"/>
      <c r="S17" s="450"/>
      <c r="T17" s="695"/>
    </row>
    <row r="18" spans="1:20" ht="12.75" customHeight="1">
      <c r="A18" s="409" t="s">
        <v>15</v>
      </c>
      <c r="B18" s="692">
        <v>123983.89131673583</v>
      </c>
      <c r="C18" s="410">
        <v>3785.676075999997</v>
      </c>
      <c r="D18" s="410">
        <f t="shared" si="1"/>
        <v>127769.56739273583</v>
      </c>
      <c r="E18" s="411">
        <v>159995.94352688667</v>
      </c>
      <c r="F18" s="412">
        <f t="shared" si="0"/>
        <v>0.050186018200877605</v>
      </c>
      <c r="G18" s="411">
        <f>F18*str4!$I$51</f>
        <v>24785.519366922024</v>
      </c>
      <c r="H18" s="412">
        <f t="shared" si="2"/>
        <v>0.15491342355662235</v>
      </c>
      <c r="I18" s="411">
        <v>391.15335076786437</v>
      </c>
      <c r="J18" s="1119">
        <f t="shared" si="3"/>
        <v>25176.67271768989</v>
      </c>
      <c r="K18" s="411">
        <f t="shared" si="4"/>
        <v>102592.89467504594</v>
      </c>
      <c r="L18" s="814">
        <v>-8511.147920018157</v>
      </c>
      <c r="M18" s="687">
        <f t="shared" si="6"/>
        <v>94081.7467550278</v>
      </c>
      <c r="N18" s="1117">
        <f t="shared" si="5"/>
        <v>94081.7</v>
      </c>
      <c r="P18" s="416"/>
      <c r="Q18" s="417"/>
      <c r="S18" s="450"/>
      <c r="T18" s="695"/>
    </row>
    <row r="19" spans="1:19" ht="12.75" customHeight="1">
      <c r="A19" s="409" t="s">
        <v>200</v>
      </c>
      <c r="B19" s="692"/>
      <c r="C19" s="410"/>
      <c r="D19" s="410">
        <f>B19+C19</f>
        <v>0</v>
      </c>
      <c r="E19" s="411"/>
      <c r="F19" s="412">
        <f t="shared" si="0"/>
        <v>0</v>
      </c>
      <c r="G19" s="411">
        <f>F19*str4!$I$51</f>
        <v>0</v>
      </c>
      <c r="H19" s="412">
        <f t="shared" si="2"/>
        <v>0</v>
      </c>
      <c r="I19" s="411"/>
      <c r="J19" s="1119">
        <f t="shared" si="3"/>
        <v>0</v>
      </c>
      <c r="K19" s="411">
        <f t="shared" si="4"/>
        <v>0</v>
      </c>
      <c r="L19" s="814">
        <f>17000</f>
        <v>17000</v>
      </c>
      <c r="M19" s="687">
        <f t="shared" si="6"/>
        <v>17000</v>
      </c>
      <c r="N19" s="1117">
        <f t="shared" si="5"/>
        <v>17000</v>
      </c>
      <c r="P19" s="418"/>
      <c r="Q19" s="419"/>
      <c r="S19" s="450"/>
    </row>
    <row r="20" spans="1:17" ht="12.75" customHeight="1" thickBot="1">
      <c r="A20" s="409" t="s">
        <v>24</v>
      </c>
      <c r="B20" s="692"/>
      <c r="C20" s="410"/>
      <c r="D20" s="410">
        <f t="shared" si="1"/>
        <v>0</v>
      </c>
      <c r="E20" s="411"/>
      <c r="F20" s="412">
        <f t="shared" si="0"/>
        <v>0</v>
      </c>
      <c r="G20" s="411">
        <f>F20*str4!$I$51</f>
        <v>0</v>
      </c>
      <c r="H20" s="412">
        <f t="shared" si="2"/>
        <v>0</v>
      </c>
      <c r="I20" s="411"/>
      <c r="J20" s="1119">
        <f t="shared" si="3"/>
        <v>0</v>
      </c>
      <c r="K20" s="411">
        <f t="shared" si="4"/>
        <v>0</v>
      </c>
      <c r="L20" s="814">
        <v>32000</v>
      </c>
      <c r="M20" s="687">
        <f t="shared" si="6"/>
        <v>32000</v>
      </c>
      <c r="N20" s="1117">
        <f t="shared" si="5"/>
        <v>32000</v>
      </c>
      <c r="P20" s="420" t="s">
        <v>264</v>
      </c>
      <c r="Q20" s="790">
        <f>SUM(Q10:Q18)</f>
        <v>498862</v>
      </c>
    </row>
    <row r="21" spans="1:17" ht="12.75" customHeight="1">
      <c r="A21" s="422" t="s">
        <v>233</v>
      </c>
      <c r="B21" s="692">
        <v>19048.622072090828</v>
      </c>
      <c r="C21" s="410"/>
      <c r="D21" s="410">
        <f t="shared" si="1"/>
        <v>19048.622072090828</v>
      </c>
      <c r="E21" s="411">
        <v>339140.5080044444</v>
      </c>
      <c r="F21" s="412">
        <f t="shared" si="0"/>
        <v>0.10637839517791127</v>
      </c>
      <c r="G21" s="411">
        <f>F21*str4!$I$51</f>
        <v>52537.41716170057</v>
      </c>
      <c r="H21" s="412">
        <f t="shared" si="2"/>
        <v>0.15491342355662235</v>
      </c>
      <c r="I21" s="411">
        <v>234.34441529200836</v>
      </c>
      <c r="J21" s="1119">
        <f t="shared" si="3"/>
        <v>52771.761576992576</v>
      </c>
      <c r="K21" s="411">
        <f t="shared" si="4"/>
        <v>-33723.139504901745</v>
      </c>
      <c r="L21" s="413"/>
      <c r="M21" s="715">
        <f t="shared" si="6"/>
        <v>-33723.139504901745</v>
      </c>
      <c r="N21" s="1512">
        <f t="shared" si="5"/>
        <v>-33723.1</v>
      </c>
      <c r="P21" s="424"/>
      <c r="Q21" s="425"/>
    </row>
    <row r="22" spans="1:17" ht="12.75" customHeight="1">
      <c r="A22" s="426" t="s">
        <v>106</v>
      </c>
      <c r="B22" s="692">
        <v>2193.9470358989065</v>
      </c>
      <c r="C22" s="410"/>
      <c r="D22" s="410">
        <f t="shared" si="1"/>
        <v>2193.9470358989065</v>
      </c>
      <c r="E22" s="423">
        <v>18738.42407666667</v>
      </c>
      <c r="F22" s="412">
        <f t="shared" si="0"/>
        <v>0.005877692090420562</v>
      </c>
      <c r="G22" s="423">
        <f>F22*str4!$I$51</f>
        <v>2902.833425772274</v>
      </c>
      <c r="H22" s="412">
        <f t="shared" si="2"/>
        <v>0.15491342355662235</v>
      </c>
      <c r="I22" s="423">
        <v>25.05084454407671</v>
      </c>
      <c r="J22" s="1119">
        <f t="shared" si="3"/>
        <v>2927.884270316351</v>
      </c>
      <c r="K22" s="423">
        <f t="shared" si="4"/>
        <v>-733.9372344174444</v>
      </c>
      <c r="L22" s="413"/>
      <c r="M22" s="715">
        <f t="shared" si="6"/>
        <v>-733.9372344174444</v>
      </c>
      <c r="N22" s="1512">
        <f t="shared" si="5"/>
        <v>-733.9</v>
      </c>
      <c r="P22" s="424"/>
      <c r="Q22" s="425"/>
    </row>
    <row r="23" spans="1:17" ht="12.75" customHeight="1">
      <c r="A23" s="426" t="s">
        <v>135</v>
      </c>
      <c r="B23" s="692"/>
      <c r="C23" s="410"/>
      <c r="D23" s="410">
        <f t="shared" si="1"/>
        <v>0</v>
      </c>
      <c r="E23" s="423">
        <v>912.7722333333334</v>
      </c>
      <c r="F23" s="412">
        <f t="shared" si="0"/>
        <v>0.00028630978327037683</v>
      </c>
      <c r="G23" s="423">
        <f>F23*str4!$I$51</f>
        <v>141.4006715930908</v>
      </c>
      <c r="H23" s="412">
        <f t="shared" si="2"/>
        <v>0.15491342355662235</v>
      </c>
      <c r="I23" s="423">
        <v>8.242040888923647</v>
      </c>
      <c r="J23" s="1119">
        <f t="shared" si="3"/>
        <v>149.64271248201445</v>
      </c>
      <c r="K23" s="423">
        <f t="shared" si="4"/>
        <v>-149.64271248201445</v>
      </c>
      <c r="L23" s="413"/>
      <c r="M23" s="715">
        <f t="shared" si="6"/>
        <v>-149.64271248201445</v>
      </c>
      <c r="N23" s="1512">
        <f t="shared" si="5"/>
        <v>-149.6</v>
      </c>
      <c r="P23" s="424"/>
      <c r="Q23" s="425"/>
    </row>
    <row r="24" spans="1:17" ht="12.75" customHeight="1">
      <c r="A24" s="426" t="s">
        <v>17</v>
      </c>
      <c r="B24" s="692">
        <v>2417.3025549725485</v>
      </c>
      <c r="C24" s="410"/>
      <c r="D24" s="410">
        <f t="shared" si="1"/>
        <v>2417.3025549725485</v>
      </c>
      <c r="E24" s="423">
        <v>13315.393589999998</v>
      </c>
      <c r="F24" s="412">
        <f t="shared" si="0"/>
        <v>0.004176647046975243</v>
      </c>
      <c r="G24" s="423">
        <f>F24*str4!$I$51</f>
        <v>2062.733207030804</v>
      </c>
      <c r="H24" s="412">
        <f t="shared" si="2"/>
        <v>0.15491342355662235</v>
      </c>
      <c r="I24" s="423">
        <v>104.92611270977059</v>
      </c>
      <c r="J24" s="1119">
        <f t="shared" si="3"/>
        <v>2167.6593197405746</v>
      </c>
      <c r="K24" s="423">
        <f t="shared" si="4"/>
        <v>249.6432352319739</v>
      </c>
      <c r="L24" s="413"/>
      <c r="M24" s="715">
        <f t="shared" si="6"/>
        <v>249.6432352319739</v>
      </c>
      <c r="N24" s="1512">
        <f t="shared" si="5"/>
        <v>249.6</v>
      </c>
      <c r="P24" s="424"/>
      <c r="Q24" s="425"/>
    </row>
    <row r="25" spans="1:17" ht="12.75" customHeight="1">
      <c r="A25" s="427" t="s">
        <v>222</v>
      </c>
      <c r="B25" s="692"/>
      <c r="C25" s="410"/>
      <c r="D25" s="410">
        <f t="shared" si="1"/>
        <v>0</v>
      </c>
      <c r="E25" s="423"/>
      <c r="F25" s="412">
        <f t="shared" si="0"/>
        <v>0</v>
      </c>
      <c r="G25" s="423">
        <f>F25*str4!$I$51</f>
        <v>0</v>
      </c>
      <c r="H25" s="412">
        <f t="shared" si="2"/>
        <v>0</v>
      </c>
      <c r="I25" s="423">
        <v>8.365526673251194</v>
      </c>
      <c r="J25" s="1119">
        <f t="shared" si="3"/>
        <v>8.365526673251194</v>
      </c>
      <c r="K25" s="423">
        <f t="shared" si="4"/>
        <v>-8.365526673251194</v>
      </c>
      <c r="L25" s="413"/>
      <c r="M25" s="715">
        <f t="shared" si="6"/>
        <v>-8.365526673251194</v>
      </c>
      <c r="N25" s="1512">
        <f t="shared" si="5"/>
        <v>-8.4</v>
      </c>
      <c r="P25" s="424"/>
      <c r="Q25" s="425"/>
    </row>
    <row r="26" spans="1:17" ht="12.75" customHeight="1">
      <c r="A26" s="427" t="s">
        <v>226</v>
      </c>
      <c r="B26" s="692"/>
      <c r="C26" s="410"/>
      <c r="D26" s="410">
        <f t="shared" si="1"/>
        <v>0</v>
      </c>
      <c r="E26" s="423"/>
      <c r="F26" s="412">
        <f t="shared" si="0"/>
        <v>0</v>
      </c>
      <c r="G26" s="423">
        <f>F26*str4!$I$51</f>
        <v>0</v>
      </c>
      <c r="H26" s="412">
        <f t="shared" si="2"/>
        <v>0</v>
      </c>
      <c r="I26" s="423">
        <v>17.70979252598737</v>
      </c>
      <c r="J26" s="1120">
        <f t="shared" si="3"/>
        <v>17.70979252598737</v>
      </c>
      <c r="K26" s="423">
        <f t="shared" si="4"/>
        <v>-17.70979252598737</v>
      </c>
      <c r="L26" s="413"/>
      <c r="M26" s="715">
        <f t="shared" si="6"/>
        <v>-17.70979252598737</v>
      </c>
      <c r="N26" s="1512">
        <f t="shared" si="5"/>
        <v>-17.7</v>
      </c>
      <c r="P26" s="428"/>
      <c r="Q26" s="425"/>
    </row>
    <row r="27" spans="1:19" ht="12.75" customHeight="1" thickBot="1">
      <c r="A27" s="429" t="s">
        <v>205</v>
      </c>
      <c r="B27" s="693">
        <f aca="true" t="shared" si="7" ref="B27:G27">SUM(B10:B26)</f>
        <v>1808658.0000000005</v>
      </c>
      <c r="C27" s="430">
        <f t="shared" si="7"/>
        <v>0</v>
      </c>
      <c r="D27" s="430">
        <f t="shared" si="7"/>
        <v>1808658.0000000002</v>
      </c>
      <c r="E27" s="431">
        <f t="shared" si="7"/>
        <v>3188058.1337709874</v>
      </c>
      <c r="F27" s="432">
        <f t="shared" si="7"/>
        <v>1.0000000000000002</v>
      </c>
      <c r="G27" s="430">
        <f t="shared" si="7"/>
        <v>493873</v>
      </c>
      <c r="H27" s="432">
        <f t="shared" si="2"/>
        <v>0.15491342355662235</v>
      </c>
      <c r="I27" s="430">
        <f aca="true" t="shared" si="8" ref="I27:N27">SUM(I10:I26)</f>
        <v>4988.620000000001</v>
      </c>
      <c r="J27" s="1511">
        <f t="shared" si="8"/>
        <v>498861.62</v>
      </c>
      <c r="K27" s="430">
        <f t="shared" si="8"/>
        <v>1309796.3800000001</v>
      </c>
      <c r="L27" s="433">
        <f t="shared" si="8"/>
        <v>0</v>
      </c>
      <c r="M27" s="716">
        <f t="shared" si="8"/>
        <v>1309796.38</v>
      </c>
      <c r="N27" s="714">
        <f t="shared" si="8"/>
        <v>1309796.4999999998</v>
      </c>
      <c r="P27" s="434"/>
      <c r="Q27" s="435"/>
      <c r="R27" s="435"/>
      <c r="S27" s="450"/>
    </row>
    <row r="28" spans="1:16" ht="12" customHeight="1">
      <c r="A28" s="436" t="s">
        <v>285</v>
      </c>
      <c r="B28" s="435"/>
      <c r="C28" s="435"/>
      <c r="D28" s="435"/>
      <c r="E28" s="435"/>
      <c r="F28" s="435"/>
      <c r="G28" s="437"/>
      <c r="H28" s="435"/>
      <c r="I28" s="435"/>
      <c r="J28" s="435"/>
      <c r="K28" s="435"/>
      <c r="L28" s="435"/>
      <c r="M28" s="63"/>
      <c r="N28" s="694"/>
      <c r="P28" s="435"/>
    </row>
    <row r="29" spans="1:16" ht="12.75" customHeight="1">
      <c r="A29" s="436"/>
      <c r="B29" s="435"/>
      <c r="C29" s="435"/>
      <c r="D29" s="435"/>
      <c r="E29" s="435"/>
      <c r="F29" s="435"/>
      <c r="G29" s="437"/>
      <c r="M29" s="695"/>
      <c r="N29" s="450"/>
      <c r="P29" s="435"/>
    </row>
    <row r="30" spans="1:16" ht="12.75" customHeight="1">
      <c r="A30" s="63"/>
      <c r="B30" s="63"/>
      <c r="C30" s="63"/>
      <c r="D30" s="63"/>
      <c r="E30" s="63"/>
      <c r="F30" s="63"/>
      <c r="G30" s="63"/>
      <c r="K30" s="450"/>
      <c r="N30" s="695"/>
      <c r="P30" s="435"/>
    </row>
    <row r="31" spans="1:16" ht="12" thickBot="1">
      <c r="A31" s="63" t="s">
        <v>265</v>
      </c>
      <c r="B31" s="63"/>
      <c r="C31" s="63"/>
      <c r="D31" s="437"/>
      <c r="E31" s="437"/>
      <c r="F31" s="63"/>
      <c r="G31" s="63"/>
      <c r="H31" s="63"/>
      <c r="I31" s="63"/>
      <c r="J31" s="63"/>
      <c r="K31" s="437"/>
      <c r="L31" s="437"/>
      <c r="M31" s="437"/>
      <c r="N31" s="437"/>
      <c r="P31" s="435"/>
    </row>
    <row r="32" spans="1:18" ht="12.75" customHeight="1">
      <c r="A32" s="438">
        <v>1</v>
      </c>
      <c r="B32" s="1552" t="s">
        <v>0</v>
      </c>
      <c r="C32" s="1552"/>
      <c r="D32" s="1552"/>
      <c r="E32" s="1552"/>
      <c r="F32" s="1552"/>
      <c r="G32" s="439">
        <f>str1!F7</f>
        <v>1808658</v>
      </c>
      <c r="H32" s="63"/>
      <c r="I32" s="63"/>
      <c r="J32" s="63"/>
      <c r="K32" s="63"/>
      <c r="L32" s="63"/>
      <c r="M32" s="63"/>
      <c r="N32" s="63"/>
      <c r="P32" s="435"/>
      <c r="Q32" s="435"/>
      <c r="R32" s="435"/>
    </row>
    <row r="33" spans="1:18" ht="13.5" customHeight="1">
      <c r="A33" s="440">
        <v>2</v>
      </c>
      <c r="B33" s="1553" t="s">
        <v>422</v>
      </c>
      <c r="C33" s="1553"/>
      <c r="D33" s="1553"/>
      <c r="E33" s="1553"/>
      <c r="F33" s="1553"/>
      <c r="G33" s="195">
        <f>'příl.1 - cp 2016'!I7</f>
        <v>88000</v>
      </c>
      <c r="H33" s="63"/>
      <c r="I33" s="63"/>
      <c r="J33" s="63"/>
      <c r="K33" s="63"/>
      <c r="L33" s="63"/>
      <c r="M33" s="63"/>
      <c r="N33" s="63"/>
      <c r="O33" s="63"/>
      <c r="P33" s="435"/>
      <c r="Q33" s="435"/>
      <c r="R33" s="435"/>
    </row>
    <row r="34" spans="1:18" ht="11.25">
      <c r="A34" s="440">
        <v>3</v>
      </c>
      <c r="B34" s="1553" t="s">
        <v>235</v>
      </c>
      <c r="C34" s="1553"/>
      <c r="D34" s="1553"/>
      <c r="E34" s="1553"/>
      <c r="F34" s="1553"/>
      <c r="G34" s="195">
        <f>G32-G33</f>
        <v>1720658</v>
      </c>
      <c r="H34" s="63"/>
      <c r="I34" s="63"/>
      <c r="J34" s="63"/>
      <c r="K34" s="63"/>
      <c r="L34" s="63"/>
      <c r="M34" s="63"/>
      <c r="N34" s="63"/>
      <c r="O34" s="63"/>
      <c r="P34" s="435"/>
      <c r="Q34" s="435"/>
      <c r="R34" s="435"/>
    </row>
    <row r="35" spans="1:18" ht="11.25">
      <c r="A35" s="440">
        <v>4</v>
      </c>
      <c r="B35" s="1553" t="s">
        <v>268</v>
      </c>
      <c r="C35" s="1553"/>
      <c r="D35" s="1553"/>
      <c r="E35" s="1553"/>
      <c r="F35" s="1553"/>
      <c r="G35" s="713">
        <f>SUM(N10:N20)</f>
        <v>1344179.5999999996</v>
      </c>
      <c r="H35" s="63"/>
      <c r="I35" s="63"/>
      <c r="J35" s="63"/>
      <c r="K35" s="63"/>
      <c r="L35" s="63"/>
      <c r="M35" s="63"/>
      <c r="N35" s="63"/>
      <c r="O35" s="63"/>
      <c r="P35" s="435"/>
      <c r="Q35" s="435"/>
      <c r="R35" s="435"/>
    </row>
    <row r="36" spans="1:18" ht="11.25">
      <c r="A36" s="440">
        <v>5</v>
      </c>
      <c r="B36" s="1553" t="s">
        <v>267</v>
      </c>
      <c r="C36" s="1553"/>
      <c r="D36" s="1553"/>
      <c r="E36" s="1553"/>
      <c r="F36" s="1553"/>
      <c r="G36" s="441">
        <f>G34-G35</f>
        <v>376478.4000000004</v>
      </c>
      <c r="H36" s="63"/>
      <c r="I36" s="63"/>
      <c r="J36" s="63"/>
      <c r="K36" s="63"/>
      <c r="L36" s="63"/>
      <c r="M36" s="63"/>
      <c r="N36" s="63"/>
      <c r="O36" s="63"/>
      <c r="P36" s="435"/>
      <c r="Q36" s="435"/>
      <c r="R36" s="435"/>
    </row>
    <row r="37" spans="1:18" ht="11.25">
      <c r="A37" s="440">
        <v>6</v>
      </c>
      <c r="B37" s="1553" t="s">
        <v>718</v>
      </c>
      <c r="C37" s="1553"/>
      <c r="D37" s="1553"/>
      <c r="E37" s="1553"/>
      <c r="F37" s="1553"/>
      <c r="G37" s="195">
        <f>J27-G33</f>
        <v>410861.62</v>
      </c>
      <c r="H37" s="63"/>
      <c r="I37" s="63"/>
      <c r="J37" s="63"/>
      <c r="K37" s="63"/>
      <c r="L37" s="63"/>
      <c r="M37" s="63"/>
      <c r="N37" s="63"/>
      <c r="O37" s="63"/>
      <c r="P37" s="435"/>
      <c r="Q37" s="435"/>
      <c r="R37" s="435"/>
    </row>
    <row r="38" spans="1:18" ht="11.25">
      <c r="A38" s="440">
        <v>7</v>
      </c>
      <c r="B38" s="1553" t="s">
        <v>269</v>
      </c>
      <c r="C38" s="1553"/>
      <c r="D38" s="1553"/>
      <c r="E38" s="1553"/>
      <c r="F38" s="1553"/>
      <c r="G38" s="195">
        <f>G36-G37</f>
        <v>-34383.21999999962</v>
      </c>
      <c r="H38" s="63"/>
      <c r="I38" s="63"/>
      <c r="J38" s="63"/>
      <c r="K38" s="63"/>
      <c r="L38" s="63"/>
      <c r="M38" s="63"/>
      <c r="N38" s="63"/>
      <c r="O38" s="63"/>
      <c r="P38" s="435"/>
      <c r="Q38" s="435"/>
      <c r="R38" s="435"/>
    </row>
    <row r="39" spans="1:18" ht="11.25">
      <c r="A39" s="440">
        <v>8</v>
      </c>
      <c r="B39" s="1553" t="s">
        <v>266</v>
      </c>
      <c r="C39" s="1553"/>
      <c r="D39" s="1553"/>
      <c r="E39" s="1553"/>
      <c r="F39" s="1553"/>
      <c r="G39" s="195">
        <f>'příl.1 - cp 2016'!I166</f>
        <v>87600</v>
      </c>
      <c r="H39" s="63"/>
      <c r="I39" s="63"/>
      <c r="J39" s="63"/>
      <c r="K39" s="63"/>
      <c r="L39" s="63"/>
      <c r="M39" s="63"/>
      <c r="N39" s="63"/>
      <c r="O39" s="63"/>
      <c r="P39" s="435"/>
      <c r="Q39" s="435"/>
      <c r="R39" s="435"/>
    </row>
    <row r="40" spans="1:18" ht="11.25">
      <c r="A40" s="440">
        <v>9</v>
      </c>
      <c r="B40" s="1553" t="s">
        <v>598</v>
      </c>
      <c r="C40" s="1553"/>
      <c r="D40" s="1553"/>
      <c r="E40" s="1553"/>
      <c r="F40" s="1553"/>
      <c r="G40" s="195">
        <f>G39+G38</f>
        <v>53216.78000000038</v>
      </c>
      <c r="H40" s="63"/>
      <c r="I40" s="63"/>
      <c r="J40" s="63"/>
      <c r="K40" s="63"/>
      <c r="L40" s="63"/>
      <c r="M40" s="63"/>
      <c r="N40" s="63"/>
      <c r="O40" s="63"/>
      <c r="P40" s="435"/>
      <c r="Q40" s="435"/>
      <c r="R40" s="435"/>
    </row>
    <row r="41" spans="1:18" ht="12" thickBot="1">
      <c r="A41" s="442">
        <v>10</v>
      </c>
      <c r="B41" s="1551" t="s">
        <v>270</v>
      </c>
      <c r="C41" s="1551"/>
      <c r="D41" s="1551"/>
      <c r="E41" s="1551"/>
      <c r="F41" s="1551"/>
      <c r="G41" s="443">
        <f>-G38</f>
        <v>34383.21999999962</v>
      </c>
      <c r="H41" s="437"/>
      <c r="I41" s="437"/>
      <c r="J41" s="437"/>
      <c r="K41" s="63"/>
      <c r="L41" s="63"/>
      <c r="M41" s="63"/>
      <c r="N41" s="63"/>
      <c r="O41" s="63"/>
      <c r="P41" s="435"/>
      <c r="Q41" s="435"/>
      <c r="R41" s="435"/>
    </row>
    <row r="42" spans="1:18" ht="11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435"/>
      <c r="Q42" s="435"/>
      <c r="R42" s="435"/>
    </row>
    <row r="43" spans="1:15" ht="11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1:15" ht="11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15" ht="11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53" ht="11.25">
      <c r="E53" s="444"/>
    </row>
    <row r="54" ht="11.25">
      <c r="E54" s="444"/>
    </row>
    <row r="55" ht="11.25">
      <c r="E55" s="444"/>
    </row>
    <row r="56" ht="11.25">
      <c r="E56" s="444"/>
    </row>
    <row r="57" ht="11.25">
      <c r="E57" s="444"/>
    </row>
    <row r="58" spans="1:15" ht="15.75">
      <c r="A58" s="445"/>
      <c r="B58" s="445"/>
      <c r="C58" s="360"/>
      <c r="D58" s="360"/>
      <c r="E58" s="361"/>
      <c r="F58" s="360"/>
      <c r="G58" s="360"/>
      <c r="H58" s="360"/>
      <c r="I58" s="360"/>
      <c r="J58" s="360"/>
      <c r="K58" s="360"/>
      <c r="L58" s="360"/>
      <c r="M58" s="360"/>
      <c r="N58" s="360"/>
      <c r="O58" s="360"/>
    </row>
    <row r="59" ht="11.25">
      <c r="E59" s="444"/>
    </row>
    <row r="60" ht="11.25">
      <c r="E60" s="444"/>
    </row>
    <row r="61" ht="11.25">
      <c r="E61" s="444"/>
    </row>
    <row r="62" ht="11.25">
      <c r="E62" s="444"/>
    </row>
    <row r="63" ht="11.25">
      <c r="E63" s="444"/>
    </row>
    <row r="64" ht="11.25">
      <c r="E64" s="444"/>
    </row>
    <row r="65" ht="11.25">
      <c r="E65" s="444"/>
    </row>
    <row r="66" ht="11.25">
      <c r="E66" s="444"/>
    </row>
    <row r="67" ht="11.25">
      <c r="E67" s="444"/>
    </row>
    <row r="68" ht="11.25">
      <c r="E68" s="444"/>
    </row>
    <row r="69" ht="11.25">
      <c r="E69" s="444"/>
    </row>
    <row r="70" ht="11.25">
      <c r="E70" s="444"/>
    </row>
    <row r="71" ht="11.25">
      <c r="E71" s="444"/>
    </row>
    <row r="72" ht="11.25">
      <c r="E72" s="444"/>
    </row>
    <row r="73" ht="11.25">
      <c r="E73" s="444"/>
    </row>
    <row r="74" ht="11.25">
      <c r="E74" s="444"/>
    </row>
    <row r="75" ht="11.25">
      <c r="E75" s="444"/>
    </row>
    <row r="76" ht="11.25">
      <c r="E76" s="444"/>
    </row>
    <row r="77" ht="11.25">
      <c r="E77" s="444"/>
    </row>
    <row r="78" ht="11.25">
      <c r="E78" s="444"/>
    </row>
    <row r="79" spans="1:5" ht="12.75">
      <c r="A79" s="380"/>
      <c r="B79" s="380"/>
      <c r="C79" s="446"/>
      <c r="D79" s="446"/>
      <c r="E79" s="444"/>
    </row>
    <row r="80" spans="1:5" ht="11.25">
      <c r="A80" s="362"/>
      <c r="B80" s="362"/>
      <c r="C80" s="447"/>
      <c r="D80" s="447"/>
      <c r="E80" s="444"/>
    </row>
    <row r="81" spans="1:5" ht="11.25">
      <c r="A81" s="362"/>
      <c r="B81" s="362"/>
      <c r="C81" s="447"/>
      <c r="E81" s="444"/>
    </row>
    <row r="82" spans="1:5" ht="11.25">
      <c r="A82" s="446"/>
      <c r="B82" s="446"/>
      <c r="C82" s="447"/>
      <c r="E82" s="444"/>
    </row>
    <row r="83" spans="1:15" ht="11.25">
      <c r="A83" s="448"/>
      <c r="B83" s="448"/>
      <c r="C83" s="449"/>
      <c r="D83" s="449"/>
      <c r="E83" s="444"/>
      <c r="K83" s="450"/>
      <c r="L83" s="450"/>
      <c r="M83" s="450"/>
      <c r="N83" s="450"/>
      <c r="O83" s="450"/>
    </row>
    <row r="84" spans="1:15" ht="11.25">
      <c r="A84" s="448"/>
      <c r="B84" s="448"/>
      <c r="C84" s="449"/>
      <c r="D84" s="449"/>
      <c r="E84" s="444"/>
      <c r="K84" s="450"/>
      <c r="L84" s="450"/>
      <c r="M84" s="450"/>
      <c r="N84" s="450"/>
      <c r="O84" s="450"/>
    </row>
    <row r="85" spans="1:15" ht="11.25">
      <c r="A85" s="448"/>
      <c r="B85" s="448"/>
      <c r="C85" s="449"/>
      <c r="D85" s="449"/>
      <c r="E85" s="444"/>
      <c r="K85" s="450"/>
      <c r="L85" s="450"/>
      <c r="M85" s="450"/>
      <c r="N85" s="450"/>
      <c r="O85" s="450"/>
    </row>
    <row r="86" spans="1:15" ht="11.25">
      <c r="A86" s="448"/>
      <c r="B86" s="448"/>
      <c r="C86" s="449"/>
      <c r="D86" s="449"/>
      <c r="E86" s="444"/>
      <c r="K86" s="450"/>
      <c r="L86" s="450"/>
      <c r="M86" s="450"/>
      <c r="N86" s="450"/>
      <c r="O86" s="450"/>
    </row>
    <row r="87" spans="1:15" ht="11.25">
      <c r="A87" s="448"/>
      <c r="B87" s="448"/>
      <c r="C87" s="449"/>
      <c r="D87" s="449"/>
      <c r="E87" s="444"/>
      <c r="K87" s="450"/>
      <c r="L87" s="450"/>
      <c r="M87" s="450"/>
      <c r="N87" s="450"/>
      <c r="O87" s="450"/>
    </row>
    <row r="88" spans="1:15" ht="11.25">
      <c r="A88" s="448"/>
      <c r="B88" s="448"/>
      <c r="C88" s="449"/>
      <c r="D88" s="449"/>
      <c r="E88" s="444"/>
      <c r="K88" s="450"/>
      <c r="L88" s="450"/>
      <c r="M88" s="450"/>
      <c r="N88" s="450"/>
      <c r="O88" s="450"/>
    </row>
    <row r="89" spans="1:15" ht="11.25">
      <c r="A89" s="448"/>
      <c r="B89" s="448"/>
      <c r="C89" s="449"/>
      <c r="D89" s="449"/>
      <c r="E89" s="444"/>
      <c r="K89" s="450"/>
      <c r="L89" s="450"/>
      <c r="M89" s="450"/>
      <c r="N89" s="450"/>
      <c r="O89" s="450"/>
    </row>
    <row r="90" spans="1:15" ht="11.25">
      <c r="A90" s="448"/>
      <c r="B90" s="448"/>
      <c r="C90" s="449"/>
      <c r="D90" s="449"/>
      <c r="E90" s="444"/>
      <c r="F90" s="362"/>
      <c r="G90" s="362"/>
      <c r="K90" s="450"/>
      <c r="L90" s="450"/>
      <c r="M90" s="450"/>
      <c r="N90" s="450"/>
      <c r="O90" s="450"/>
    </row>
    <row r="91" spans="1:15" ht="11.25">
      <c r="A91" s="448"/>
      <c r="B91" s="448"/>
      <c r="C91" s="449"/>
      <c r="D91" s="449"/>
      <c r="E91" s="444"/>
      <c r="K91" s="450"/>
      <c r="L91" s="450"/>
      <c r="M91" s="450"/>
      <c r="N91" s="450"/>
      <c r="O91" s="450"/>
    </row>
    <row r="92" spans="1:15" ht="11.25">
      <c r="A92" s="448"/>
      <c r="B92" s="448"/>
      <c r="C92" s="449"/>
      <c r="D92" s="449"/>
      <c r="E92" s="444"/>
      <c r="K92" s="450"/>
      <c r="L92" s="450"/>
      <c r="M92" s="450"/>
      <c r="N92" s="450"/>
      <c r="O92" s="450"/>
    </row>
    <row r="93" spans="3:5" ht="11.25">
      <c r="C93" s="449"/>
      <c r="D93" s="449"/>
      <c r="E93" s="444"/>
    </row>
    <row r="94" ht="11.25">
      <c r="E94" s="444"/>
    </row>
    <row r="95" ht="11.25">
      <c r="E95" s="444"/>
    </row>
    <row r="109" ht="11.25">
      <c r="E109" s="444"/>
    </row>
    <row r="110" ht="11.25">
      <c r="E110" s="444"/>
    </row>
    <row r="111" ht="11.25">
      <c r="E111" s="444"/>
    </row>
    <row r="112" ht="11.25">
      <c r="E112" s="444"/>
    </row>
    <row r="113" ht="11.25">
      <c r="E113" s="444"/>
    </row>
    <row r="114" ht="11.25">
      <c r="E114" s="444"/>
    </row>
    <row r="115" ht="11.25">
      <c r="E115" s="444"/>
    </row>
    <row r="116" ht="11.25">
      <c r="E116" s="444"/>
    </row>
    <row r="117" ht="11.25">
      <c r="E117" s="444"/>
    </row>
    <row r="118" ht="11.25">
      <c r="E118" s="444"/>
    </row>
    <row r="119" ht="11.25">
      <c r="E119" s="444"/>
    </row>
    <row r="120" ht="11.25">
      <c r="E120" s="444"/>
    </row>
    <row r="121" ht="11.25">
      <c r="E121" s="444"/>
    </row>
    <row r="122" ht="11.25">
      <c r="E122" s="444"/>
    </row>
    <row r="123" ht="11.25">
      <c r="E123" s="444"/>
    </row>
    <row r="124" ht="11.25">
      <c r="E124" s="444"/>
    </row>
    <row r="125" ht="11.25">
      <c r="E125" s="444"/>
    </row>
    <row r="126" ht="11.25">
      <c r="E126" s="444"/>
    </row>
    <row r="127" ht="11.25">
      <c r="E127" s="444"/>
    </row>
    <row r="128" ht="11.25">
      <c r="E128" s="444"/>
    </row>
    <row r="129" ht="11.25">
      <c r="E129" s="444"/>
    </row>
    <row r="130" ht="11.25">
      <c r="E130" s="444"/>
    </row>
    <row r="131" ht="11.25">
      <c r="E131" s="444"/>
    </row>
    <row r="132" ht="11.25">
      <c r="E132" s="444"/>
    </row>
    <row r="133" ht="11.25">
      <c r="E133" s="444"/>
    </row>
    <row r="134" ht="11.25">
      <c r="E134" s="444"/>
    </row>
    <row r="135" ht="11.25">
      <c r="E135" s="444"/>
    </row>
    <row r="136" ht="11.25">
      <c r="E136" s="444"/>
    </row>
    <row r="137" ht="11.25">
      <c r="E137" s="444"/>
    </row>
    <row r="138" ht="11.25">
      <c r="E138" s="444"/>
    </row>
    <row r="139" ht="11.25">
      <c r="E139" s="444"/>
    </row>
    <row r="140" ht="11.25">
      <c r="E140" s="444"/>
    </row>
    <row r="141" ht="11.25">
      <c r="E141" s="444"/>
    </row>
    <row r="142" ht="11.25">
      <c r="E142" s="444"/>
    </row>
    <row r="143" ht="11.25">
      <c r="E143" s="444"/>
    </row>
    <row r="144" ht="11.25">
      <c r="E144" s="444"/>
    </row>
    <row r="145" ht="11.25">
      <c r="E145" s="444"/>
    </row>
    <row r="146" ht="11.25">
      <c r="E146" s="444"/>
    </row>
    <row r="147" ht="11.25">
      <c r="E147" s="444"/>
    </row>
    <row r="148" ht="11.25">
      <c r="E148" s="444"/>
    </row>
    <row r="149" ht="11.25">
      <c r="E149" s="444"/>
    </row>
    <row r="150" ht="11.25">
      <c r="E150" s="444"/>
    </row>
    <row r="151" ht="11.25">
      <c r="E151" s="444"/>
    </row>
    <row r="152" ht="11.25">
      <c r="E152" s="444"/>
    </row>
    <row r="153" ht="11.25">
      <c r="E153" s="444"/>
    </row>
    <row r="154" ht="11.25">
      <c r="E154" s="444"/>
    </row>
    <row r="155" ht="11.25">
      <c r="E155" s="444"/>
    </row>
    <row r="156" ht="11.25">
      <c r="E156" s="444"/>
    </row>
    <row r="157" ht="11.25">
      <c r="E157" s="444"/>
    </row>
    <row r="158" ht="11.25">
      <c r="E158" s="444"/>
    </row>
    <row r="159" ht="11.25">
      <c r="E159" s="444"/>
    </row>
    <row r="160" ht="11.25">
      <c r="E160" s="444"/>
    </row>
    <row r="161" ht="11.25">
      <c r="E161" s="444"/>
    </row>
    <row r="162" ht="11.25">
      <c r="E162" s="444"/>
    </row>
    <row r="163" ht="11.25">
      <c r="E163" s="444"/>
    </row>
    <row r="164" ht="11.25">
      <c r="E164" s="444"/>
    </row>
    <row r="165" ht="11.25">
      <c r="E165" s="444"/>
    </row>
    <row r="166" ht="11.25">
      <c r="E166" s="444"/>
    </row>
    <row r="167" ht="11.25">
      <c r="E167" s="444"/>
    </row>
    <row r="168" ht="11.25">
      <c r="E168" s="444"/>
    </row>
    <row r="169" ht="11.25">
      <c r="E169" s="444"/>
    </row>
    <row r="170" ht="11.25">
      <c r="E170" s="444"/>
    </row>
    <row r="171" ht="11.25">
      <c r="E171" s="444"/>
    </row>
    <row r="172" ht="11.25">
      <c r="E172" s="444"/>
    </row>
    <row r="173" ht="11.25">
      <c r="E173" s="444"/>
    </row>
    <row r="174" ht="11.25">
      <c r="E174" s="444"/>
    </row>
    <row r="175" ht="11.25">
      <c r="E175" s="444"/>
    </row>
    <row r="176" ht="11.25">
      <c r="E176" s="444"/>
    </row>
    <row r="177" ht="11.25">
      <c r="E177" s="444"/>
    </row>
    <row r="178" ht="11.25">
      <c r="E178" s="444"/>
    </row>
    <row r="179" ht="11.25">
      <c r="E179" s="444"/>
    </row>
    <row r="180" ht="11.25">
      <c r="E180" s="444"/>
    </row>
    <row r="181" ht="11.25">
      <c r="E181" s="444"/>
    </row>
    <row r="182" ht="11.25">
      <c r="E182" s="444"/>
    </row>
    <row r="183" ht="11.25">
      <c r="E183" s="444"/>
    </row>
    <row r="184" ht="11.25">
      <c r="E184" s="444"/>
    </row>
    <row r="185" ht="11.25">
      <c r="E185" s="444"/>
    </row>
    <row r="186" ht="11.25">
      <c r="E186" s="444"/>
    </row>
    <row r="187" ht="11.25">
      <c r="E187" s="444"/>
    </row>
    <row r="188" ht="11.25">
      <c r="D188" s="444"/>
    </row>
    <row r="189" ht="11.25">
      <c r="D189" s="444"/>
    </row>
    <row r="190" ht="11.25">
      <c r="D190" s="444"/>
    </row>
    <row r="191" ht="11.25">
      <c r="D191" s="444"/>
    </row>
  </sheetData>
  <sheetProtection/>
  <mergeCells count="14">
    <mergeCell ref="B37:F37"/>
    <mergeCell ref="B38:F38"/>
    <mergeCell ref="B39:F39"/>
    <mergeCell ref="B40:F40"/>
    <mergeCell ref="C5:C7"/>
    <mergeCell ref="G5:G7"/>
    <mergeCell ref="J5:J7"/>
    <mergeCell ref="I5:I7"/>
    <mergeCell ref="B41:F41"/>
    <mergeCell ref="B32:F32"/>
    <mergeCell ref="B33:F33"/>
    <mergeCell ref="B34:F34"/>
    <mergeCell ref="B35:F35"/>
    <mergeCell ref="B36:F36"/>
  </mergeCells>
  <printOptions horizontalCentered="1" verticalCentered="1"/>
  <pageMargins left="0.2755905511811024" right="0.15748031496062992" top="0.5905511811023623" bottom="0.6692913385826772" header="0.3937007874015748" footer="0.35433070866141736"/>
  <pageSetup horizontalDpi="600" verticalDpi="600" orientation="landscape" paperSize="9" scale="85" r:id="rId1"/>
  <headerFooter alignWithMargins="0">
    <oddHeader>&amp;R
</oddHeader>
    <oddFooter>&amp;C&amp;9 5
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indexed="10"/>
  </sheetPr>
  <dimension ref="A1:Y132"/>
  <sheetViews>
    <sheetView showGridLines="0" zoomScalePageLayoutView="0" workbookViewId="0" topLeftCell="A69">
      <selection activeCell="H114" sqref="H114"/>
    </sheetView>
  </sheetViews>
  <sheetFormatPr defaultColWidth="11.375" defaultRowHeight="12.75"/>
  <cols>
    <col min="1" max="1" width="4.625" style="49" customWidth="1"/>
    <col min="2" max="2" width="5.00390625" style="49" customWidth="1"/>
    <col min="3" max="3" width="17.625" style="49" customWidth="1"/>
    <col min="4" max="4" width="11.25390625" style="49" customWidth="1"/>
    <col min="5" max="5" width="10.125" style="49" customWidth="1"/>
    <col min="6" max="6" width="9.375" style="49" customWidth="1"/>
    <col min="7" max="7" width="10.125" style="49" customWidth="1"/>
    <col min="8" max="8" width="10.75390625" style="49" customWidth="1"/>
    <col min="9" max="9" width="9.25390625" style="49" customWidth="1"/>
    <col min="10" max="10" width="10.375" style="49" customWidth="1"/>
    <col min="11" max="11" width="11.25390625" style="49" customWidth="1"/>
    <col min="12" max="12" width="9.875" style="49" customWidth="1"/>
    <col min="13" max="13" width="10.25390625" style="451" customWidth="1"/>
    <col min="14" max="14" width="10.00390625" style="49" bestFit="1" customWidth="1"/>
    <col min="15" max="15" width="2.25390625" style="49" customWidth="1"/>
    <col min="16" max="17" width="8.75390625" style="49" customWidth="1"/>
    <col min="18" max="18" width="10.375" style="49" customWidth="1"/>
    <col min="19" max="19" width="14.125" style="49" customWidth="1"/>
    <col min="20" max="20" width="11.875" style="49" customWidth="1"/>
    <col min="21" max="16384" width="11.375" style="49" customWidth="1"/>
  </cols>
  <sheetData>
    <row r="1" spans="1:2" ht="12.75">
      <c r="A1" s="133" t="s">
        <v>180</v>
      </c>
      <c r="B1" s="123"/>
    </row>
    <row r="2" spans="1:3" ht="12.75">
      <c r="A2" s="123"/>
      <c r="B2" s="123"/>
      <c r="C2" s="452"/>
    </row>
    <row r="3" spans="1:2" ht="13.5" thickBot="1">
      <c r="A3" s="123" t="s">
        <v>372</v>
      </c>
      <c r="B3" s="123"/>
    </row>
    <row r="4" spans="1:14" ht="12.75">
      <c r="A4" s="126"/>
      <c r="B4" s="453"/>
      <c r="C4" s="310"/>
      <c r="D4" s="1557">
        <v>2016</v>
      </c>
      <c r="E4" s="1558"/>
      <c r="F4" s="1558"/>
      <c r="G4" s="1570"/>
      <c r="H4" s="1577">
        <v>2015</v>
      </c>
      <c r="I4" s="1578"/>
      <c r="J4" s="1578"/>
      <c r="K4" s="1579"/>
      <c r="M4" s="49"/>
      <c r="N4" s="451"/>
    </row>
    <row r="5" spans="1:14" ht="12.75">
      <c r="A5" s="454"/>
      <c r="B5" s="57"/>
      <c r="C5" s="58"/>
      <c r="D5" s="639" t="s">
        <v>141</v>
      </c>
      <c r="E5" s="1556" t="s">
        <v>188</v>
      </c>
      <c r="F5" s="1556"/>
      <c r="G5" s="640" t="s">
        <v>234</v>
      </c>
      <c r="H5" s="795" t="s">
        <v>141</v>
      </c>
      <c r="I5" s="1556" t="s">
        <v>31</v>
      </c>
      <c r="J5" s="1556"/>
      <c r="K5" s="881"/>
      <c r="M5" s="49"/>
      <c r="N5" s="451"/>
    </row>
    <row r="6" spans="1:15" ht="12.75">
      <c r="A6" s="454"/>
      <c r="B6" s="57" t="s">
        <v>37</v>
      </c>
      <c r="C6" s="58"/>
      <c r="D6" s="642" t="s">
        <v>142</v>
      </c>
      <c r="E6" s="335" t="s">
        <v>179</v>
      </c>
      <c r="F6" s="455" t="s">
        <v>67</v>
      </c>
      <c r="G6" s="643" t="s">
        <v>278</v>
      </c>
      <c r="H6" s="641" t="s">
        <v>142</v>
      </c>
      <c r="I6" s="335" t="s">
        <v>179</v>
      </c>
      <c r="J6" s="455" t="s">
        <v>67</v>
      </c>
      <c r="K6" s="869" t="s">
        <v>111</v>
      </c>
      <c r="L6" s="184"/>
      <c r="M6" s="184"/>
      <c r="N6" s="184"/>
      <c r="O6" s="184"/>
    </row>
    <row r="7" spans="1:14" ht="13.5" thickBot="1">
      <c r="A7" s="456" t="s">
        <v>34</v>
      </c>
      <c r="B7" s="457" t="s">
        <v>38</v>
      </c>
      <c r="C7" s="458"/>
      <c r="D7" s="644" t="s">
        <v>279</v>
      </c>
      <c r="E7" s="459" t="s">
        <v>178</v>
      </c>
      <c r="F7" s="460" t="s">
        <v>16</v>
      </c>
      <c r="G7" s="461" t="s">
        <v>111</v>
      </c>
      <c r="H7" s="645" t="s">
        <v>279</v>
      </c>
      <c r="I7" s="459" t="s">
        <v>178</v>
      </c>
      <c r="J7" s="460" t="s">
        <v>16</v>
      </c>
      <c r="K7" s="870"/>
      <c r="L7" s="184"/>
      <c r="M7" s="49"/>
      <c r="N7" s="451"/>
    </row>
    <row r="8" spans="1:14" ht="12.75">
      <c r="A8" s="462">
        <v>1</v>
      </c>
      <c r="B8" s="463">
        <v>11</v>
      </c>
      <c r="C8" s="58" t="s">
        <v>7</v>
      </c>
      <c r="D8" s="1107">
        <f>SUM(E8:G8)</f>
        <v>309602.1</v>
      </c>
      <c r="E8" s="472">
        <f>str4!D6</f>
        <v>70441.5</v>
      </c>
      <c r="F8" s="464">
        <f>str5!N10</f>
        <v>239160.6</v>
      </c>
      <c r="G8" s="465"/>
      <c r="H8" s="466">
        <f>SUM(I8:K8)</f>
        <v>300716</v>
      </c>
      <c r="I8" s="467">
        <v>66146</v>
      </c>
      <c r="J8" s="861">
        <v>234570</v>
      </c>
      <c r="K8" s="871"/>
      <c r="L8" s="468"/>
      <c r="M8" s="469"/>
      <c r="N8" s="451"/>
    </row>
    <row r="9" spans="1:14" ht="12.75">
      <c r="A9" s="470">
        <v>2</v>
      </c>
      <c r="B9" s="471">
        <v>21</v>
      </c>
      <c r="C9" s="55" t="s">
        <v>8</v>
      </c>
      <c r="D9" s="1106">
        <f aca="true" t="shared" si="0" ref="D9:D16">SUM(E9:G9)</f>
        <v>317025.3</v>
      </c>
      <c r="E9" s="486">
        <f>str4!D7</f>
        <v>66787.4</v>
      </c>
      <c r="F9" s="486">
        <f>str5!N11</f>
        <v>250237.9</v>
      </c>
      <c r="G9" s="473"/>
      <c r="H9" s="474">
        <f aca="true" t="shared" si="1" ref="H9:H16">SUM(I9:K9)</f>
        <v>311497</v>
      </c>
      <c r="I9" s="475">
        <v>60777</v>
      </c>
      <c r="J9" s="806">
        <v>250720</v>
      </c>
      <c r="K9" s="872"/>
      <c r="L9" s="468"/>
      <c r="M9" s="469"/>
      <c r="N9" s="451"/>
    </row>
    <row r="10" spans="1:14" ht="12.75">
      <c r="A10" s="470">
        <v>3</v>
      </c>
      <c r="B10" s="471">
        <v>22</v>
      </c>
      <c r="C10" s="55" t="s">
        <v>9</v>
      </c>
      <c r="D10" s="1106">
        <f t="shared" si="0"/>
        <v>114521.5</v>
      </c>
      <c r="E10" s="476">
        <f>str4!D8</f>
        <v>24651</v>
      </c>
      <c r="F10" s="476">
        <f>str5!N12</f>
        <v>89870.5</v>
      </c>
      <c r="G10" s="473"/>
      <c r="H10" s="474">
        <f t="shared" si="1"/>
        <v>111815</v>
      </c>
      <c r="I10" s="475">
        <v>23409</v>
      </c>
      <c r="J10" s="806">
        <v>88406</v>
      </c>
      <c r="K10" s="872"/>
      <c r="L10" s="468"/>
      <c r="M10" s="469"/>
      <c r="N10" s="451"/>
    </row>
    <row r="11" spans="1:14" ht="12.75">
      <c r="A11" s="470">
        <v>4</v>
      </c>
      <c r="B11" s="471">
        <v>23</v>
      </c>
      <c r="C11" s="55" t="s">
        <v>10</v>
      </c>
      <c r="D11" s="1106">
        <f t="shared" si="0"/>
        <v>130885.5</v>
      </c>
      <c r="E11" s="476">
        <f>str4!D9</f>
        <v>30917.4</v>
      </c>
      <c r="F11" s="476">
        <f>str5!N13</f>
        <v>99968.1</v>
      </c>
      <c r="G11" s="473"/>
      <c r="H11" s="474">
        <f t="shared" si="1"/>
        <v>126759</v>
      </c>
      <c r="I11" s="475">
        <v>27642</v>
      </c>
      <c r="J11" s="806">
        <v>99117</v>
      </c>
      <c r="K11" s="872"/>
      <c r="L11" s="468"/>
      <c r="M11" s="469"/>
      <c r="N11" s="451"/>
    </row>
    <row r="12" spans="1:14" ht="12.75">
      <c r="A12" s="470">
        <v>5</v>
      </c>
      <c r="B12" s="471">
        <v>31</v>
      </c>
      <c r="C12" s="55" t="s">
        <v>11</v>
      </c>
      <c r="D12" s="1106">
        <f t="shared" si="0"/>
        <v>452678.3</v>
      </c>
      <c r="E12" s="712">
        <f>str4!D10</f>
        <v>222574.5</v>
      </c>
      <c r="F12" s="712">
        <f>str5!N14</f>
        <v>230103.8</v>
      </c>
      <c r="G12" s="473"/>
      <c r="H12" s="474">
        <f t="shared" si="1"/>
        <v>433383</v>
      </c>
      <c r="I12" s="475">
        <v>204138</v>
      </c>
      <c r="J12" s="806">
        <v>229245</v>
      </c>
      <c r="K12" s="872"/>
      <c r="L12" s="468"/>
      <c r="M12" s="469"/>
      <c r="N12" s="451"/>
    </row>
    <row r="13" spans="1:14" ht="12.75">
      <c r="A13" s="470">
        <v>6</v>
      </c>
      <c r="B13" s="471">
        <v>33</v>
      </c>
      <c r="C13" s="55" t="s">
        <v>12</v>
      </c>
      <c r="D13" s="1106">
        <f t="shared" si="0"/>
        <v>127705.5</v>
      </c>
      <c r="E13" s="476">
        <f>str4!D11</f>
        <v>35884.3</v>
      </c>
      <c r="F13" s="476">
        <f>str5!N15</f>
        <v>91821.2</v>
      </c>
      <c r="G13" s="473"/>
      <c r="H13" s="474">
        <f t="shared" si="1"/>
        <v>120752</v>
      </c>
      <c r="I13" s="475">
        <v>32156</v>
      </c>
      <c r="J13" s="806">
        <v>88596</v>
      </c>
      <c r="K13" s="872"/>
      <c r="L13" s="468"/>
      <c r="M13" s="469"/>
      <c r="N13" s="451"/>
    </row>
    <row r="14" spans="1:14" ht="12.75">
      <c r="A14" s="470">
        <v>7</v>
      </c>
      <c r="B14" s="471">
        <v>41</v>
      </c>
      <c r="C14" s="55" t="s">
        <v>13</v>
      </c>
      <c r="D14" s="1106">
        <f t="shared" si="0"/>
        <v>176808.5</v>
      </c>
      <c r="E14" s="712">
        <f>str4!D12</f>
        <v>30309.1</v>
      </c>
      <c r="F14" s="712">
        <f>str5!N16</f>
        <v>146499.4</v>
      </c>
      <c r="G14" s="473"/>
      <c r="H14" s="474">
        <f t="shared" si="1"/>
        <v>172242</v>
      </c>
      <c r="I14" s="475">
        <v>30182</v>
      </c>
      <c r="J14" s="806">
        <v>142060</v>
      </c>
      <c r="K14" s="872"/>
      <c r="L14" s="468"/>
      <c r="M14" s="469"/>
      <c r="N14" s="451"/>
    </row>
    <row r="15" spans="1:17" ht="12.75">
      <c r="A15" s="470">
        <v>8</v>
      </c>
      <c r="B15" s="471">
        <v>51</v>
      </c>
      <c r="C15" s="55" t="s">
        <v>237</v>
      </c>
      <c r="D15" s="1106">
        <f t="shared" si="0"/>
        <v>73885</v>
      </c>
      <c r="E15" s="633">
        <f>str4!D13</f>
        <v>3448.6</v>
      </c>
      <c r="F15" s="476">
        <f>str5!N17+str5!N19</f>
        <v>70436.4</v>
      </c>
      <c r="G15" s="473"/>
      <c r="H15" s="474">
        <f t="shared" si="1"/>
        <v>70688</v>
      </c>
      <c r="I15" s="475">
        <v>3358</v>
      </c>
      <c r="J15" s="806">
        <v>67330</v>
      </c>
      <c r="K15" s="872"/>
      <c r="L15" s="468"/>
      <c r="M15" s="469"/>
      <c r="N15" s="124"/>
      <c r="P15" s="124"/>
      <c r="Q15" s="124"/>
    </row>
    <row r="16" spans="1:14" ht="12.75">
      <c r="A16" s="913">
        <v>9</v>
      </c>
      <c r="B16" s="477">
        <v>56</v>
      </c>
      <c r="C16" s="56" t="s">
        <v>15</v>
      </c>
      <c r="D16" s="1108">
        <f t="shared" si="0"/>
        <v>107004.5</v>
      </c>
      <c r="E16" s="914">
        <f>str4!D14</f>
        <v>12922.8</v>
      </c>
      <c r="F16" s="637">
        <f>str5!N18</f>
        <v>94081.7</v>
      </c>
      <c r="G16" s="478"/>
      <c r="H16" s="479">
        <f t="shared" si="1"/>
        <v>103095</v>
      </c>
      <c r="I16" s="467">
        <v>11690</v>
      </c>
      <c r="J16" s="862">
        <v>91405</v>
      </c>
      <c r="K16" s="873"/>
      <c r="L16" s="468"/>
      <c r="M16" s="469"/>
      <c r="N16" s="124"/>
    </row>
    <row r="17" spans="1:14" s="739" customFormat="1" ht="12.75">
      <c r="A17" s="915">
        <v>10</v>
      </c>
      <c r="B17" s="916" t="s">
        <v>39</v>
      </c>
      <c r="C17" s="917"/>
      <c r="D17" s="743">
        <f aca="true" t="shared" si="2" ref="D17:J17">SUM(D8:D16)</f>
        <v>1810116.2</v>
      </c>
      <c r="E17" s="918">
        <f t="shared" si="2"/>
        <v>497936.5999999999</v>
      </c>
      <c r="F17" s="919">
        <f t="shared" si="2"/>
        <v>1312179.5999999996</v>
      </c>
      <c r="G17" s="920">
        <f t="shared" si="2"/>
        <v>0</v>
      </c>
      <c r="H17" s="921">
        <f t="shared" si="2"/>
        <v>1750947</v>
      </c>
      <c r="I17" s="922">
        <f t="shared" si="2"/>
        <v>459498</v>
      </c>
      <c r="J17" s="539">
        <f t="shared" si="2"/>
        <v>1291449</v>
      </c>
      <c r="K17" s="891">
        <v>0</v>
      </c>
      <c r="L17" s="737"/>
      <c r="M17" s="737"/>
      <c r="N17" s="738"/>
    </row>
    <row r="18" spans="1:14" s="123" customFormat="1" ht="12.75">
      <c r="A18" s="482">
        <v>11</v>
      </c>
      <c r="B18" s="483">
        <v>71</v>
      </c>
      <c r="C18" s="54" t="s">
        <v>207</v>
      </c>
      <c r="D18" s="484">
        <f>SUM(E18:G18)</f>
        <v>61531.8</v>
      </c>
      <c r="E18" s="485">
        <f>str4!D16</f>
        <v>61531.8</v>
      </c>
      <c r="F18" s="486"/>
      <c r="G18" s="487"/>
      <c r="H18" s="479">
        <f>SUM(I18:K18)</f>
        <v>47613</v>
      </c>
      <c r="I18" s="485">
        <v>47613</v>
      </c>
      <c r="J18" s="863"/>
      <c r="K18" s="874"/>
      <c r="L18" s="334"/>
      <c r="M18" s="334"/>
      <c r="N18" s="481"/>
    </row>
    <row r="19" spans="1:14" s="123" customFormat="1" ht="12.75">
      <c r="A19" s="482">
        <v>12</v>
      </c>
      <c r="B19" s="483">
        <v>79</v>
      </c>
      <c r="C19" s="54" t="s">
        <v>304</v>
      </c>
      <c r="D19" s="484"/>
      <c r="E19" s="485"/>
      <c r="F19" s="486"/>
      <c r="G19" s="487"/>
      <c r="H19" s="474"/>
      <c r="I19" s="485"/>
      <c r="J19" s="863"/>
      <c r="K19" s="874"/>
      <c r="L19" s="334"/>
      <c r="M19" s="334"/>
      <c r="N19" s="481"/>
    </row>
    <row r="20" spans="1:14" ht="12.75">
      <c r="A20" s="470">
        <v>13</v>
      </c>
      <c r="B20" s="471">
        <v>81</v>
      </c>
      <c r="C20" s="55" t="s">
        <v>71</v>
      </c>
      <c r="D20" s="484">
        <f aca="true" t="shared" si="3" ref="D20:D29">SUM(E20:G20)</f>
        <v>0</v>
      </c>
      <c r="E20" s="475"/>
      <c r="F20" s="476"/>
      <c r="G20" s="488"/>
      <c r="H20" s="474">
        <f aca="true" t="shared" si="4" ref="H20:H30">SUM(I20:K20)</f>
        <v>0</v>
      </c>
      <c r="I20" s="475"/>
      <c r="J20" s="806"/>
      <c r="K20" s="529"/>
      <c r="L20" s="124"/>
      <c r="M20" s="124"/>
      <c r="N20" s="451"/>
    </row>
    <row r="21" spans="1:14" ht="12.75">
      <c r="A21" s="482">
        <v>14</v>
      </c>
      <c r="B21" s="471">
        <v>82</v>
      </c>
      <c r="C21" s="55" t="s">
        <v>1</v>
      </c>
      <c r="D21" s="484">
        <f t="shared" si="3"/>
        <v>0</v>
      </c>
      <c r="E21" s="475"/>
      <c r="F21" s="476"/>
      <c r="G21" s="488"/>
      <c r="H21" s="474">
        <f t="shared" si="4"/>
        <v>0</v>
      </c>
      <c r="I21" s="475"/>
      <c r="J21" s="806"/>
      <c r="K21" s="529"/>
      <c r="M21" s="49"/>
      <c r="N21" s="451"/>
    </row>
    <row r="22" spans="1:17" ht="12.75">
      <c r="A22" s="482">
        <v>15</v>
      </c>
      <c r="B22" s="471">
        <v>83</v>
      </c>
      <c r="C22" s="55" t="s">
        <v>83</v>
      </c>
      <c r="D22" s="484">
        <f t="shared" si="3"/>
        <v>6700</v>
      </c>
      <c r="E22" s="475"/>
      <c r="F22" s="476">
        <f>'příl.1 - cp 2016'!I159</f>
        <v>6700</v>
      </c>
      <c r="G22" s="488"/>
      <c r="H22" s="474">
        <f t="shared" si="4"/>
        <v>6700</v>
      </c>
      <c r="I22" s="475"/>
      <c r="J22" s="864">
        <v>6700</v>
      </c>
      <c r="K22" s="875"/>
      <c r="M22" s="49"/>
      <c r="N22" s="451"/>
      <c r="P22" s="124"/>
      <c r="Q22" s="124"/>
    </row>
    <row r="23" spans="1:14" ht="12.75">
      <c r="A23" s="470">
        <v>16</v>
      </c>
      <c r="B23" s="463">
        <v>84</v>
      </c>
      <c r="C23" s="169" t="s">
        <v>82</v>
      </c>
      <c r="D23" s="484">
        <f t="shared" si="3"/>
        <v>3471.1</v>
      </c>
      <c r="E23" s="475">
        <f>str4!D17</f>
        <v>471.1</v>
      </c>
      <c r="F23" s="476">
        <f>'příl.1 - cp 2016'!I160</f>
        <v>3000</v>
      </c>
      <c r="G23" s="488"/>
      <c r="H23" s="474">
        <f t="shared" si="4"/>
        <v>3353</v>
      </c>
      <c r="I23" s="475">
        <v>353</v>
      </c>
      <c r="J23" s="864">
        <v>3000</v>
      </c>
      <c r="K23" s="875"/>
      <c r="M23" s="49"/>
      <c r="N23" s="451"/>
    </row>
    <row r="24" spans="1:14" ht="12.75">
      <c r="A24" s="482">
        <v>17</v>
      </c>
      <c r="B24" s="646">
        <v>85</v>
      </c>
      <c r="C24" s="647" t="s">
        <v>106</v>
      </c>
      <c r="D24" s="484">
        <f t="shared" si="3"/>
        <v>818.7</v>
      </c>
      <c r="E24" s="475">
        <f>str4!D18</f>
        <v>818.7</v>
      </c>
      <c r="F24" s="476"/>
      <c r="G24" s="488"/>
      <c r="H24" s="474">
        <f t="shared" si="4"/>
        <v>612</v>
      </c>
      <c r="I24" s="475">
        <v>612</v>
      </c>
      <c r="J24" s="865"/>
      <c r="K24" s="876"/>
      <c r="M24" s="49"/>
      <c r="N24" s="451"/>
    </row>
    <row r="25" spans="1:14" ht="12.75">
      <c r="A25" s="482">
        <v>18</v>
      </c>
      <c r="B25" s="646">
        <v>87</v>
      </c>
      <c r="C25" s="647" t="s">
        <v>135</v>
      </c>
      <c r="D25" s="484">
        <f t="shared" si="3"/>
        <v>7724</v>
      </c>
      <c r="E25" s="475"/>
      <c r="F25" s="476">
        <f>'příl.1 - cp 2016'!I162</f>
        <v>7724</v>
      </c>
      <c r="G25" s="488"/>
      <c r="H25" s="474">
        <f t="shared" si="4"/>
        <v>7724</v>
      </c>
      <c r="I25" s="475"/>
      <c r="J25" s="865">
        <v>7724</v>
      </c>
      <c r="K25" s="876"/>
      <c r="M25" s="49"/>
      <c r="N25" s="451"/>
    </row>
    <row r="26" spans="1:14" ht="12.75">
      <c r="A26" s="470">
        <v>19</v>
      </c>
      <c r="B26" s="646">
        <v>92</v>
      </c>
      <c r="C26" s="647" t="s">
        <v>17</v>
      </c>
      <c r="D26" s="494">
        <f t="shared" si="3"/>
        <v>99112</v>
      </c>
      <c r="E26" s="475">
        <f>str4!D19</f>
        <v>2612</v>
      </c>
      <c r="F26" s="476">
        <f>'příl.1 - cp 2016'!I163</f>
        <v>96500</v>
      </c>
      <c r="G26" s="488"/>
      <c r="H26" s="474">
        <f t="shared" si="4"/>
        <v>98974</v>
      </c>
      <c r="I26" s="475">
        <v>1977</v>
      </c>
      <c r="J26" s="865">
        <v>96997</v>
      </c>
      <c r="K26" s="876"/>
      <c r="M26" s="49"/>
      <c r="N26" s="451"/>
    </row>
    <row r="27" spans="1:14" ht="12.75">
      <c r="A27" s="482">
        <v>20</v>
      </c>
      <c r="B27" s="646">
        <v>96</v>
      </c>
      <c r="C27" s="647" t="s">
        <v>24</v>
      </c>
      <c r="D27" s="484">
        <f t="shared" si="3"/>
        <v>32806.7</v>
      </c>
      <c r="E27" s="475">
        <f>str4!D20</f>
        <v>806.7</v>
      </c>
      <c r="F27" s="476">
        <f>str5!L20</f>
        <v>32000</v>
      </c>
      <c r="G27" s="488"/>
      <c r="H27" s="474">
        <f t="shared" si="4"/>
        <v>32469</v>
      </c>
      <c r="I27" s="475">
        <v>469</v>
      </c>
      <c r="J27" s="806">
        <v>32000</v>
      </c>
      <c r="K27" s="529"/>
      <c r="M27" s="49"/>
      <c r="N27" s="451"/>
    </row>
    <row r="28" spans="1:14" ht="12.75">
      <c r="A28" s="482">
        <v>21</v>
      </c>
      <c r="B28" s="646">
        <v>97</v>
      </c>
      <c r="C28" s="647" t="s">
        <v>25</v>
      </c>
      <c r="D28" s="484">
        <f t="shared" si="3"/>
        <v>9450</v>
      </c>
      <c r="E28" s="475"/>
      <c r="F28" s="476">
        <f>'příl.1 - cp 2016'!I165</f>
        <v>9450</v>
      </c>
      <c r="G28" s="488"/>
      <c r="H28" s="474">
        <f t="shared" si="4"/>
        <v>9450</v>
      </c>
      <c r="I28" s="475"/>
      <c r="J28" s="806">
        <v>9450</v>
      </c>
      <c r="K28" s="529"/>
      <c r="M28" s="49"/>
      <c r="N28" s="451"/>
    </row>
    <row r="29" spans="1:14" ht="12.75">
      <c r="A29" s="913">
        <v>22</v>
      </c>
      <c r="B29" s="923">
        <v>99</v>
      </c>
      <c r="C29" s="924" t="s">
        <v>18</v>
      </c>
      <c r="D29" s="740">
        <f t="shared" si="3"/>
        <v>114174</v>
      </c>
      <c r="E29" s="925">
        <f>str4!D21</f>
        <v>26574</v>
      </c>
      <c r="F29" s="792">
        <f>'příl.1 - cp 2016'!I166-str5!G41</f>
        <v>53216.78000000038</v>
      </c>
      <c r="G29" s="926">
        <f>str5!G41</f>
        <v>34383.21999999962</v>
      </c>
      <c r="H29" s="479">
        <f t="shared" si="4"/>
        <v>108815</v>
      </c>
      <c r="I29" s="925">
        <v>21215</v>
      </c>
      <c r="J29" s="926">
        <v>39658.99999999988</v>
      </c>
      <c r="K29" s="548">
        <v>47941.00000000012</v>
      </c>
      <c r="L29" s="124"/>
      <c r="M29" s="49"/>
      <c r="N29" s="451"/>
    </row>
    <row r="30" spans="1:14" s="739" customFormat="1" ht="12.75">
      <c r="A30" s="929">
        <v>23</v>
      </c>
      <c r="B30" s="917" t="s">
        <v>394</v>
      </c>
      <c r="C30" s="917"/>
      <c r="D30" s="743">
        <f>SUM(D18:D29)</f>
        <v>335788.3</v>
      </c>
      <c r="E30" s="854">
        <f>SUM(E18:E29)</f>
        <v>92814.3</v>
      </c>
      <c r="F30" s="780">
        <f>SUM(F22:F29)</f>
        <v>208590.78000000038</v>
      </c>
      <c r="G30" s="781">
        <f>SUM(G18:G29)</f>
        <v>34383.21999999962</v>
      </c>
      <c r="H30" s="930">
        <f t="shared" si="4"/>
        <v>315710</v>
      </c>
      <c r="I30" s="931">
        <f>SUM(I18:I29)</f>
        <v>72239</v>
      </c>
      <c r="J30" s="932">
        <f>SUM(J18:J29)</f>
        <v>195529.99999999988</v>
      </c>
      <c r="K30" s="540">
        <f>SUM(K29)</f>
        <v>47941.00000000012</v>
      </c>
      <c r="L30" s="737"/>
      <c r="M30" s="551"/>
      <c r="N30" s="738"/>
    </row>
    <row r="31" spans="1:17" ht="12.75">
      <c r="A31" s="491">
        <v>24</v>
      </c>
      <c r="B31" s="492" t="s">
        <v>271</v>
      </c>
      <c r="C31" s="492"/>
      <c r="D31" s="484">
        <f>SUM(E31:G31)</f>
        <v>95056</v>
      </c>
      <c r="E31" s="485"/>
      <c r="F31" s="486">
        <f>'příl.1 - cp 2016'!I6</f>
        <v>95056</v>
      </c>
      <c r="G31" s="487"/>
      <c r="H31" s="927">
        <f>SUM(I31:K31)</f>
        <v>152894</v>
      </c>
      <c r="I31" s="485"/>
      <c r="J31" s="863">
        <v>152894</v>
      </c>
      <c r="K31" s="928"/>
      <c r="M31" s="124"/>
      <c r="N31" s="451"/>
      <c r="Q31" s="739"/>
    </row>
    <row r="32" spans="1:17" ht="12.75">
      <c r="A32" s="312">
        <v>25</v>
      </c>
      <c r="B32" s="493" t="s">
        <v>272</v>
      </c>
      <c r="C32" s="493"/>
      <c r="D32" s="484">
        <f>SUM(E32:G32)</f>
        <v>175332</v>
      </c>
      <c r="E32" s="475"/>
      <c r="F32" s="476">
        <f>'příl.1 - cp 2016'!I27-'příl.1 - cp 2016'!I89</f>
        <v>175332</v>
      </c>
      <c r="G32" s="488"/>
      <c r="H32" s="474">
        <f>SUM(I32:K32)</f>
        <v>175909</v>
      </c>
      <c r="I32" s="475"/>
      <c r="J32" s="806">
        <v>175909</v>
      </c>
      <c r="K32" s="877"/>
      <c r="M32" s="49"/>
      <c r="N32" s="451"/>
      <c r="Q32" s="739"/>
    </row>
    <row r="33" spans="1:17" ht="12.75">
      <c r="A33" s="53">
        <v>26</v>
      </c>
      <c r="B33" s="495" t="s">
        <v>33</v>
      </c>
      <c r="C33" s="495"/>
      <c r="D33" s="484">
        <f>SUM(E33:G33)</f>
        <v>17500</v>
      </c>
      <c r="E33" s="496"/>
      <c r="F33" s="497">
        <f>'příl.1 - cp 2016'!I89</f>
        <v>17500</v>
      </c>
      <c r="G33" s="498"/>
      <c r="H33" s="479">
        <f>SUM(I33:K33)</f>
        <v>17500</v>
      </c>
      <c r="I33" s="742"/>
      <c r="J33" s="866">
        <v>17500</v>
      </c>
      <c r="K33" s="878"/>
      <c r="M33" s="49"/>
      <c r="N33" s="451"/>
      <c r="Q33" s="739"/>
    </row>
    <row r="34" spans="1:17" ht="13.5" thickBot="1">
      <c r="A34" s="51">
        <v>27</v>
      </c>
      <c r="B34" s="58" t="s">
        <v>604</v>
      </c>
      <c r="C34" s="58"/>
      <c r="D34" s="740">
        <f>SUM(D31:D33)</f>
        <v>287888</v>
      </c>
      <c r="E34" s="741">
        <f aca="true" t="shared" si="5" ref="E34:K34">SUM(E31:E33)</f>
        <v>0</v>
      </c>
      <c r="F34" s="741">
        <f>SUM(F31:F33)</f>
        <v>287888</v>
      </c>
      <c r="G34" s="741">
        <f t="shared" si="5"/>
        <v>0</v>
      </c>
      <c r="H34" s="798">
        <f t="shared" si="5"/>
        <v>346303</v>
      </c>
      <c r="I34" s="799">
        <f t="shared" si="5"/>
        <v>0</v>
      </c>
      <c r="J34" s="867">
        <f t="shared" si="5"/>
        <v>346303</v>
      </c>
      <c r="K34" s="879">
        <f t="shared" si="5"/>
        <v>0</v>
      </c>
      <c r="L34" s="124"/>
      <c r="M34" s="49"/>
      <c r="N34" s="451"/>
      <c r="Q34" s="739"/>
    </row>
    <row r="35" spans="1:17" s="551" customFormat="1" ht="13.5" thickBot="1">
      <c r="A35" s="735">
        <v>28</v>
      </c>
      <c r="B35" s="736" t="s">
        <v>605</v>
      </c>
      <c r="C35" s="736"/>
      <c r="D35" s="480">
        <f aca="true" t="shared" si="6" ref="D35:K35">D34+D30+D17</f>
        <v>2433792.5</v>
      </c>
      <c r="E35" s="800">
        <f t="shared" si="6"/>
        <v>590750.8999999999</v>
      </c>
      <c r="F35" s="797">
        <f>F34+F30+F17</f>
        <v>1808658.38</v>
      </c>
      <c r="G35" s="796">
        <f t="shared" si="6"/>
        <v>34383.21999999962</v>
      </c>
      <c r="H35" s="801">
        <f t="shared" si="6"/>
        <v>2412960</v>
      </c>
      <c r="I35" s="802">
        <f t="shared" si="6"/>
        <v>531737</v>
      </c>
      <c r="J35" s="868">
        <f t="shared" si="6"/>
        <v>1833282</v>
      </c>
      <c r="K35" s="880">
        <f t="shared" si="6"/>
        <v>47941.00000000012</v>
      </c>
      <c r="L35" s="657"/>
      <c r="M35" s="657"/>
      <c r="N35" s="658"/>
      <c r="O35" s="657"/>
      <c r="Q35" s="739"/>
    </row>
    <row r="36" spans="4:17" s="629" customFormat="1" ht="12.75" hidden="1">
      <c r="D36" s="629" t="s">
        <v>625</v>
      </c>
      <c r="E36" s="648">
        <f>str1!F8</f>
        <v>590751</v>
      </c>
      <c r="F36" s="648">
        <f>str1!F7</f>
        <v>1808658</v>
      </c>
      <c r="H36" s="648"/>
      <c r="I36" s="648"/>
      <c r="J36" s="648"/>
      <c r="Q36" s="739"/>
    </row>
    <row r="37" spans="1:17" s="629" customFormat="1" ht="15" hidden="1">
      <c r="A37" s="649"/>
      <c r="D37" s="629" t="s">
        <v>626</v>
      </c>
      <c r="F37" s="648">
        <f>F36-F32-F33</f>
        <v>1615826</v>
      </c>
      <c r="H37" s="648"/>
      <c r="I37" s="648"/>
      <c r="Q37" s="739"/>
    </row>
    <row r="38" spans="1:17" s="629" customFormat="1" ht="15" hidden="1">
      <c r="A38" s="649"/>
      <c r="D38" s="648" t="s">
        <v>236</v>
      </c>
      <c r="E38" s="648">
        <f>E36+F36-str1!F9</f>
        <v>0</v>
      </c>
      <c r="F38" s="648"/>
      <c r="H38" s="648"/>
      <c r="I38" s="648"/>
      <c r="Q38" s="739"/>
    </row>
    <row r="39" spans="1:17" ht="13.5" customHeight="1">
      <c r="A39" s="502"/>
      <c r="D39" s="124"/>
      <c r="E39" s="794"/>
      <c r="F39" s="1056">
        <f>E35+F35+G35</f>
        <v>2433792.4999999995</v>
      </c>
      <c r="G39" s="1055"/>
      <c r="H39" s="124"/>
      <c r="I39" s="794"/>
      <c r="J39" s="1056">
        <f>I35+J35+K35</f>
        <v>2412960</v>
      </c>
      <c r="K39" s="1055"/>
      <c r="Q39" s="739"/>
    </row>
    <row r="40" spans="4:10" ht="12.75">
      <c r="D40" s="124"/>
      <c r="E40" s="1561">
        <f>SUM(E35:F35)</f>
        <v>2399409.28</v>
      </c>
      <c r="F40" s="1562"/>
      <c r="G40" s="1112">
        <f>E40-str1!F9</f>
        <v>0.27999999979510903</v>
      </c>
      <c r="H40" s="503"/>
      <c r="I40" s="1561">
        <f>SUM(I35:J35)</f>
        <v>2365019</v>
      </c>
      <c r="J40" s="1562"/>
    </row>
    <row r="41" spans="3:5" ht="11.25" customHeight="1">
      <c r="C41" s="124"/>
      <c r="D41" s="124"/>
      <c r="E41" s="124"/>
    </row>
    <row r="42" spans="1:17" ht="17.25" customHeight="1" thickBot="1">
      <c r="A42" s="123" t="s">
        <v>373</v>
      </c>
      <c r="O42" s="124"/>
      <c r="P42" s="124"/>
      <c r="Q42" s="124"/>
    </row>
    <row r="43" spans="1:21" ht="12.75" customHeight="1">
      <c r="A43" s="126"/>
      <c r="B43" s="453"/>
      <c r="C43" s="310"/>
      <c r="D43" s="1557" t="s">
        <v>668</v>
      </c>
      <c r="E43" s="1558"/>
      <c r="F43" s="1558"/>
      <c r="G43" s="1559"/>
      <c r="H43" s="1559"/>
      <c r="I43" s="1559"/>
      <c r="J43" s="1560"/>
      <c r="K43" s="1569" t="s">
        <v>531</v>
      </c>
      <c r="L43" s="1559"/>
      <c r="M43" s="1559"/>
      <c r="N43" s="1560"/>
      <c r="O43" s="124"/>
      <c r="P43" s="124"/>
      <c r="Q43" s="124"/>
      <c r="R43" s="124"/>
      <c r="S43" s="124"/>
      <c r="T43" s="124"/>
      <c r="U43" s="124"/>
    </row>
    <row r="44" spans="1:21" ht="13.5" customHeight="1">
      <c r="A44" s="454"/>
      <c r="B44" s="57"/>
      <c r="C44" s="58"/>
      <c r="D44" s="642" t="s">
        <v>141</v>
      </c>
      <c r="E44" s="1575" t="s">
        <v>187</v>
      </c>
      <c r="F44" s="1556"/>
      <c r="G44" s="1556"/>
      <c r="H44" s="1556"/>
      <c r="I44" s="1556"/>
      <c r="J44" s="650" t="s">
        <v>276</v>
      </c>
      <c r="K44" s="651" t="s">
        <v>141</v>
      </c>
      <c r="L44" s="1575" t="s">
        <v>31</v>
      </c>
      <c r="M44" s="1556"/>
      <c r="N44" s="1576"/>
      <c r="O44" s="124"/>
      <c r="P44" s="124"/>
      <c r="Q44" s="124"/>
      <c r="R44" s="124"/>
      <c r="S44" s="124"/>
      <c r="T44" s="124"/>
      <c r="U44" s="124"/>
    </row>
    <row r="45" spans="1:21" ht="13.5" customHeight="1">
      <c r="A45" s="454"/>
      <c r="B45" s="57" t="s">
        <v>37</v>
      </c>
      <c r="C45" s="58"/>
      <c r="D45" s="642" t="s">
        <v>142</v>
      </c>
      <c r="E45" s="335" t="s">
        <v>179</v>
      </c>
      <c r="F45" s="52" t="s">
        <v>67</v>
      </c>
      <c r="G45" s="1567" t="s">
        <v>68</v>
      </c>
      <c r="H45" s="1568"/>
      <c r="I45" s="1568"/>
      <c r="J45" s="652" t="s">
        <v>278</v>
      </c>
      <c r="K45" s="651" t="s">
        <v>142</v>
      </c>
      <c r="L45" s="335" t="s">
        <v>179</v>
      </c>
      <c r="M45" s="463" t="s">
        <v>67</v>
      </c>
      <c r="N45" s="881" t="s">
        <v>111</v>
      </c>
      <c r="O45" s="124"/>
      <c r="P45" s="124"/>
      <c r="Q45" s="124"/>
      <c r="R45" s="124"/>
      <c r="S45" s="124"/>
      <c r="T45" s="124"/>
      <c r="U45" s="124"/>
    </row>
    <row r="46" spans="1:21" ht="15" customHeight="1" thickBot="1">
      <c r="A46" s="456" t="s">
        <v>34</v>
      </c>
      <c r="B46" s="457" t="s">
        <v>38</v>
      </c>
      <c r="C46" s="458"/>
      <c r="D46" s="644" t="s">
        <v>279</v>
      </c>
      <c r="E46" s="459" t="s">
        <v>178</v>
      </c>
      <c r="F46" s="504" t="s">
        <v>16</v>
      </c>
      <c r="G46" s="505" t="s">
        <v>32</v>
      </c>
      <c r="H46" s="506" t="s">
        <v>371</v>
      </c>
      <c r="I46" s="507" t="s">
        <v>33</v>
      </c>
      <c r="J46" s="653" t="s">
        <v>277</v>
      </c>
      <c r="K46" s="654" t="s">
        <v>279</v>
      </c>
      <c r="L46" s="459" t="s">
        <v>178</v>
      </c>
      <c r="M46" s="882" t="s">
        <v>16</v>
      </c>
      <c r="N46" s="887"/>
      <c r="O46" s="124"/>
      <c r="P46" s="124"/>
      <c r="Q46" s="124"/>
      <c r="R46" s="124"/>
      <c r="S46" s="124"/>
      <c r="T46" s="124"/>
      <c r="U46" s="124"/>
    </row>
    <row r="47" spans="1:21" ht="15" customHeight="1" thickBot="1">
      <c r="A47" s="508"/>
      <c r="B47" s="59"/>
      <c r="C47" s="509" t="s">
        <v>238</v>
      </c>
      <c r="D47" s="655"/>
      <c r="E47" s="883">
        <v>2112</v>
      </c>
      <c r="F47" s="511"/>
      <c r="G47" s="1042">
        <v>1111</v>
      </c>
      <c r="H47" s="513">
        <v>1112</v>
      </c>
      <c r="I47" s="514">
        <v>1112</v>
      </c>
      <c r="J47" s="656">
        <v>4769</v>
      </c>
      <c r="K47" s="515"/>
      <c r="L47" s="510"/>
      <c r="M47" s="883"/>
      <c r="N47" s="888"/>
      <c r="O47" s="124"/>
      <c r="P47" s="124"/>
      <c r="Q47" s="124"/>
      <c r="R47" s="124"/>
      <c r="S47" s="124"/>
      <c r="T47" s="124"/>
      <c r="U47" s="124"/>
    </row>
    <row r="48" spans="1:21" ht="12.75">
      <c r="A48" s="51">
        <v>29</v>
      </c>
      <c r="B48" s="335">
        <v>11</v>
      </c>
      <c r="C48" s="58" t="s">
        <v>7</v>
      </c>
      <c r="D48" s="516">
        <f>SUM(G48:I48,E48,J48)</f>
        <v>309602.1</v>
      </c>
      <c r="E48" s="1040">
        <f>E8</f>
        <v>70441.5</v>
      </c>
      <c r="F48" s="1040">
        <f>SUM(G48:I48)</f>
        <v>239160.6</v>
      </c>
      <c r="G48" s="1041">
        <f>F8</f>
        <v>239160.6</v>
      </c>
      <c r="H48" s="519"/>
      <c r="I48" s="520"/>
      <c r="J48" s="521"/>
      <c r="K48" s="522">
        <f>SUM(L48:N48)</f>
        <v>300716</v>
      </c>
      <c r="L48" s="523">
        <v>66146</v>
      </c>
      <c r="M48" s="632">
        <v>234570</v>
      </c>
      <c r="N48" s="871"/>
      <c r="O48" s="124"/>
      <c r="P48" s="124"/>
      <c r="Q48" s="124"/>
      <c r="R48" s="124"/>
      <c r="S48" s="124"/>
      <c r="T48" s="124"/>
      <c r="U48" s="124"/>
    </row>
    <row r="49" spans="1:21" ht="12.75">
      <c r="A49" s="312">
        <v>30</v>
      </c>
      <c r="B49" s="524">
        <v>21</v>
      </c>
      <c r="C49" s="55" t="s">
        <v>8</v>
      </c>
      <c r="D49" s="494">
        <f aca="true" t="shared" si="7" ref="D49:D56">SUM(G49:I49,E49,J49)</f>
        <v>317505.3</v>
      </c>
      <c r="E49" s="1040">
        <f aca="true" t="shared" si="8" ref="E49:E56">E9</f>
        <v>66787.4</v>
      </c>
      <c r="F49" s="1040">
        <f aca="true" t="shared" si="9" ref="F49:F56">SUM(G49:I49)</f>
        <v>250717.9</v>
      </c>
      <c r="G49" s="1041">
        <f aca="true" t="shared" si="10" ref="G49:G56">F9</f>
        <v>250237.9</v>
      </c>
      <c r="H49" s="526">
        <f>'příl.1 - cp 2016'!I93</f>
        <v>480</v>
      </c>
      <c r="I49" s="527"/>
      <c r="J49" s="528"/>
      <c r="K49" s="522">
        <f aca="true" t="shared" si="11" ref="K49:K56">SUM(L49:N49)</f>
        <v>311597</v>
      </c>
      <c r="L49" s="525">
        <v>60777</v>
      </c>
      <c r="M49" s="633">
        <v>250820</v>
      </c>
      <c r="N49" s="872"/>
      <c r="O49" s="124"/>
      <c r="P49" s="124"/>
      <c r="Q49" s="124"/>
      <c r="R49" s="124"/>
      <c r="S49" s="124"/>
      <c r="T49" s="124"/>
      <c r="U49" s="124"/>
    </row>
    <row r="50" spans="1:21" ht="12.75">
      <c r="A50" s="51">
        <v>31</v>
      </c>
      <c r="B50" s="524">
        <v>22</v>
      </c>
      <c r="C50" s="55" t="s">
        <v>9</v>
      </c>
      <c r="D50" s="494">
        <f t="shared" si="7"/>
        <v>114521.5</v>
      </c>
      <c r="E50" s="1040">
        <f t="shared" si="8"/>
        <v>24651</v>
      </c>
      <c r="F50" s="1040">
        <f t="shared" si="9"/>
        <v>89870.5</v>
      </c>
      <c r="G50" s="1041">
        <f t="shared" si="10"/>
        <v>89870.5</v>
      </c>
      <c r="H50" s="526"/>
      <c r="I50" s="527"/>
      <c r="J50" s="528"/>
      <c r="K50" s="522">
        <f t="shared" si="11"/>
        <v>111815</v>
      </c>
      <c r="L50" s="525">
        <v>23409</v>
      </c>
      <c r="M50" s="633">
        <v>88406</v>
      </c>
      <c r="N50" s="872"/>
      <c r="O50" s="124"/>
      <c r="P50" s="124"/>
      <c r="Q50" s="124"/>
      <c r="R50" s="124"/>
      <c r="S50" s="124"/>
      <c r="T50" s="124"/>
      <c r="U50" s="124"/>
    </row>
    <row r="51" spans="1:21" ht="12.75">
      <c r="A51" s="312">
        <v>32</v>
      </c>
      <c r="B51" s="524">
        <v>23</v>
      </c>
      <c r="C51" s="55" t="s">
        <v>10</v>
      </c>
      <c r="D51" s="494">
        <f t="shared" si="7"/>
        <v>131085.5</v>
      </c>
      <c r="E51" s="1040">
        <f t="shared" si="8"/>
        <v>30917.4</v>
      </c>
      <c r="F51" s="1040">
        <f t="shared" si="9"/>
        <v>100168.1</v>
      </c>
      <c r="G51" s="1041">
        <f t="shared" si="10"/>
        <v>99968.1</v>
      </c>
      <c r="H51" s="526">
        <f>'příl.1 - cp 2016'!I96</f>
        <v>200</v>
      </c>
      <c r="I51" s="527"/>
      <c r="J51" s="528"/>
      <c r="K51" s="522">
        <f t="shared" si="11"/>
        <v>126959</v>
      </c>
      <c r="L51" s="525">
        <v>27642</v>
      </c>
      <c r="M51" s="633">
        <v>99317</v>
      </c>
      <c r="N51" s="872"/>
      <c r="O51" s="124"/>
      <c r="P51" s="124"/>
      <c r="Q51" s="124"/>
      <c r="R51" s="124"/>
      <c r="S51" s="124"/>
      <c r="T51" s="124"/>
      <c r="U51" s="124"/>
    </row>
    <row r="52" spans="1:21" ht="12.75">
      <c r="A52" s="51">
        <v>33</v>
      </c>
      <c r="B52" s="524">
        <v>31</v>
      </c>
      <c r="C52" s="55" t="s">
        <v>11</v>
      </c>
      <c r="D52" s="494">
        <f t="shared" si="7"/>
        <v>456378.3</v>
      </c>
      <c r="E52" s="1040">
        <f t="shared" si="8"/>
        <v>222574.5</v>
      </c>
      <c r="F52" s="1040">
        <f t="shared" si="9"/>
        <v>233803.8</v>
      </c>
      <c r="G52" s="1041">
        <f t="shared" si="10"/>
        <v>230103.8</v>
      </c>
      <c r="H52" s="530">
        <f>'příl.1 - cp 2016'!I100</f>
        <v>3700</v>
      </c>
      <c r="I52" s="527"/>
      <c r="J52" s="528"/>
      <c r="K52" s="522">
        <f t="shared" si="11"/>
        <v>437083</v>
      </c>
      <c r="L52" s="525">
        <v>204138</v>
      </c>
      <c r="M52" s="633">
        <v>232945</v>
      </c>
      <c r="N52" s="872"/>
      <c r="O52" s="124"/>
      <c r="P52" s="124"/>
      <c r="Q52" s="124"/>
      <c r="R52" s="124"/>
      <c r="S52" s="124"/>
      <c r="T52" s="124"/>
      <c r="U52" s="124"/>
    </row>
    <row r="53" spans="1:21" ht="12.75">
      <c r="A53" s="312">
        <v>34</v>
      </c>
      <c r="B53" s="524">
        <v>33</v>
      </c>
      <c r="C53" s="55" t="s">
        <v>12</v>
      </c>
      <c r="D53" s="494">
        <f t="shared" si="7"/>
        <v>163705.5</v>
      </c>
      <c r="E53" s="1040">
        <f t="shared" si="8"/>
        <v>35884.3</v>
      </c>
      <c r="F53" s="1040">
        <f t="shared" si="9"/>
        <v>127821.2</v>
      </c>
      <c r="G53" s="1041">
        <f t="shared" si="10"/>
        <v>91821.2</v>
      </c>
      <c r="H53" s="526">
        <f>'příl.1 - cp 2016'!I103</f>
        <v>36000</v>
      </c>
      <c r="I53" s="527"/>
      <c r="J53" s="528"/>
      <c r="K53" s="522">
        <f t="shared" si="11"/>
        <v>156752</v>
      </c>
      <c r="L53" s="525">
        <v>32156</v>
      </c>
      <c r="M53" s="633">
        <v>124596</v>
      </c>
      <c r="N53" s="872"/>
      <c r="O53" s="124"/>
      <c r="P53" s="283"/>
      <c r="Q53" s="283"/>
      <c r="R53" s="124"/>
      <c r="S53" s="124"/>
      <c r="T53" s="124"/>
      <c r="U53" s="124"/>
    </row>
    <row r="54" spans="1:21" ht="12.75">
      <c r="A54" s="51">
        <v>35</v>
      </c>
      <c r="B54" s="524">
        <v>41</v>
      </c>
      <c r="C54" s="55" t="s">
        <v>13</v>
      </c>
      <c r="D54" s="494">
        <f t="shared" si="7"/>
        <v>177608.5</v>
      </c>
      <c r="E54" s="1040">
        <f t="shared" si="8"/>
        <v>30309.1</v>
      </c>
      <c r="F54" s="1040">
        <f t="shared" si="9"/>
        <v>147299.4</v>
      </c>
      <c r="G54" s="1041">
        <f t="shared" si="10"/>
        <v>146499.4</v>
      </c>
      <c r="H54" s="530">
        <f>'příl.1 - cp 2016'!I107</f>
        <v>800</v>
      </c>
      <c r="I54" s="527"/>
      <c r="J54" s="528"/>
      <c r="K54" s="522">
        <f t="shared" si="11"/>
        <v>173042</v>
      </c>
      <c r="L54" s="525">
        <v>30182</v>
      </c>
      <c r="M54" s="633">
        <v>142860</v>
      </c>
      <c r="N54" s="872"/>
      <c r="O54" s="124"/>
      <c r="P54" s="124"/>
      <c r="Q54" s="124"/>
      <c r="R54" s="124"/>
      <c r="S54" s="124"/>
      <c r="T54" s="124"/>
      <c r="U54" s="124"/>
    </row>
    <row r="55" spans="1:21" ht="12.75">
      <c r="A55" s="312">
        <v>36</v>
      </c>
      <c r="B55" s="524">
        <v>51</v>
      </c>
      <c r="C55" s="55" t="s">
        <v>237</v>
      </c>
      <c r="D55" s="494">
        <f t="shared" si="7"/>
        <v>74185</v>
      </c>
      <c r="E55" s="1040">
        <f t="shared" si="8"/>
        <v>3448.6</v>
      </c>
      <c r="F55" s="1040">
        <f t="shared" si="9"/>
        <v>70736.4</v>
      </c>
      <c r="G55" s="1041">
        <f t="shared" si="10"/>
        <v>70436.4</v>
      </c>
      <c r="H55" s="526">
        <f>'příl.1 - cp 2016'!I109</f>
        <v>300</v>
      </c>
      <c r="I55" s="527"/>
      <c r="J55" s="528"/>
      <c r="K55" s="522">
        <f t="shared" si="11"/>
        <v>70988</v>
      </c>
      <c r="L55" s="525">
        <v>3358</v>
      </c>
      <c r="M55" s="633">
        <v>67630</v>
      </c>
      <c r="N55" s="872"/>
      <c r="O55" s="124"/>
      <c r="P55" s="124"/>
      <c r="Q55" s="124"/>
      <c r="R55" s="124"/>
      <c r="S55" s="124"/>
      <c r="T55" s="124"/>
      <c r="U55" s="124"/>
    </row>
    <row r="56" spans="1:21" ht="12.75">
      <c r="A56" s="51">
        <v>37</v>
      </c>
      <c r="B56" s="933">
        <v>56</v>
      </c>
      <c r="C56" s="56" t="s">
        <v>15</v>
      </c>
      <c r="D56" s="934">
        <f t="shared" si="7"/>
        <v>107004.5</v>
      </c>
      <c r="E56" s="1040">
        <f t="shared" si="8"/>
        <v>12922.8</v>
      </c>
      <c r="F56" s="1040">
        <f t="shared" si="9"/>
        <v>94081.7</v>
      </c>
      <c r="G56" s="1041">
        <f t="shared" si="10"/>
        <v>94081.7</v>
      </c>
      <c r="H56" s="935"/>
      <c r="I56" s="546"/>
      <c r="J56" s="547"/>
      <c r="K56" s="793">
        <f t="shared" si="11"/>
        <v>103095</v>
      </c>
      <c r="L56" s="535">
        <v>11690</v>
      </c>
      <c r="M56" s="791">
        <v>91405</v>
      </c>
      <c r="N56" s="873"/>
      <c r="O56" s="124"/>
      <c r="P56" s="124"/>
      <c r="Q56" s="124"/>
      <c r="R56" s="124"/>
      <c r="S56" s="124"/>
      <c r="T56" s="124"/>
      <c r="U56" s="124"/>
    </row>
    <row r="57" spans="1:21" s="551" customFormat="1" ht="12.75">
      <c r="A57" s="733">
        <v>38</v>
      </c>
      <c r="B57" s="937" t="s">
        <v>39</v>
      </c>
      <c r="C57" s="779"/>
      <c r="D57" s="743">
        <f aca="true" t="shared" si="12" ref="D57:M57">SUM(D48:D56)</f>
        <v>1851596.2</v>
      </c>
      <c r="E57" s="762">
        <f t="shared" si="12"/>
        <v>497936.5999999999</v>
      </c>
      <c r="F57" s="762">
        <f t="shared" si="12"/>
        <v>1353659.5999999996</v>
      </c>
      <c r="G57" s="884">
        <f t="shared" si="12"/>
        <v>1312179.5999999996</v>
      </c>
      <c r="H57" s="803">
        <f t="shared" si="12"/>
        <v>41480</v>
      </c>
      <c r="I57" s="552">
        <f t="shared" si="12"/>
        <v>0</v>
      </c>
      <c r="J57" s="762">
        <f t="shared" si="12"/>
        <v>0</v>
      </c>
      <c r="K57" s="744">
        <f t="shared" si="12"/>
        <v>1792047</v>
      </c>
      <c r="L57" s="539">
        <f t="shared" si="12"/>
        <v>459498</v>
      </c>
      <c r="M57" s="884">
        <f t="shared" si="12"/>
        <v>1332549</v>
      </c>
      <c r="N57" s="891">
        <v>0</v>
      </c>
      <c r="O57" s="657"/>
      <c r="P57" s="657"/>
      <c r="Q57" s="657"/>
      <c r="R57" s="657"/>
      <c r="S57" s="657"/>
      <c r="T57" s="657"/>
      <c r="U57" s="657"/>
    </row>
    <row r="58" spans="1:21" ht="12.75">
      <c r="A58" s="51">
        <v>39</v>
      </c>
      <c r="B58" s="483">
        <v>71</v>
      </c>
      <c r="C58" s="54" t="s">
        <v>207</v>
      </c>
      <c r="D58" s="740">
        <f>SUM(E58:F58)</f>
        <v>63531.8</v>
      </c>
      <c r="E58" s="542">
        <f>E18</f>
        <v>61531.8</v>
      </c>
      <c r="F58" s="542">
        <f>SUM(G58:I58)</f>
        <v>2000</v>
      </c>
      <c r="G58" s="890">
        <f>F18</f>
        <v>0</v>
      </c>
      <c r="H58" s="936">
        <f>'příl.1 - cp 2016'!I112</f>
        <v>2000</v>
      </c>
      <c r="I58" s="520"/>
      <c r="J58" s="521"/>
      <c r="K58" s="522">
        <f>SUM(L58:N58)</f>
        <v>49613</v>
      </c>
      <c r="L58" s="542">
        <v>47613</v>
      </c>
      <c r="M58" s="518">
        <v>2000</v>
      </c>
      <c r="N58" s="874"/>
      <c r="O58" s="124"/>
      <c r="P58" s="124"/>
      <c r="Q58" s="124"/>
      <c r="R58" s="124"/>
      <c r="S58" s="124"/>
      <c r="T58" s="124"/>
      <c r="U58" s="124"/>
    </row>
    <row r="59" spans="1:21" ht="12.75">
      <c r="A59" s="312">
        <v>40</v>
      </c>
      <c r="B59" s="471">
        <v>79</v>
      </c>
      <c r="C59" s="55" t="s">
        <v>420</v>
      </c>
      <c r="D59" s="494">
        <f aca="true" t="shared" si="13" ref="D59:D68">SUM(E59:F59)</f>
        <v>1800</v>
      </c>
      <c r="E59" s="542">
        <f aca="true" t="shared" si="14" ref="E59:E69">E19</f>
        <v>0</v>
      </c>
      <c r="F59" s="542">
        <f aca="true" t="shared" si="15" ref="F59:F69">SUM(G59:I59)</f>
        <v>1800</v>
      </c>
      <c r="G59" s="890">
        <f aca="true" t="shared" si="16" ref="G59:G69">F19</f>
        <v>0</v>
      </c>
      <c r="H59" s="526">
        <f>'příl.1 - cp 2016'!I114</f>
        <v>1800</v>
      </c>
      <c r="I59" s="635"/>
      <c r="J59" s="528"/>
      <c r="K59" s="522">
        <f aca="true" t="shared" si="17" ref="K59:K69">SUM(L59:N59)</f>
        <v>1800</v>
      </c>
      <c r="L59" s="541">
        <v>0</v>
      </c>
      <c r="M59" s="634">
        <v>1800</v>
      </c>
      <c r="N59" s="874"/>
      <c r="O59" s="124"/>
      <c r="P59" s="124"/>
      <c r="Q59" s="124"/>
      <c r="R59" s="124"/>
      <c r="S59" s="124"/>
      <c r="T59" s="124"/>
      <c r="U59" s="124"/>
    </row>
    <row r="60" spans="1:21" ht="12.75">
      <c r="A60" s="51">
        <v>41</v>
      </c>
      <c r="B60" s="471">
        <v>81</v>
      </c>
      <c r="C60" s="55" t="s">
        <v>71</v>
      </c>
      <c r="D60" s="494">
        <f t="shared" si="13"/>
        <v>0</v>
      </c>
      <c r="E60" s="542">
        <f t="shared" si="14"/>
        <v>0</v>
      </c>
      <c r="F60" s="542">
        <f t="shared" si="15"/>
        <v>0</v>
      </c>
      <c r="G60" s="890">
        <f t="shared" si="16"/>
        <v>0</v>
      </c>
      <c r="H60" s="526"/>
      <c r="I60" s="527"/>
      <c r="J60" s="528"/>
      <c r="K60" s="522">
        <f t="shared" si="17"/>
        <v>0</v>
      </c>
      <c r="L60" s="541">
        <v>0</v>
      </c>
      <c r="M60" s="634">
        <v>0</v>
      </c>
      <c r="N60" s="529"/>
      <c r="O60" s="124"/>
      <c r="P60" s="124"/>
      <c r="Q60" s="124"/>
      <c r="R60" s="124"/>
      <c r="S60" s="124"/>
      <c r="T60" s="124"/>
      <c r="U60" s="124"/>
    </row>
    <row r="61" spans="1:21" ht="12.75">
      <c r="A61" s="312">
        <v>42</v>
      </c>
      <c r="B61" s="471">
        <v>82</v>
      </c>
      <c r="C61" s="55" t="s">
        <v>1</v>
      </c>
      <c r="D61" s="494">
        <f t="shared" si="13"/>
        <v>10648</v>
      </c>
      <c r="E61" s="542">
        <f t="shared" si="14"/>
        <v>0</v>
      </c>
      <c r="F61" s="542">
        <f t="shared" si="15"/>
        <v>10648</v>
      </c>
      <c r="G61" s="890">
        <f t="shared" si="16"/>
        <v>0</v>
      </c>
      <c r="H61" s="526">
        <f>'příl.1 - cp 2016'!I123</f>
        <v>10648</v>
      </c>
      <c r="I61" s="527"/>
      <c r="J61" s="528"/>
      <c r="K61" s="522">
        <f t="shared" si="17"/>
        <v>10648</v>
      </c>
      <c r="L61" s="541">
        <v>0</v>
      </c>
      <c r="M61" s="634">
        <v>10648</v>
      </c>
      <c r="N61" s="529"/>
      <c r="O61" s="124"/>
      <c r="P61" s="124"/>
      <c r="Q61" s="124"/>
      <c r="R61" s="124"/>
      <c r="S61" s="124"/>
      <c r="T61" s="124"/>
      <c r="U61" s="124"/>
    </row>
    <row r="62" spans="1:21" ht="12.75">
      <c r="A62" s="51">
        <v>43</v>
      </c>
      <c r="B62" s="471">
        <v>83</v>
      </c>
      <c r="C62" s="55" t="s">
        <v>83</v>
      </c>
      <c r="D62" s="494">
        <f t="shared" si="13"/>
        <v>8751</v>
      </c>
      <c r="E62" s="542">
        <f t="shared" si="14"/>
        <v>0</v>
      </c>
      <c r="F62" s="542">
        <f t="shared" si="15"/>
        <v>8751</v>
      </c>
      <c r="G62" s="890">
        <f t="shared" si="16"/>
        <v>6700</v>
      </c>
      <c r="H62" s="526">
        <f>'příl.1 - cp 2016'!I125+'příl.1 - cp 2016'!I18</f>
        <v>2051</v>
      </c>
      <c r="I62" s="527"/>
      <c r="J62" s="528"/>
      <c r="K62" s="522">
        <f t="shared" si="17"/>
        <v>8804</v>
      </c>
      <c r="L62" s="541">
        <v>0</v>
      </c>
      <c r="M62" s="634">
        <v>8804</v>
      </c>
      <c r="N62" s="529"/>
      <c r="O62" s="124"/>
      <c r="P62" s="124"/>
      <c r="Q62" s="124"/>
      <c r="R62" s="124"/>
      <c r="S62" s="124"/>
      <c r="T62" s="124"/>
      <c r="U62" s="124"/>
    </row>
    <row r="63" spans="1:21" ht="12.75">
      <c r="A63" s="312">
        <v>44</v>
      </c>
      <c r="B63" s="471">
        <v>84</v>
      </c>
      <c r="C63" s="55" t="s">
        <v>82</v>
      </c>
      <c r="D63" s="494">
        <f t="shared" si="13"/>
        <v>3471.1</v>
      </c>
      <c r="E63" s="542">
        <f t="shared" si="14"/>
        <v>471.1</v>
      </c>
      <c r="F63" s="542">
        <f t="shared" si="15"/>
        <v>3000</v>
      </c>
      <c r="G63" s="890">
        <f t="shared" si="16"/>
        <v>3000</v>
      </c>
      <c r="H63" s="526">
        <f>'příl.1 - cp 2016'!I127+'příl.1 - cp 2016'!I19</f>
        <v>0</v>
      </c>
      <c r="I63" s="527"/>
      <c r="J63" s="528"/>
      <c r="K63" s="522">
        <f t="shared" si="17"/>
        <v>3363</v>
      </c>
      <c r="L63" s="541">
        <v>353</v>
      </c>
      <c r="M63" s="634">
        <v>3010</v>
      </c>
      <c r="N63" s="529"/>
      <c r="O63" s="124"/>
      <c r="P63" s="124"/>
      <c r="Q63" s="124"/>
      <c r="R63" s="124"/>
      <c r="S63" s="124"/>
      <c r="T63" s="124"/>
      <c r="U63" s="124"/>
    </row>
    <row r="64" spans="1:21" ht="12.75">
      <c r="A64" s="51">
        <v>45</v>
      </c>
      <c r="B64" s="471">
        <v>85</v>
      </c>
      <c r="C64" s="55" t="s">
        <v>106</v>
      </c>
      <c r="D64" s="494">
        <f t="shared" si="13"/>
        <v>818.7</v>
      </c>
      <c r="E64" s="542">
        <f t="shared" si="14"/>
        <v>818.7</v>
      </c>
      <c r="F64" s="542">
        <f t="shared" si="15"/>
        <v>0</v>
      </c>
      <c r="G64" s="890">
        <f t="shared" si="16"/>
        <v>0</v>
      </c>
      <c r="H64" s="526"/>
      <c r="I64" s="527"/>
      <c r="J64" s="528"/>
      <c r="K64" s="522">
        <f t="shared" si="17"/>
        <v>612</v>
      </c>
      <c r="L64" s="525">
        <v>612</v>
      </c>
      <c r="M64" s="634">
        <v>0</v>
      </c>
      <c r="N64" s="529"/>
      <c r="O64" s="124"/>
      <c r="P64" s="124"/>
      <c r="Q64" s="124"/>
      <c r="R64" s="124"/>
      <c r="S64" s="124"/>
      <c r="T64" s="124"/>
      <c r="U64" s="124"/>
    </row>
    <row r="65" spans="1:21" ht="12.75">
      <c r="A65" s="312">
        <v>46</v>
      </c>
      <c r="B65" s="471">
        <v>87</v>
      </c>
      <c r="C65" s="55" t="s">
        <v>135</v>
      </c>
      <c r="D65" s="494">
        <f t="shared" si="13"/>
        <v>9119</v>
      </c>
      <c r="E65" s="542">
        <f t="shared" si="14"/>
        <v>0</v>
      </c>
      <c r="F65" s="542">
        <f t="shared" si="15"/>
        <v>9119</v>
      </c>
      <c r="G65" s="890">
        <f t="shared" si="16"/>
        <v>7724</v>
      </c>
      <c r="H65" s="526">
        <f>'příl.1 - cp 2016'!I129+'příl.1 - cp 2016'!I21</f>
        <v>1395</v>
      </c>
      <c r="I65" s="527"/>
      <c r="J65" s="528"/>
      <c r="K65" s="522">
        <f t="shared" si="17"/>
        <v>9119</v>
      </c>
      <c r="L65" s="525">
        <v>0</v>
      </c>
      <c r="M65" s="634">
        <v>9119</v>
      </c>
      <c r="N65" s="529"/>
      <c r="O65" s="124"/>
      <c r="P65" s="124"/>
      <c r="Q65" s="124"/>
      <c r="R65" s="124"/>
      <c r="S65" s="124"/>
      <c r="T65" s="124"/>
      <c r="U65" s="124"/>
    </row>
    <row r="66" spans="1:21" ht="12.75">
      <c r="A66" s="51">
        <v>47</v>
      </c>
      <c r="B66" s="471">
        <v>92</v>
      </c>
      <c r="C66" s="55" t="s">
        <v>17</v>
      </c>
      <c r="D66" s="494">
        <f t="shared" si="13"/>
        <v>141827</v>
      </c>
      <c r="E66" s="542">
        <f t="shared" si="14"/>
        <v>2612</v>
      </c>
      <c r="F66" s="542">
        <f t="shared" si="15"/>
        <v>139215</v>
      </c>
      <c r="G66" s="890">
        <f t="shared" si="16"/>
        <v>96500</v>
      </c>
      <c r="H66" s="526">
        <f>'příl.1 - cp 2016'!I151+'příl.1 - cp 2016'!I22</f>
        <v>42715</v>
      </c>
      <c r="I66" s="527"/>
      <c r="J66" s="528"/>
      <c r="K66" s="522">
        <f t="shared" si="17"/>
        <v>140067</v>
      </c>
      <c r="L66" s="525">
        <v>1977</v>
      </c>
      <c r="M66" s="634">
        <v>138090</v>
      </c>
      <c r="N66" s="529"/>
      <c r="O66" s="124"/>
      <c r="P66" s="124"/>
      <c r="Q66" s="124"/>
      <c r="R66" s="124"/>
      <c r="S66" s="124"/>
      <c r="T66" s="124"/>
      <c r="U66" s="124"/>
    </row>
    <row r="67" spans="1:21" ht="12.75">
      <c r="A67" s="312">
        <v>48</v>
      </c>
      <c r="B67" s="471">
        <v>96</v>
      </c>
      <c r="C67" s="55" t="s">
        <v>24</v>
      </c>
      <c r="D67" s="494">
        <f t="shared" si="13"/>
        <v>32826.7</v>
      </c>
      <c r="E67" s="542">
        <f t="shared" si="14"/>
        <v>806.7</v>
      </c>
      <c r="F67" s="542">
        <f t="shared" si="15"/>
        <v>32020</v>
      </c>
      <c r="G67" s="890">
        <f t="shared" si="16"/>
        <v>32000</v>
      </c>
      <c r="H67" s="526">
        <f>'příl.1 - cp 2016'!I23</f>
        <v>20</v>
      </c>
      <c r="I67" s="527"/>
      <c r="J67" s="528"/>
      <c r="K67" s="522">
        <f t="shared" si="17"/>
        <v>32495</v>
      </c>
      <c r="L67" s="525">
        <v>469</v>
      </c>
      <c r="M67" s="634">
        <v>32026</v>
      </c>
      <c r="N67" s="529"/>
      <c r="O67" s="124"/>
      <c r="P67" s="124"/>
      <c r="Q67" s="124"/>
      <c r="R67" s="124"/>
      <c r="S67" s="124"/>
      <c r="T67" s="124"/>
      <c r="U67" s="124"/>
    </row>
    <row r="68" spans="1:21" ht="12.75">
      <c r="A68" s="51">
        <v>49</v>
      </c>
      <c r="B68" s="471">
        <v>97</v>
      </c>
      <c r="C68" s="55" t="s">
        <v>25</v>
      </c>
      <c r="D68" s="494">
        <f t="shared" si="13"/>
        <v>9680</v>
      </c>
      <c r="E68" s="542">
        <f t="shared" si="14"/>
        <v>0</v>
      </c>
      <c r="F68" s="542">
        <f t="shared" si="15"/>
        <v>9680</v>
      </c>
      <c r="G68" s="890">
        <f t="shared" si="16"/>
        <v>9450</v>
      </c>
      <c r="H68" s="526">
        <f>'příl.1 - cp 2016'!I153</f>
        <v>230</v>
      </c>
      <c r="I68" s="527"/>
      <c r="J68" s="528"/>
      <c r="K68" s="522">
        <f t="shared" si="17"/>
        <v>9650</v>
      </c>
      <c r="L68" s="525">
        <v>0</v>
      </c>
      <c r="M68" s="634">
        <v>9650</v>
      </c>
      <c r="N68" s="536"/>
      <c r="O68" s="124"/>
      <c r="P68" s="124"/>
      <c r="Q68" s="124"/>
      <c r="R68" s="124"/>
      <c r="S68" s="124"/>
      <c r="T68" s="124"/>
      <c r="U68" s="124"/>
    </row>
    <row r="69" spans="1:21" ht="12.75">
      <c r="A69" s="895">
        <v>50</v>
      </c>
      <c r="B69" s="545">
        <v>99</v>
      </c>
      <c r="C69" s="56" t="s">
        <v>85</v>
      </c>
      <c r="D69" s="484">
        <f>SUM(E69:F69,J69)</f>
        <v>211723</v>
      </c>
      <c r="E69" s="542">
        <f t="shared" si="14"/>
        <v>26574</v>
      </c>
      <c r="F69" s="542">
        <f t="shared" si="15"/>
        <v>150765.78000000038</v>
      </c>
      <c r="G69" s="890">
        <f t="shared" si="16"/>
        <v>53216.78000000038</v>
      </c>
      <c r="H69" s="533">
        <f>'příl.1 - cp 2016'!I90+'příl.1 - cp 2016'!I25-I69</f>
        <v>80049</v>
      </c>
      <c r="I69" s="546">
        <f>'příl.1 - cp 2016'!I89</f>
        <v>17500</v>
      </c>
      <c r="J69" s="547">
        <f>G29</f>
        <v>34383.21999999962</v>
      </c>
      <c r="K69" s="522">
        <f t="shared" si="17"/>
        <v>206991</v>
      </c>
      <c r="L69" s="517">
        <v>21215</v>
      </c>
      <c r="M69" s="885">
        <v>137834.99999999988</v>
      </c>
      <c r="N69" s="534">
        <v>47941.00000000012</v>
      </c>
      <c r="O69" s="124"/>
      <c r="P69" s="124"/>
      <c r="Q69" s="124"/>
      <c r="R69" s="124"/>
      <c r="S69" s="124"/>
      <c r="T69" s="124"/>
      <c r="U69" s="124"/>
    </row>
    <row r="70" spans="1:21" s="551" customFormat="1" ht="12.75">
      <c r="A70" s="733">
        <v>51</v>
      </c>
      <c r="B70" s="499" t="s">
        <v>606</v>
      </c>
      <c r="C70" s="897"/>
      <c r="D70" s="898">
        <f>SUM(D58:D69)</f>
        <v>494196.3</v>
      </c>
      <c r="E70" s="889">
        <f>SUM(E58:E69)</f>
        <v>92814.3</v>
      </c>
      <c r="F70" s="889">
        <f aca="true" t="shared" si="18" ref="F70:N70">SUM(F58:F69)</f>
        <v>366998.7800000004</v>
      </c>
      <c r="G70" s="889">
        <f t="shared" si="18"/>
        <v>208590.78000000038</v>
      </c>
      <c r="H70" s="899">
        <f t="shared" si="18"/>
        <v>140908</v>
      </c>
      <c r="I70" s="900">
        <f t="shared" si="18"/>
        <v>17500</v>
      </c>
      <c r="J70" s="889">
        <f t="shared" si="18"/>
        <v>34383.21999999962</v>
      </c>
      <c r="K70" s="901">
        <f t="shared" si="18"/>
        <v>473162</v>
      </c>
      <c r="L70" s="860">
        <f t="shared" si="18"/>
        <v>72239</v>
      </c>
      <c r="M70" s="889">
        <f t="shared" si="18"/>
        <v>352981.9999999999</v>
      </c>
      <c r="N70" s="902">
        <f t="shared" si="18"/>
        <v>47941.00000000012</v>
      </c>
      <c r="O70" s="657"/>
      <c r="P70" s="657"/>
      <c r="Q70" s="657"/>
      <c r="R70" s="657"/>
      <c r="S70" s="657"/>
      <c r="T70" s="657"/>
      <c r="U70" s="657"/>
    </row>
    <row r="71" spans="1:21" s="551" customFormat="1" ht="13.5" thickBot="1">
      <c r="A71" s="903">
        <v>52</v>
      </c>
      <c r="B71" s="904" t="s">
        <v>658</v>
      </c>
      <c r="C71" s="904"/>
      <c r="D71" s="905">
        <f>SUM(E71:F71)</f>
        <v>88000</v>
      </c>
      <c r="E71" s="906"/>
      <c r="F71" s="907">
        <f>SUM(G71:J71)</f>
        <v>88000</v>
      </c>
      <c r="G71" s="908"/>
      <c r="H71" s="909">
        <f>'příl.1 - cp 2016'!I7+'příl.1 - cp 2016'!I26</f>
        <v>88000</v>
      </c>
      <c r="I71" s="906"/>
      <c r="J71" s="910"/>
      <c r="K71" s="911">
        <f>SUM(L71:N71)</f>
        <v>147751</v>
      </c>
      <c r="L71" s="906">
        <v>0</v>
      </c>
      <c r="M71" s="908">
        <v>147751</v>
      </c>
      <c r="N71" s="912"/>
      <c r="O71" s="657"/>
      <c r="P71" s="657"/>
      <c r="Q71" s="657"/>
      <c r="R71" s="657"/>
      <c r="S71" s="657"/>
      <c r="T71" s="657"/>
      <c r="U71" s="657"/>
    </row>
    <row r="72" spans="1:21" ht="14.25" customHeight="1" thickBot="1">
      <c r="A72" s="316">
        <v>53</v>
      </c>
      <c r="B72" s="500" t="s">
        <v>35</v>
      </c>
      <c r="C72" s="489"/>
      <c r="D72" s="823">
        <f>D57+D70+D71</f>
        <v>2433792.5</v>
      </c>
      <c r="E72" s="846">
        <f aca="true" t="shared" si="19" ref="E72:J72">E57+E70+E71</f>
        <v>590750.8999999999</v>
      </c>
      <c r="F72" s="848">
        <f t="shared" si="19"/>
        <v>1808658.38</v>
      </c>
      <c r="G72" s="847">
        <f t="shared" si="19"/>
        <v>1520770.38</v>
      </c>
      <c r="H72" s="771">
        <f t="shared" si="19"/>
        <v>270388</v>
      </c>
      <c r="I72" s="772">
        <f t="shared" si="19"/>
        <v>17500</v>
      </c>
      <c r="J72" s="490">
        <f t="shared" si="19"/>
        <v>34383.21999999962</v>
      </c>
      <c r="K72" s="849">
        <f>K57++K70+K71</f>
        <v>2412960</v>
      </c>
      <c r="L72" s="850">
        <f>L57++L70+L71</f>
        <v>531737</v>
      </c>
      <c r="M72" s="886">
        <f>M57++M70+M71</f>
        <v>1833282</v>
      </c>
      <c r="N72" s="850">
        <f>N57++N70+N71</f>
        <v>47941.00000000012</v>
      </c>
      <c r="O72" s="124"/>
      <c r="P72" s="124"/>
      <c r="Q72" s="124"/>
      <c r="R72" s="124"/>
      <c r="S72" s="124"/>
      <c r="T72" s="124"/>
      <c r="U72" s="124"/>
    </row>
    <row r="73" spans="1:24" s="1045" customFormat="1" ht="15" customHeight="1">
      <c r="A73" s="1044" t="s">
        <v>391</v>
      </c>
      <c r="D73" s="1046"/>
      <c r="E73" s="1554">
        <f>E72+F72</f>
        <v>2399409.28</v>
      </c>
      <c r="F73" s="1555"/>
      <c r="G73" s="1564">
        <f>G72+H72+I72</f>
        <v>1808658.38</v>
      </c>
      <c r="H73" s="1565"/>
      <c r="I73" s="1566"/>
      <c r="J73" s="1047"/>
      <c r="K73" s="1048"/>
      <c r="L73" s="1554">
        <f>SUM(L72:M72)</f>
        <v>2365019</v>
      </c>
      <c r="M73" s="1555"/>
      <c r="N73" s="1049"/>
      <c r="O73" s="1049"/>
      <c r="P73" s="1049"/>
      <c r="Q73" s="1049"/>
      <c r="R73" s="1049"/>
      <c r="S73" s="1049"/>
      <c r="T73" s="1049"/>
      <c r="U73" s="1049"/>
      <c r="X73" s="1050"/>
    </row>
    <row r="74" spans="1:24" s="1052" customFormat="1" ht="15">
      <c r="A74" s="1051"/>
      <c r="D74" s="1111">
        <f>D35-D72</f>
        <v>0</v>
      </c>
      <c r="E74" s="1571">
        <f>E72+H72+G72</f>
        <v>2381909.28</v>
      </c>
      <c r="F74" s="1573"/>
      <c r="G74" s="1573"/>
      <c r="H74" s="1574"/>
      <c r="I74" s="1046"/>
      <c r="J74" s="1110"/>
      <c r="K74" s="1054"/>
      <c r="N74" s="1049"/>
      <c r="O74" s="1049"/>
      <c r="P74" s="1049"/>
      <c r="Q74" s="1049"/>
      <c r="R74" s="1049"/>
      <c r="S74" s="1049"/>
      <c r="T74" s="1049"/>
      <c r="U74" s="1049"/>
      <c r="V74" s="1045"/>
      <c r="W74" s="1045"/>
      <c r="X74" s="1050"/>
    </row>
    <row r="75" spans="1:24" s="1052" customFormat="1" ht="15">
      <c r="A75" s="1051"/>
      <c r="D75" s="1053"/>
      <c r="E75" s="1053"/>
      <c r="F75" s="1046"/>
      <c r="G75" s="1053"/>
      <c r="H75" s="1571">
        <f>H72+I72</f>
        <v>287888</v>
      </c>
      <c r="I75" s="1572"/>
      <c r="J75" s="1046"/>
      <c r="K75" s="1054"/>
      <c r="N75" s="1049"/>
      <c r="O75" s="1049"/>
      <c r="P75" s="1049"/>
      <c r="Q75" s="1049"/>
      <c r="R75" s="1049"/>
      <c r="S75" s="1049"/>
      <c r="T75" s="1049"/>
      <c r="U75" s="1049"/>
      <c r="V75" s="1045"/>
      <c r="W75" s="1045"/>
      <c r="X75" s="1050"/>
    </row>
    <row r="76" spans="1:24" s="658" customFormat="1" ht="15">
      <c r="A76" s="659"/>
      <c r="D76" s="660"/>
      <c r="E76" s="660"/>
      <c r="F76" s="657"/>
      <c r="G76" s="660"/>
      <c r="H76" s="657"/>
      <c r="I76" s="657"/>
      <c r="J76" s="657"/>
      <c r="K76" s="661"/>
      <c r="N76" s="124"/>
      <c r="O76" s="124"/>
      <c r="P76" s="124"/>
      <c r="Q76" s="124"/>
      <c r="R76" s="124"/>
      <c r="S76" s="124"/>
      <c r="T76" s="124"/>
      <c r="U76" s="124"/>
      <c r="V76" s="551"/>
      <c r="W76" s="551"/>
      <c r="X76" s="49"/>
    </row>
    <row r="77" spans="1:24" s="658" customFormat="1" ht="15">
      <c r="A77" s="659"/>
      <c r="D77" s="660"/>
      <c r="E77" s="660"/>
      <c r="F77" s="657"/>
      <c r="G77" s="660"/>
      <c r="H77" s="657"/>
      <c r="I77" s="657"/>
      <c r="J77" s="657"/>
      <c r="K77" s="661"/>
      <c r="N77" s="124"/>
      <c r="O77" s="124"/>
      <c r="P77" s="124"/>
      <c r="Q77" s="124"/>
      <c r="R77" s="124"/>
      <c r="S77" s="124"/>
      <c r="T77" s="124"/>
      <c r="U77" s="124"/>
      <c r="V77" s="551"/>
      <c r="W77" s="551"/>
      <c r="X77" s="49"/>
    </row>
    <row r="78" spans="1:24" s="658" customFormat="1" ht="12.75">
      <c r="A78" s="807" t="s">
        <v>424</v>
      </c>
      <c r="B78" s="808"/>
      <c r="C78" s="808"/>
      <c r="D78" s="808"/>
      <c r="E78" s="808"/>
      <c r="F78" s="808"/>
      <c r="G78" s="808"/>
      <c r="H78" s="808"/>
      <c r="I78" s="808"/>
      <c r="J78" s="808"/>
      <c r="K78" s="808"/>
      <c r="L78" s="808"/>
      <c r="M78" s="809"/>
      <c r="N78" s="808"/>
      <c r="O78" s="124"/>
      <c r="P78" s="124"/>
      <c r="Q78" s="124"/>
      <c r="R78" s="124"/>
      <c r="S78" s="124"/>
      <c r="T78" s="124"/>
      <c r="U78" s="124"/>
      <c r="V78" s="551"/>
      <c r="W78" s="551"/>
      <c r="X78" s="49"/>
    </row>
    <row r="79" spans="1:24" s="658" customFormat="1" ht="13.5" thickBot="1">
      <c r="A79" s="551" t="s">
        <v>360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51"/>
      <c r="N79" s="49"/>
      <c r="O79" s="124"/>
      <c r="P79" s="124"/>
      <c r="Q79" s="124"/>
      <c r="R79" s="124"/>
      <c r="S79" s="124"/>
      <c r="T79" s="124"/>
      <c r="U79" s="124"/>
      <c r="V79" s="551"/>
      <c r="W79" s="551"/>
      <c r="X79" s="49"/>
    </row>
    <row r="80" spans="1:24" s="658" customFormat="1" ht="12.75">
      <c r="A80" s="126"/>
      <c r="B80" s="453"/>
      <c r="C80" s="310"/>
      <c r="D80" s="1557" t="s">
        <v>668</v>
      </c>
      <c r="E80" s="1558"/>
      <c r="F80" s="1558"/>
      <c r="G80" s="1558"/>
      <c r="H80" s="1558"/>
      <c r="I80" s="1558"/>
      <c r="J80" s="1570"/>
      <c r="K80" s="1569" t="s">
        <v>531</v>
      </c>
      <c r="L80" s="1559"/>
      <c r="M80" s="1559"/>
      <c r="N80" s="1560"/>
      <c r="O80" s="124"/>
      <c r="P80" s="1077">
        <v>2016</v>
      </c>
      <c r="Q80" s="1078">
        <v>2015</v>
      </c>
      <c r="R80" s="124"/>
      <c r="S80" s="124"/>
      <c r="T80" s="124"/>
      <c r="U80" s="124"/>
      <c r="V80" s="551"/>
      <c r="W80" s="551"/>
      <c r="X80" s="49"/>
    </row>
    <row r="81" spans="1:24" s="658" customFormat="1" ht="12.75">
      <c r="A81" s="454"/>
      <c r="B81" s="57"/>
      <c r="C81" s="58"/>
      <c r="D81" s="957" t="s">
        <v>141</v>
      </c>
      <c r="E81" s="1556" t="s">
        <v>187</v>
      </c>
      <c r="F81" s="1556"/>
      <c r="G81" s="1556"/>
      <c r="H81" s="1556"/>
      <c r="I81" s="1556"/>
      <c r="J81" s="650" t="s">
        <v>276</v>
      </c>
      <c r="K81" s="651" t="s">
        <v>141</v>
      </c>
      <c r="L81" s="1575" t="s">
        <v>31</v>
      </c>
      <c r="M81" s="1556"/>
      <c r="N81" s="1576"/>
      <c r="O81" s="124"/>
      <c r="P81" s="1079"/>
      <c r="Q81" s="1080"/>
      <c r="R81" s="124"/>
      <c r="S81" s="124"/>
      <c r="T81" s="124"/>
      <c r="U81" s="124"/>
      <c r="V81" s="551"/>
      <c r="W81" s="551"/>
      <c r="X81" s="49"/>
    </row>
    <row r="82" spans="1:24" s="658" customFormat="1" ht="12.75">
      <c r="A82" s="454"/>
      <c r="B82" s="57" t="s">
        <v>37</v>
      </c>
      <c r="C82" s="58"/>
      <c r="D82" s="958" t="s">
        <v>142</v>
      </c>
      <c r="E82" s="335" t="s">
        <v>179</v>
      </c>
      <c r="F82" s="52" t="s">
        <v>67</v>
      </c>
      <c r="G82" s="1567" t="s">
        <v>68</v>
      </c>
      <c r="H82" s="1568"/>
      <c r="I82" s="1568"/>
      <c r="J82" s="652" t="s">
        <v>278</v>
      </c>
      <c r="K82" s="651" t="s">
        <v>142</v>
      </c>
      <c r="L82" s="335" t="s">
        <v>179</v>
      </c>
      <c r="M82" s="463" t="s">
        <v>67</v>
      </c>
      <c r="N82" s="881" t="s">
        <v>111</v>
      </c>
      <c r="O82" s="124"/>
      <c r="P82" s="1081" t="s">
        <v>421</v>
      </c>
      <c r="Q82" s="1082" t="s">
        <v>421</v>
      </c>
      <c r="R82" s="124"/>
      <c r="S82" s="124"/>
      <c r="T82" s="124"/>
      <c r="U82" s="124"/>
      <c r="V82" s="551"/>
      <c r="W82" s="551"/>
      <c r="X82" s="49"/>
    </row>
    <row r="83" spans="1:24" s="658" customFormat="1" ht="15.75" thickBot="1">
      <c r="A83" s="456" t="s">
        <v>34</v>
      </c>
      <c r="B83" s="457" t="s">
        <v>38</v>
      </c>
      <c r="C83" s="458"/>
      <c r="D83" s="959" t="s">
        <v>279</v>
      </c>
      <c r="E83" s="459" t="s">
        <v>178</v>
      </c>
      <c r="F83" s="504" t="s">
        <v>16</v>
      </c>
      <c r="G83" s="505" t="s">
        <v>32</v>
      </c>
      <c r="H83" s="506" t="s">
        <v>371</v>
      </c>
      <c r="I83" s="507" t="s">
        <v>33</v>
      </c>
      <c r="J83" s="653" t="s">
        <v>277</v>
      </c>
      <c r="K83" s="654" t="s">
        <v>279</v>
      </c>
      <c r="L83" s="459" t="s">
        <v>178</v>
      </c>
      <c r="M83" s="882" t="s">
        <v>16</v>
      </c>
      <c r="N83" s="887"/>
      <c r="O83" s="124"/>
      <c r="P83" s="1081"/>
      <c r="Q83" s="1082"/>
      <c r="R83" s="124"/>
      <c r="S83" s="124"/>
      <c r="W83" s="551"/>
      <c r="X83" s="49"/>
    </row>
    <row r="84" spans="1:24" s="658" customFormat="1" ht="13.5" thickBot="1">
      <c r="A84" s="508"/>
      <c r="B84" s="59"/>
      <c r="C84" s="509" t="s">
        <v>238</v>
      </c>
      <c r="D84" s="960"/>
      <c r="E84" s="510">
        <v>2112</v>
      </c>
      <c r="F84" s="511"/>
      <c r="G84" s="512">
        <v>1111</v>
      </c>
      <c r="H84" s="513">
        <v>1112</v>
      </c>
      <c r="I84" s="514">
        <v>1112</v>
      </c>
      <c r="J84" s="656">
        <v>4769</v>
      </c>
      <c r="K84" s="515"/>
      <c r="L84" s="510"/>
      <c r="M84" s="883"/>
      <c r="N84" s="888"/>
      <c r="O84" s="124"/>
      <c r="P84" s="1102" t="s">
        <v>635</v>
      </c>
      <c r="Q84" s="1103" t="s">
        <v>635</v>
      </c>
      <c r="R84" s="124"/>
      <c r="S84" s="124"/>
      <c r="W84" s="551"/>
      <c r="X84" s="49"/>
    </row>
    <row r="85" spans="1:24" s="658" customFormat="1" ht="12.75">
      <c r="A85" s="322">
        <v>54</v>
      </c>
      <c r="B85" s="335">
        <v>11</v>
      </c>
      <c r="C85" s="58" t="s">
        <v>7</v>
      </c>
      <c r="D85" s="961">
        <f>SUM(E85:F85)</f>
        <v>309601.8904792714</v>
      </c>
      <c r="E85" s="851">
        <f>'pom1 - Přerozdělení IP'!Q10</f>
        <v>60532</v>
      </c>
      <c r="F85" s="517">
        <f>SUM(G85:H85)</f>
        <v>249069.89047927142</v>
      </c>
      <c r="G85" s="632">
        <f>'pom1 - Přerozdělení IP'!H10+'pom1 - Přerozdělení IP'!N10</f>
        <v>249069.89047927142</v>
      </c>
      <c r="H85" s="637">
        <f>'pom1 - Přerozdělení IP'!M10</f>
        <v>0</v>
      </c>
      <c r="I85" s="520"/>
      <c r="J85" s="521"/>
      <c r="K85" s="522">
        <f>SUM(L85:N85)</f>
        <v>300716.369658556</v>
      </c>
      <c r="L85" s="523">
        <v>57039</v>
      </c>
      <c r="M85" s="632">
        <v>243677.369658556</v>
      </c>
      <c r="N85" s="871"/>
      <c r="O85" s="124"/>
      <c r="P85" s="1090">
        <f>'Rozdělení IRP'!F8</f>
        <v>8876.785570405775</v>
      </c>
      <c r="Q85" s="1083">
        <v>9212</v>
      </c>
      <c r="R85" s="124"/>
      <c r="S85" s="283"/>
      <c r="W85" s="551"/>
      <c r="X85" s="49"/>
    </row>
    <row r="86" spans="1:24" s="658" customFormat="1" ht="12.75">
      <c r="A86" s="312">
        <v>55</v>
      </c>
      <c r="B86" s="524">
        <v>21</v>
      </c>
      <c r="C86" s="55" t="s">
        <v>8</v>
      </c>
      <c r="D86" s="962">
        <f aca="true" t="shared" si="20" ref="D86:D92">SUM(E86:F86)</f>
        <v>317505.153465007</v>
      </c>
      <c r="E86" s="852">
        <f>'pom1 - Přerozdělení IP'!Q11</f>
        <v>57392</v>
      </c>
      <c r="F86" s="525">
        <f aca="true" t="shared" si="21" ref="F86:F93">SUM(G86:H86)</f>
        <v>260113.15346500702</v>
      </c>
      <c r="G86" s="633">
        <f>'pom1 - Přerozdělení IP'!H11+'pom1 - Přerozdělení IP'!N11</f>
        <v>259633.15346500702</v>
      </c>
      <c r="H86" s="476">
        <f>'pom1 - Přerozdělení IP'!M11</f>
        <v>480</v>
      </c>
      <c r="I86" s="635"/>
      <c r="J86" s="528"/>
      <c r="K86" s="522">
        <f aca="true" t="shared" si="22" ref="K86:K93">SUM(L86:N86)</f>
        <v>311597.1342142845</v>
      </c>
      <c r="L86" s="525">
        <v>52409</v>
      </c>
      <c r="M86" s="633">
        <v>259188.13421428445</v>
      </c>
      <c r="N86" s="872"/>
      <c r="O86" s="124"/>
      <c r="P86" s="1090">
        <f>'Rozdělení IRP'!F9</f>
        <v>8735.253771267338</v>
      </c>
      <c r="Q86" s="1085">
        <v>8631</v>
      </c>
      <c r="R86" s="124"/>
      <c r="S86" s="283"/>
      <c r="W86" s="551"/>
      <c r="X86" s="49"/>
    </row>
    <row r="87" spans="1:24" s="658" customFormat="1" ht="12.75">
      <c r="A87" s="312">
        <v>56</v>
      </c>
      <c r="B87" s="524">
        <v>22</v>
      </c>
      <c r="C87" s="55" t="s">
        <v>9</v>
      </c>
      <c r="D87" s="962">
        <f t="shared" si="20"/>
        <v>114521.25579174946</v>
      </c>
      <c r="E87" s="852">
        <f>'pom1 - Přerozdělení IP'!Q12</f>
        <v>21183</v>
      </c>
      <c r="F87" s="525">
        <f t="shared" si="21"/>
        <v>93338.25579174946</v>
      </c>
      <c r="G87" s="633">
        <f>'pom1 - Přerozdělení IP'!H12+'pom1 - Přerozdělení IP'!N12</f>
        <v>93338.25579174946</v>
      </c>
      <c r="H87" s="476">
        <f>'pom1 - Přerozdělení IP'!M12</f>
        <v>0</v>
      </c>
      <c r="I87" s="635"/>
      <c r="J87" s="528"/>
      <c r="K87" s="522">
        <f t="shared" si="22"/>
        <v>111815.08856676349</v>
      </c>
      <c r="L87" s="525">
        <v>20186</v>
      </c>
      <c r="M87" s="633">
        <v>91629.08856676349</v>
      </c>
      <c r="N87" s="872"/>
      <c r="O87" s="124"/>
      <c r="P87" s="1090">
        <f>'Rozdělení IRP'!F10</f>
        <v>2779.857408132919</v>
      </c>
      <c r="Q87" s="1085">
        <v>2905</v>
      </c>
      <c r="R87" s="124"/>
      <c r="S87" s="283"/>
      <c r="W87" s="551"/>
      <c r="X87" s="49"/>
    </row>
    <row r="88" spans="1:24" s="658" customFormat="1" ht="12.75">
      <c r="A88" s="312">
        <v>57</v>
      </c>
      <c r="B88" s="524">
        <v>23</v>
      </c>
      <c r="C88" s="55" t="s">
        <v>10</v>
      </c>
      <c r="D88" s="962">
        <f t="shared" si="20"/>
        <v>131085.37560406618</v>
      </c>
      <c r="E88" s="852">
        <f>'pom1 - Přerozdělení IP'!Q13</f>
        <v>26568</v>
      </c>
      <c r="F88" s="525">
        <f t="shared" si="21"/>
        <v>104517.37560406617</v>
      </c>
      <c r="G88" s="633">
        <f>'pom1 - Přerozdělení IP'!H13+'pom1 - Přerozdělení IP'!N13</f>
        <v>104317.37560406617</v>
      </c>
      <c r="H88" s="476">
        <f>'pom1 - Přerozdělení IP'!M13</f>
        <v>200</v>
      </c>
      <c r="I88" s="635"/>
      <c r="J88" s="528"/>
      <c r="K88" s="522">
        <f t="shared" si="22"/>
        <v>126958.91286097126</v>
      </c>
      <c r="L88" s="525">
        <v>23836</v>
      </c>
      <c r="M88" s="633">
        <v>103122.91286097126</v>
      </c>
      <c r="N88" s="872"/>
      <c r="O88" s="124"/>
      <c r="P88" s="1090">
        <f>'Rozdělení IRP'!F11</f>
        <v>4206.3512192758135</v>
      </c>
      <c r="Q88" s="1085">
        <v>4601</v>
      </c>
      <c r="R88" s="124"/>
      <c r="S88" s="283"/>
      <c r="W88" s="551"/>
      <c r="X88" s="49"/>
    </row>
    <row r="89" spans="1:24" s="658" customFormat="1" ht="12.75">
      <c r="A89" s="312">
        <v>58</v>
      </c>
      <c r="B89" s="524">
        <v>31</v>
      </c>
      <c r="C89" s="55" t="s">
        <v>11</v>
      </c>
      <c r="D89" s="962">
        <f t="shared" si="20"/>
        <v>456378.2544022855</v>
      </c>
      <c r="E89" s="852">
        <f>'pom1 - Přerozdělení IP'!Q14</f>
        <v>191264</v>
      </c>
      <c r="F89" s="525">
        <f t="shared" si="21"/>
        <v>265114.2544022855</v>
      </c>
      <c r="G89" s="633">
        <f>'pom1 - Přerozdělení IP'!H14+'pom1 - Přerozdělení IP'!N14</f>
        <v>261414.2544022855</v>
      </c>
      <c r="H89" s="476">
        <f>'pom1 - Přerozdělení IP'!M14</f>
        <v>3700</v>
      </c>
      <c r="I89" s="635"/>
      <c r="J89" s="528"/>
      <c r="K89" s="522">
        <f t="shared" si="22"/>
        <v>437082.9184434177</v>
      </c>
      <c r="L89" s="525">
        <v>176031</v>
      </c>
      <c r="M89" s="633">
        <v>261051.9184434177</v>
      </c>
      <c r="N89" s="872"/>
      <c r="O89" s="124"/>
      <c r="P89" s="1090">
        <f>'Rozdělení IRP'!F12</f>
        <v>5019.804708301428</v>
      </c>
      <c r="Q89" s="1085">
        <v>14605</v>
      </c>
      <c r="R89" s="124"/>
      <c r="S89" s="283"/>
      <c r="W89" s="551"/>
      <c r="X89" s="49"/>
    </row>
    <row r="90" spans="1:24" s="658" customFormat="1" ht="12.75">
      <c r="A90" s="312">
        <v>59</v>
      </c>
      <c r="B90" s="524">
        <v>33</v>
      </c>
      <c r="C90" s="55" t="s">
        <v>12</v>
      </c>
      <c r="D90" s="962">
        <f t="shared" si="20"/>
        <v>163705.18949973123</v>
      </c>
      <c r="E90" s="852">
        <f>'pom1 - Přerozdělení IP'!Q15</f>
        <v>30836</v>
      </c>
      <c r="F90" s="525">
        <f t="shared" si="21"/>
        <v>132869.18949973123</v>
      </c>
      <c r="G90" s="633">
        <f>'pom1 - Přerozdělení IP'!H15+'pom1 - Přerozdělení IP'!N15</f>
        <v>96869.18949973125</v>
      </c>
      <c r="H90" s="476">
        <f>'pom1 - Přerozdělení IP'!M15</f>
        <v>36000</v>
      </c>
      <c r="I90" s="635"/>
      <c r="J90" s="528"/>
      <c r="K90" s="522">
        <f t="shared" si="22"/>
        <v>156752.4268850804</v>
      </c>
      <c r="L90" s="525">
        <v>27729</v>
      </c>
      <c r="M90" s="633">
        <v>129023.4268850804</v>
      </c>
      <c r="N90" s="872"/>
      <c r="O90" s="124"/>
      <c r="P90" s="1090">
        <f>'Rozdělení IRP'!F13</f>
        <v>3326.2250617739837</v>
      </c>
      <c r="Q90" s="1085">
        <v>3140</v>
      </c>
      <c r="R90" s="124"/>
      <c r="S90" s="283"/>
      <c r="W90" s="551"/>
      <c r="X90" s="49"/>
    </row>
    <row r="91" spans="1:24" s="658" customFormat="1" ht="12.75">
      <c r="A91" s="312">
        <v>60</v>
      </c>
      <c r="B91" s="524">
        <v>41</v>
      </c>
      <c r="C91" s="55" t="s">
        <v>13</v>
      </c>
      <c r="D91" s="962">
        <f t="shared" si="20"/>
        <v>177608.1035847517</v>
      </c>
      <c r="E91" s="852">
        <f>'pom1 - Přerozdělení IP'!Q16</f>
        <v>26045</v>
      </c>
      <c r="F91" s="525">
        <f t="shared" si="21"/>
        <v>151563.1035847517</v>
      </c>
      <c r="G91" s="633">
        <f>'pom1 - Přerozdělení IP'!H16+'pom1 - Přerozdělení IP'!N16</f>
        <v>150763.1035847517</v>
      </c>
      <c r="H91" s="476">
        <f>'pom1 - Přerozdělení IP'!M16</f>
        <v>800</v>
      </c>
      <c r="I91" s="635"/>
      <c r="J91" s="528"/>
      <c r="K91" s="522">
        <f t="shared" si="22"/>
        <v>173041.63497467025</v>
      </c>
      <c r="L91" s="525">
        <v>26026</v>
      </c>
      <c r="M91" s="633">
        <v>147015.63497467025</v>
      </c>
      <c r="N91" s="872"/>
      <c r="O91" s="124"/>
      <c r="P91" s="1090">
        <f>'Rozdělení IRP'!F14</f>
        <v>4208.189340436504</v>
      </c>
      <c r="Q91" s="1085">
        <v>4421</v>
      </c>
      <c r="R91" s="124"/>
      <c r="S91" s="283"/>
      <c r="W91" s="551"/>
      <c r="X91" s="49"/>
    </row>
    <row r="92" spans="1:24" s="658" customFormat="1" ht="12.75">
      <c r="A92" s="312">
        <v>61</v>
      </c>
      <c r="B92" s="524">
        <v>51</v>
      </c>
      <c r="C92" s="55" t="s">
        <v>237</v>
      </c>
      <c r="D92" s="962">
        <f t="shared" si="20"/>
        <v>74185.52849878006</v>
      </c>
      <c r="E92" s="852">
        <f>'pom1 - Přerozdělení IP'!Q17</f>
        <v>2964</v>
      </c>
      <c r="F92" s="525">
        <f t="shared" si="21"/>
        <v>71221.52849878006</v>
      </c>
      <c r="G92" s="633">
        <f>'pom1 - Přerozdělení IP'!H17+'pom1 - Přerozdělení IP'!N17</f>
        <v>70921.52849878006</v>
      </c>
      <c r="H92" s="476">
        <f>'pom1 - Přerozdělení IP'!M17</f>
        <v>300</v>
      </c>
      <c r="I92" s="635"/>
      <c r="J92" s="528"/>
      <c r="K92" s="522">
        <f t="shared" si="22"/>
        <v>70988.34915661463</v>
      </c>
      <c r="L92" s="525">
        <v>2896</v>
      </c>
      <c r="M92" s="633">
        <v>68092.34915661463</v>
      </c>
      <c r="N92" s="872"/>
      <c r="O92" s="124"/>
      <c r="P92" s="1090">
        <f>'Rozdělení IRP'!F15</f>
        <v>1531.9978157236767</v>
      </c>
      <c r="Q92" s="1085">
        <v>1693</v>
      </c>
      <c r="R92" s="124"/>
      <c r="S92" s="283"/>
      <c r="W92" s="551"/>
      <c r="X92" s="49"/>
    </row>
    <row r="93" spans="1:24" s="658" customFormat="1" ht="12.75">
      <c r="A93" s="51">
        <v>62</v>
      </c>
      <c r="B93" s="531">
        <v>56</v>
      </c>
      <c r="C93" s="532" t="s">
        <v>15</v>
      </c>
      <c r="D93" s="961">
        <f>SUM(E93:F93)</f>
        <v>107004.60250073505</v>
      </c>
      <c r="E93" s="852">
        <f>'pom1 - Přerozdělení IP'!Q18</f>
        <v>11105</v>
      </c>
      <c r="F93" s="517">
        <f t="shared" si="21"/>
        <v>95899.60250073505</v>
      </c>
      <c r="G93" s="791">
        <f>'pom1 - Přerozdělení IP'!H18+'pom1 - Přerozdělení IP'!N18</f>
        <v>95899.60250073505</v>
      </c>
      <c r="H93" s="792">
        <f>'pom1 - Přerozdělení IP'!M18</f>
        <v>0</v>
      </c>
      <c r="I93" s="768"/>
      <c r="J93" s="547"/>
      <c r="K93" s="793">
        <f t="shared" si="22"/>
        <v>103094.54783824449</v>
      </c>
      <c r="L93" s="535">
        <v>10080</v>
      </c>
      <c r="M93" s="791">
        <v>93014.54783824449</v>
      </c>
      <c r="N93" s="873"/>
      <c r="O93" s="124"/>
      <c r="P93" s="1090">
        <f>'Rozdělení IRP'!F16</f>
        <v>2639.5046775474984</v>
      </c>
      <c r="Q93" s="1085">
        <v>3059</v>
      </c>
      <c r="R93" s="124"/>
      <c r="S93" s="283"/>
      <c r="W93" s="551"/>
      <c r="X93" s="49"/>
    </row>
    <row r="94" spans="1:24" s="658" customFormat="1" ht="12.75">
      <c r="A94" s="733">
        <v>63</v>
      </c>
      <c r="B94" s="537" t="s">
        <v>39</v>
      </c>
      <c r="C94" s="538"/>
      <c r="D94" s="963">
        <f>SUM(D85:D93)</f>
        <v>1851595.3538263775</v>
      </c>
      <c r="E94" s="853">
        <f aca="true" t="shared" si="23" ref="E94:M94">SUM(E85:E93)</f>
        <v>427889</v>
      </c>
      <c r="F94" s="769">
        <f t="shared" si="23"/>
        <v>1423706.3538263775</v>
      </c>
      <c r="G94" s="794">
        <f t="shared" si="23"/>
        <v>1382226.3538263775</v>
      </c>
      <c r="H94" s="770">
        <f t="shared" si="23"/>
        <v>41480</v>
      </c>
      <c r="I94" s="970">
        <f t="shared" si="23"/>
        <v>0</v>
      </c>
      <c r="J94" s="969">
        <f t="shared" si="23"/>
        <v>0</v>
      </c>
      <c r="K94" s="703">
        <f t="shared" si="23"/>
        <v>1792047.3825986024</v>
      </c>
      <c r="L94" s="552">
        <f t="shared" si="23"/>
        <v>396232</v>
      </c>
      <c r="M94" s="884">
        <f t="shared" si="23"/>
        <v>1395815.3825986024</v>
      </c>
      <c r="N94" s="891">
        <v>0</v>
      </c>
      <c r="O94" s="124"/>
      <c r="P94" s="1086">
        <f>SUM(P85:P93)</f>
        <v>41323.96957286493</v>
      </c>
      <c r="Q94" s="1087">
        <f>SUM(Q85:Q93)</f>
        <v>52267</v>
      </c>
      <c r="R94" s="124"/>
      <c r="S94" s="283"/>
      <c r="W94" s="551"/>
      <c r="X94" s="49"/>
    </row>
    <row r="95" spans="1:24" s="658" customFormat="1" ht="12.75">
      <c r="A95" s="51">
        <v>64</v>
      </c>
      <c r="B95" s="471">
        <v>71</v>
      </c>
      <c r="C95" s="55" t="s">
        <v>233</v>
      </c>
      <c r="D95" s="964">
        <f>SUM(E95:F95)</f>
        <v>63531.92697362255</v>
      </c>
      <c r="E95" s="852">
        <f>'pom1 - Přerozdělení IP'!Q20</f>
        <v>52876</v>
      </c>
      <c r="F95" s="541">
        <f>SUM(G95:I95)</f>
        <v>10655.926973622547</v>
      </c>
      <c r="G95" s="786">
        <f>'pom1 - Přerozdělení IP'!H20+'pom1 - Přerozdělení IP'!N20</f>
        <v>8655.926973622547</v>
      </c>
      <c r="H95" s="550">
        <f>'pom1 - Přerozdělení IP'!M20</f>
        <v>2000</v>
      </c>
      <c r="I95" s="520"/>
      <c r="J95" s="521"/>
      <c r="K95" s="522">
        <f>SUM(L95:N95)</f>
        <v>49612.637401397325</v>
      </c>
      <c r="L95" s="860">
        <v>41057</v>
      </c>
      <c r="M95" s="889">
        <v>8555.637401397324</v>
      </c>
      <c r="N95" s="543"/>
      <c r="O95" s="124"/>
      <c r="P95" s="1088">
        <f>'Rozdělení IRP'!F18</f>
        <v>6280.5691278908225</v>
      </c>
      <c r="Q95" s="1089">
        <v>4999</v>
      </c>
      <c r="R95" s="124"/>
      <c r="S95" s="283"/>
      <c r="W95" s="551"/>
      <c r="X95" s="49"/>
    </row>
    <row r="96" spans="1:24" s="658" customFormat="1" ht="12.75">
      <c r="A96" s="312">
        <v>65</v>
      </c>
      <c r="B96" s="471">
        <v>79</v>
      </c>
      <c r="C96" s="55" t="s">
        <v>304</v>
      </c>
      <c r="D96" s="962">
        <f aca="true" t="shared" si="24" ref="D96:D105">SUM(E96:F96)</f>
        <v>1800</v>
      </c>
      <c r="E96" s="852">
        <f>'pom1 - Přerozdělení IP'!Q21</f>
        <v>0</v>
      </c>
      <c r="F96" s="541">
        <f aca="true" t="shared" si="25" ref="F96:F105">SUM(G96:I96)</f>
        <v>1800</v>
      </c>
      <c r="G96" s="633">
        <f>'pom1 - Přerozdělení IP'!H21+'pom1 - Přerozdělení IP'!N21</f>
        <v>0</v>
      </c>
      <c r="H96" s="638">
        <f>'pom1 - Přerozdělení IP'!M21</f>
        <v>1800</v>
      </c>
      <c r="I96" s="527"/>
      <c r="J96" s="528"/>
      <c r="K96" s="522">
        <f aca="true" t="shared" si="26" ref="K96:K106">SUM(L96:N96)</f>
        <v>1800</v>
      </c>
      <c r="L96" s="541">
        <v>0</v>
      </c>
      <c r="M96" s="634">
        <v>1800</v>
      </c>
      <c r="N96" s="544"/>
      <c r="O96" s="124"/>
      <c r="P96" s="1090"/>
      <c r="Q96" s="1091"/>
      <c r="R96" s="124"/>
      <c r="S96" s="283"/>
      <c r="W96" s="551"/>
      <c r="X96" s="49"/>
    </row>
    <row r="97" spans="1:24" s="658" customFormat="1" ht="12.75">
      <c r="A97" s="312">
        <v>66</v>
      </c>
      <c r="B97" s="471">
        <v>81</v>
      </c>
      <c r="C97" s="55" t="s">
        <v>71</v>
      </c>
      <c r="D97" s="962">
        <f t="shared" si="24"/>
        <v>0</v>
      </c>
      <c r="E97" s="852">
        <f>'pom1 - Přerozdělení IP'!Q22</f>
        <v>0</v>
      </c>
      <c r="F97" s="541">
        <f t="shared" si="25"/>
        <v>0</v>
      </c>
      <c r="G97" s="633">
        <f>'pom1 - Přerozdělení IP'!H22+'pom1 - Přerozdělení IP'!N22</f>
        <v>0</v>
      </c>
      <c r="H97" s="638">
        <f>'pom1 - Přerozdělení IP'!M22</f>
        <v>0</v>
      </c>
      <c r="I97" s="635"/>
      <c r="J97" s="528"/>
      <c r="K97" s="522">
        <f t="shared" si="26"/>
        <v>0</v>
      </c>
      <c r="L97" s="541">
        <v>0</v>
      </c>
      <c r="M97" s="634">
        <v>0</v>
      </c>
      <c r="N97" s="544"/>
      <c r="O97" s="124"/>
      <c r="P97" s="1084"/>
      <c r="Q97" s="1085"/>
      <c r="R97" s="124"/>
      <c r="S97" s="283"/>
      <c r="W97" s="551"/>
      <c r="X97" s="49"/>
    </row>
    <row r="98" spans="1:24" s="658" customFormat="1" ht="12.75">
      <c r="A98" s="312">
        <v>67</v>
      </c>
      <c r="B98" s="471">
        <v>82</v>
      </c>
      <c r="C98" s="55" t="s">
        <v>1</v>
      </c>
      <c r="D98" s="962">
        <f t="shared" si="24"/>
        <v>10648</v>
      </c>
      <c r="E98" s="852">
        <f>'pom1 - Přerozdělení IP'!Q23</f>
        <v>0</v>
      </c>
      <c r="F98" s="541">
        <f t="shared" si="25"/>
        <v>10648</v>
      </c>
      <c r="G98" s="633">
        <f>'pom1 - Přerozdělení IP'!H23+'pom1 - Přerozdělení IP'!N23</f>
        <v>0</v>
      </c>
      <c r="H98" s="638">
        <f>'pom1 - Přerozdělení IP'!M23</f>
        <v>10648</v>
      </c>
      <c r="I98" s="635"/>
      <c r="J98" s="528"/>
      <c r="K98" s="522">
        <f t="shared" si="26"/>
        <v>10648</v>
      </c>
      <c r="L98" s="541">
        <v>0</v>
      </c>
      <c r="M98" s="634">
        <v>10648</v>
      </c>
      <c r="N98" s="544"/>
      <c r="O98" s="124"/>
      <c r="P98" s="1084"/>
      <c r="Q98" s="1085"/>
      <c r="R98" s="124"/>
      <c r="S98" s="283"/>
      <c r="W98" s="551"/>
      <c r="X98" s="49"/>
    </row>
    <row r="99" spans="1:24" s="658" customFormat="1" ht="12.75">
      <c r="A99" s="312">
        <v>68</v>
      </c>
      <c r="B99" s="471">
        <v>83</v>
      </c>
      <c r="C99" s="55" t="s">
        <v>83</v>
      </c>
      <c r="D99" s="962">
        <f t="shared" si="24"/>
        <v>8751</v>
      </c>
      <c r="E99" s="852">
        <f>'pom1 - Přerozdělení IP'!Q24</f>
        <v>0</v>
      </c>
      <c r="F99" s="541">
        <f t="shared" si="25"/>
        <v>8751</v>
      </c>
      <c r="G99" s="633">
        <f>'pom1 - Přerozdělení IP'!H24+'pom1 - Přerozdělení IP'!N24</f>
        <v>6700</v>
      </c>
      <c r="H99" s="638">
        <f>'pom1 - Přerozdělení IP'!M24</f>
        <v>2051</v>
      </c>
      <c r="I99" s="635"/>
      <c r="J99" s="528"/>
      <c r="K99" s="522">
        <f t="shared" si="26"/>
        <v>8804</v>
      </c>
      <c r="L99" s="541">
        <v>0</v>
      </c>
      <c r="M99" s="634">
        <v>8804</v>
      </c>
      <c r="N99" s="544"/>
      <c r="O99" s="124"/>
      <c r="P99" s="1084"/>
      <c r="Q99" s="1085"/>
      <c r="R99" s="124"/>
      <c r="S99" s="283"/>
      <c r="W99" s="551"/>
      <c r="X99" s="49"/>
    </row>
    <row r="100" spans="1:24" s="658" customFormat="1" ht="12.75">
      <c r="A100" s="312">
        <v>69</v>
      </c>
      <c r="B100" s="471">
        <v>84</v>
      </c>
      <c r="C100" s="55" t="s">
        <v>82</v>
      </c>
      <c r="D100" s="962">
        <f t="shared" si="24"/>
        <v>3471</v>
      </c>
      <c r="E100" s="852">
        <f>'pom1 - Přerozdělení IP'!Q25</f>
        <v>471</v>
      </c>
      <c r="F100" s="541">
        <f t="shared" si="25"/>
        <v>3000</v>
      </c>
      <c r="G100" s="633">
        <f>'pom1 - Přerozdělení IP'!H25+'pom1 - Přerozdělení IP'!N25</f>
        <v>3000</v>
      </c>
      <c r="H100" s="638">
        <f>'pom1 - Přerozdělení IP'!M25</f>
        <v>0</v>
      </c>
      <c r="I100" s="635"/>
      <c r="J100" s="528"/>
      <c r="K100" s="522">
        <f t="shared" si="26"/>
        <v>3363</v>
      </c>
      <c r="L100" s="541">
        <v>353</v>
      </c>
      <c r="M100" s="634">
        <v>3010</v>
      </c>
      <c r="N100" s="544"/>
      <c r="O100" s="124"/>
      <c r="P100" s="1084">
        <v>3400</v>
      </c>
      <c r="Q100" s="1085">
        <v>3525</v>
      </c>
      <c r="R100" s="124"/>
      <c r="S100" s="283"/>
      <c r="W100" s="551"/>
      <c r="X100" s="49"/>
    </row>
    <row r="101" spans="1:24" s="658" customFormat="1" ht="12.75">
      <c r="A101" s="312">
        <v>70</v>
      </c>
      <c r="B101" s="471">
        <v>85</v>
      </c>
      <c r="C101" s="55" t="s">
        <v>106</v>
      </c>
      <c r="D101" s="962">
        <f>SUM(E101:F101)</f>
        <v>819</v>
      </c>
      <c r="E101" s="852">
        <f>'pom1 - Přerozdělení IP'!Q26</f>
        <v>819</v>
      </c>
      <c r="F101" s="541">
        <f t="shared" si="25"/>
        <v>0</v>
      </c>
      <c r="G101" s="633">
        <f>'pom1 - Přerozdělení IP'!H26+'pom1 - Přerozdělení IP'!N26</f>
        <v>0</v>
      </c>
      <c r="H101" s="638">
        <f>'pom1 - Přerozdělení IP'!M26</f>
        <v>0</v>
      </c>
      <c r="I101" s="635"/>
      <c r="J101" s="528"/>
      <c r="K101" s="522">
        <f t="shared" si="26"/>
        <v>612</v>
      </c>
      <c r="L101" s="541">
        <v>612</v>
      </c>
      <c r="M101" s="634">
        <v>0</v>
      </c>
      <c r="N101" s="544"/>
      <c r="O101" s="124"/>
      <c r="P101" s="1084"/>
      <c r="Q101" s="1085"/>
      <c r="R101" s="124"/>
      <c r="S101" s="283"/>
      <c r="W101" s="551"/>
      <c r="X101" s="49"/>
    </row>
    <row r="102" spans="1:24" s="658" customFormat="1" ht="12.75">
      <c r="A102" s="312">
        <v>71</v>
      </c>
      <c r="B102" s="471">
        <v>87</v>
      </c>
      <c r="C102" s="55" t="s">
        <v>135</v>
      </c>
      <c r="D102" s="962">
        <f t="shared" si="24"/>
        <v>9119.36</v>
      </c>
      <c r="E102" s="852">
        <f>'pom1 - Přerozdělení IP'!Q27</f>
        <v>4141</v>
      </c>
      <c r="F102" s="541">
        <f t="shared" si="25"/>
        <v>4978.360000000001</v>
      </c>
      <c r="G102" s="633">
        <f>'pom1 - Přerozdělení IP'!H27+'pom1 - Přerozdělení IP'!N27</f>
        <v>4943.360000000001</v>
      </c>
      <c r="H102" s="638">
        <f>'pom1 - Přerozdělení IP'!M27</f>
        <v>35</v>
      </c>
      <c r="I102" s="635"/>
      <c r="J102" s="528"/>
      <c r="K102" s="522">
        <f t="shared" si="26"/>
        <v>9118.84</v>
      </c>
      <c r="L102" s="541">
        <v>3981</v>
      </c>
      <c r="M102" s="634">
        <v>5137.84</v>
      </c>
      <c r="N102" s="544"/>
      <c r="O102" s="124"/>
      <c r="P102" s="1084">
        <v>1000</v>
      </c>
      <c r="Q102" s="1085">
        <v>1000</v>
      </c>
      <c r="R102" s="124"/>
      <c r="S102" s="283"/>
      <c r="W102" s="551"/>
      <c r="X102" s="49"/>
    </row>
    <row r="103" spans="1:24" s="658" customFormat="1" ht="12.75">
      <c r="A103" s="312">
        <v>72</v>
      </c>
      <c r="B103" s="471">
        <v>92</v>
      </c>
      <c r="C103" s="55" t="s">
        <v>17</v>
      </c>
      <c r="D103" s="962">
        <f t="shared" si="24"/>
        <v>141827.2</v>
      </c>
      <c r="E103" s="852">
        <f>'pom1 - Přerozdělení IP'!Q28</f>
        <v>49324</v>
      </c>
      <c r="F103" s="541">
        <f t="shared" si="25"/>
        <v>92503.2</v>
      </c>
      <c r="G103" s="633">
        <f>'pom1 - Přerozdělení IP'!H28+'pom1 - Přerozdělení IP'!N28</f>
        <v>61760</v>
      </c>
      <c r="H103" s="638">
        <f>'pom1 - Přerozdělení IP'!M28</f>
        <v>30743.199999999997</v>
      </c>
      <c r="I103" s="635"/>
      <c r="J103" s="528"/>
      <c r="K103" s="522">
        <f t="shared" si="26"/>
        <v>140067</v>
      </c>
      <c r="L103" s="541">
        <v>45480</v>
      </c>
      <c r="M103" s="634">
        <v>94587</v>
      </c>
      <c r="N103" s="544"/>
      <c r="O103" s="124"/>
      <c r="P103" s="1084">
        <f>'Rozdělení IRP'!F19</f>
        <v>367.48129924423165</v>
      </c>
      <c r="Q103" s="1085">
        <v>311</v>
      </c>
      <c r="R103" s="124"/>
      <c r="S103" s="283"/>
      <c r="W103" s="551"/>
      <c r="X103" s="49"/>
    </row>
    <row r="104" spans="1:24" s="658" customFormat="1" ht="12.75">
      <c r="A104" s="312">
        <v>73</v>
      </c>
      <c r="B104" s="471">
        <v>96</v>
      </c>
      <c r="C104" s="55" t="s">
        <v>24</v>
      </c>
      <c r="D104" s="962">
        <f t="shared" si="24"/>
        <v>32827</v>
      </c>
      <c r="E104" s="852">
        <f>'pom1 - Přerozdělení IP'!Q29</f>
        <v>807</v>
      </c>
      <c r="F104" s="541">
        <f t="shared" si="25"/>
        <v>32020</v>
      </c>
      <c r="G104" s="633">
        <f>'pom1 - Přerozdělení IP'!H29+'pom1 - Přerozdělení IP'!N29</f>
        <v>32000</v>
      </c>
      <c r="H104" s="638">
        <f>'pom1 - Přerozdělení IP'!M29</f>
        <v>20</v>
      </c>
      <c r="I104" s="635"/>
      <c r="J104" s="528"/>
      <c r="K104" s="522">
        <f t="shared" si="26"/>
        <v>32495</v>
      </c>
      <c r="L104" s="541">
        <v>469</v>
      </c>
      <c r="M104" s="634">
        <v>32026</v>
      </c>
      <c r="N104" s="544"/>
      <c r="O104" s="124"/>
      <c r="P104" s="1084"/>
      <c r="Q104" s="1085"/>
      <c r="R104" s="124"/>
      <c r="S104" s="283"/>
      <c r="W104" s="551"/>
      <c r="X104" s="49"/>
    </row>
    <row r="105" spans="1:24" s="658" customFormat="1" ht="12.75">
      <c r="A105" s="312">
        <v>74</v>
      </c>
      <c r="B105" s="471">
        <v>97</v>
      </c>
      <c r="C105" s="55" t="s">
        <v>25</v>
      </c>
      <c r="D105" s="965">
        <f t="shared" si="24"/>
        <v>9680</v>
      </c>
      <c r="E105" s="852">
        <f>'pom1 - Přerozdělení IP'!Q30</f>
        <v>0</v>
      </c>
      <c r="F105" s="541">
        <f t="shared" si="25"/>
        <v>9680</v>
      </c>
      <c r="G105" s="633">
        <f>'pom1 - Přerozdělení IP'!H30+'pom1 - Přerozdělení IP'!N30</f>
        <v>9450</v>
      </c>
      <c r="H105" s="638">
        <f>'pom1 - Přerozdělení IP'!M30</f>
        <v>230</v>
      </c>
      <c r="I105" s="635"/>
      <c r="J105" s="528"/>
      <c r="K105" s="522">
        <f t="shared" si="26"/>
        <v>9650</v>
      </c>
      <c r="L105" s="541">
        <v>0</v>
      </c>
      <c r="M105" s="634">
        <v>9650</v>
      </c>
      <c r="N105" s="544"/>
      <c r="O105" s="124"/>
      <c r="P105" s="1084">
        <v>23159</v>
      </c>
      <c r="Q105" s="1085">
        <v>23159</v>
      </c>
      <c r="R105" s="124"/>
      <c r="S105" s="283"/>
      <c r="W105" s="551"/>
      <c r="X105" s="49"/>
    </row>
    <row r="106" spans="1:24" s="658" customFormat="1" ht="12.75">
      <c r="A106" s="734">
        <v>75</v>
      </c>
      <c r="B106" s="545">
        <v>99</v>
      </c>
      <c r="C106" s="532" t="s">
        <v>85</v>
      </c>
      <c r="D106" s="966">
        <f>SUM(E106:F106,J106)</f>
        <v>211722.75919999985</v>
      </c>
      <c r="E106" s="852">
        <f>'pom1 - Přerozdělení IP'!Q31</f>
        <v>54424</v>
      </c>
      <c r="F106" s="541">
        <f>SUM(G106:I106)</f>
        <v>122915.53920000025</v>
      </c>
      <c r="G106" s="787">
        <f>'pom1 - Přerozdělení IP'!H31+'pom1 - Přerozdělení IP'!N31</f>
        <v>34058.739200000244</v>
      </c>
      <c r="H106" s="788">
        <f>'pom1 - Přerozdělení IP'!M31+'pom1 - Přerozdělení IP'!L35-I106</f>
        <v>71356.8</v>
      </c>
      <c r="I106" s="636">
        <f>'pom1 - Přerozdělení IP'!M35</f>
        <v>17500</v>
      </c>
      <c r="J106" s="534">
        <f>J69</f>
        <v>34383.21999999962</v>
      </c>
      <c r="K106" s="522">
        <f t="shared" si="26"/>
        <v>206991.14000000004</v>
      </c>
      <c r="L106" s="542">
        <v>43553</v>
      </c>
      <c r="M106" s="890">
        <v>115497.13999999993</v>
      </c>
      <c r="N106" s="892">
        <f>N69</f>
        <v>47941.00000000012</v>
      </c>
      <c r="O106" s="124"/>
      <c r="P106" s="1088">
        <v>34395</v>
      </c>
      <c r="Q106" s="1089">
        <v>35048</v>
      </c>
      <c r="R106" s="124"/>
      <c r="S106" s="283"/>
      <c r="W106" s="551"/>
      <c r="X106" s="49"/>
    </row>
    <row r="107" spans="1:24" s="658" customFormat="1" ht="12.75">
      <c r="A107" s="733">
        <v>76</v>
      </c>
      <c r="B107" s="499" t="s">
        <v>607</v>
      </c>
      <c r="C107" s="779"/>
      <c r="D107" s="963">
        <f>SUM(D95:D106)</f>
        <v>494197.24617362244</v>
      </c>
      <c r="E107" s="854">
        <f aca="true" t="shared" si="27" ref="E107:N107">SUM(E95:E106)</f>
        <v>162862</v>
      </c>
      <c r="F107" s="805">
        <f t="shared" si="27"/>
        <v>296952.0261736228</v>
      </c>
      <c r="G107" s="804">
        <f t="shared" si="27"/>
        <v>160568.02617362278</v>
      </c>
      <c r="H107" s="780">
        <f>SUM(H95:H106)</f>
        <v>118884</v>
      </c>
      <c r="I107" s="855">
        <f t="shared" si="27"/>
        <v>17500</v>
      </c>
      <c r="J107" s="856">
        <f t="shared" si="27"/>
        <v>34383.21999999962</v>
      </c>
      <c r="K107" s="782">
        <f t="shared" si="27"/>
        <v>473161.6174013973</v>
      </c>
      <c r="L107" s="858">
        <f t="shared" si="27"/>
        <v>135505</v>
      </c>
      <c r="M107" s="857">
        <f t="shared" si="27"/>
        <v>289715.6174013972</v>
      </c>
      <c r="N107" s="893">
        <f t="shared" si="27"/>
        <v>47941.00000000012</v>
      </c>
      <c r="O107" s="657"/>
      <c r="P107" s="1092">
        <f>SUM(P95:P106)</f>
        <v>68602.05042713505</v>
      </c>
      <c r="Q107" s="1093">
        <f>SUM(Q95:Q106)</f>
        <v>68042</v>
      </c>
      <c r="R107" s="745"/>
      <c r="S107" s="283"/>
      <c r="W107" s="551"/>
      <c r="X107" s="551"/>
    </row>
    <row r="108" spans="1:24" s="658" customFormat="1" ht="13.5" thickBot="1">
      <c r="A108" s="896">
        <v>77</v>
      </c>
      <c r="B108" s="904" t="s">
        <v>658</v>
      </c>
      <c r="C108" s="773"/>
      <c r="D108" s="967">
        <f>SUM(E108:F108)</f>
        <v>88000</v>
      </c>
      <c r="E108" s="774">
        <v>0</v>
      </c>
      <c r="F108" s="542">
        <f>SUM(G108:I108)</f>
        <v>88000</v>
      </c>
      <c r="G108" s="775"/>
      <c r="H108" s="776">
        <f>H71</f>
        <v>88000</v>
      </c>
      <c r="I108" s="774">
        <v>0</v>
      </c>
      <c r="J108" s="777"/>
      <c r="K108" s="778">
        <f>K71</f>
        <v>147751</v>
      </c>
      <c r="L108" s="774">
        <v>0</v>
      </c>
      <c r="M108" s="775">
        <f>M71</f>
        <v>147751</v>
      </c>
      <c r="N108" s="894"/>
      <c r="O108" s="657"/>
      <c r="P108" s="1088"/>
      <c r="Q108" s="1089"/>
      <c r="R108" s="745"/>
      <c r="S108" s="283"/>
      <c r="W108" s="551"/>
      <c r="X108" s="551"/>
    </row>
    <row r="109" spans="1:25" s="658" customFormat="1" ht="13.5" thickBot="1">
      <c r="A109" s="316">
        <v>78</v>
      </c>
      <c r="B109" s="500" t="s">
        <v>35</v>
      </c>
      <c r="C109" s="489"/>
      <c r="D109" s="968">
        <f>D94+D107+D108</f>
        <v>2433792.6</v>
      </c>
      <c r="E109" s="573">
        <f aca="true" t="shared" si="28" ref="E109:N109">E94+E107+E108</f>
        <v>590751</v>
      </c>
      <c r="F109" s="859">
        <f>H109+I109+G109</f>
        <v>1808658.3800000004</v>
      </c>
      <c r="G109" s="771">
        <f t="shared" si="28"/>
        <v>1542794.3800000004</v>
      </c>
      <c r="H109" s="771">
        <f t="shared" si="28"/>
        <v>248364</v>
      </c>
      <c r="I109" s="771">
        <f t="shared" si="28"/>
        <v>17500</v>
      </c>
      <c r="J109" s="772">
        <f t="shared" si="28"/>
        <v>34383.21999999962</v>
      </c>
      <c r="K109" s="823">
        <f t="shared" si="28"/>
        <v>2412960</v>
      </c>
      <c r="L109" s="848">
        <f t="shared" si="28"/>
        <v>531737</v>
      </c>
      <c r="M109" s="573">
        <f t="shared" si="28"/>
        <v>1833281.9999999995</v>
      </c>
      <c r="N109" s="824">
        <f t="shared" si="28"/>
        <v>47941.00000000012</v>
      </c>
      <c r="O109" s="124"/>
      <c r="P109" s="1094">
        <f>P94+P107</f>
        <v>109926.01999999999</v>
      </c>
      <c r="Q109" s="1095">
        <f>Q94+Q107</f>
        <v>120309</v>
      </c>
      <c r="R109" s="283"/>
      <c r="S109" s="283"/>
      <c r="W109" s="551"/>
      <c r="X109" s="551"/>
      <c r="Y109" s="49"/>
    </row>
    <row r="110" spans="1:24" s="1052" customFormat="1" ht="15">
      <c r="A110" s="1104"/>
      <c r="B110" s="1045"/>
      <c r="C110" s="1045"/>
      <c r="D110" s="1046"/>
      <c r="E110" s="1554">
        <f>E109+F109</f>
        <v>2399409.3800000004</v>
      </c>
      <c r="F110" s="1563"/>
      <c r="G110" s="1564">
        <f>SUM(G109:I109)</f>
        <v>1808658.3800000004</v>
      </c>
      <c r="H110" s="1565"/>
      <c r="I110" s="1566"/>
      <c r="J110" s="1047"/>
      <c r="K110" s="1047"/>
      <c r="L110" s="1554">
        <f>SUM(L109:M109)</f>
        <v>2365018.9999999995</v>
      </c>
      <c r="M110" s="1555"/>
      <c r="N110" s="1049"/>
      <c r="O110" s="1049"/>
      <c r="P110" s="1105"/>
      <c r="Q110" s="1105"/>
      <c r="R110" s="1049"/>
      <c r="S110" s="1049"/>
      <c r="W110" s="1045"/>
      <c r="X110" s="1050"/>
    </row>
    <row r="111" spans="1:21" ht="12.75">
      <c r="A111" s="551" t="s">
        <v>40</v>
      </c>
      <c r="D111" s="124"/>
      <c r="F111" s="124"/>
      <c r="G111" s="124"/>
      <c r="H111" s="657">
        <f>H94+H107+I107</f>
        <v>177864</v>
      </c>
      <c r="I111" s="1113">
        <f>G107+H109+I109</f>
        <v>426432.0261736228</v>
      </c>
      <c r="J111" s="124">
        <f>I111+J107</f>
        <v>460815.24617362244</v>
      </c>
      <c r="N111" s="124"/>
      <c r="O111" s="124"/>
      <c r="P111" s="124"/>
      <c r="Q111" s="124"/>
      <c r="R111" s="124"/>
      <c r="S111" s="1049"/>
      <c r="T111" s="124"/>
      <c r="U111" s="124"/>
    </row>
    <row r="112" spans="1:21" ht="12.75">
      <c r="A112" s="49" t="s">
        <v>41</v>
      </c>
      <c r="C112" s="49" t="s">
        <v>262</v>
      </c>
      <c r="G112" s="124"/>
      <c r="H112" s="124"/>
      <c r="N112" s="124"/>
      <c r="O112" s="124"/>
      <c r="P112" s="124"/>
      <c r="Q112" s="124"/>
      <c r="R112" s="124"/>
      <c r="S112" s="1049"/>
      <c r="T112" s="124"/>
      <c r="U112" s="124"/>
    </row>
    <row r="113" spans="1:19" ht="12.75">
      <c r="A113" s="49" t="s">
        <v>192</v>
      </c>
      <c r="C113" s="49" t="s">
        <v>174</v>
      </c>
      <c r="G113" s="124"/>
      <c r="J113" s="124"/>
      <c r="S113" s="1049"/>
    </row>
    <row r="114" spans="1:20" ht="12.75">
      <c r="A114" s="49" t="s">
        <v>72</v>
      </c>
      <c r="C114" s="49" t="s">
        <v>636</v>
      </c>
      <c r="R114" s="124"/>
      <c r="S114" s="1049"/>
      <c r="T114" s="124"/>
    </row>
    <row r="115" spans="3:20" ht="12.75">
      <c r="C115" s="452"/>
      <c r="R115" s="124"/>
      <c r="S115" s="1049"/>
      <c r="T115" s="124"/>
    </row>
    <row r="116" spans="1:20" ht="12.75">
      <c r="A116" s="60" t="s">
        <v>720</v>
      </c>
      <c r="B116" s="60"/>
      <c r="C116" s="60"/>
      <c r="D116" s="49" t="s">
        <v>137</v>
      </c>
      <c r="E116" s="49" t="s">
        <v>138</v>
      </c>
      <c r="H116" s="54"/>
      <c r="I116" s="54"/>
      <c r="J116" s="54"/>
      <c r="K116" s="54"/>
      <c r="L116" s="54"/>
      <c r="R116" s="124"/>
      <c r="S116" s="1049"/>
      <c r="T116" s="124"/>
    </row>
    <row r="117" spans="1:20" ht="12.75">
      <c r="A117" s="60"/>
      <c r="E117" s="662"/>
      <c r="F117" s="663"/>
      <c r="G117" s="553"/>
      <c r="J117" s="49" t="s">
        <v>140</v>
      </c>
      <c r="R117" s="124"/>
      <c r="S117" s="124"/>
      <c r="T117" s="124"/>
    </row>
    <row r="118" spans="5:20" ht="12.75">
      <c r="E118" s="553"/>
      <c r="G118" s="553"/>
      <c r="R118" s="124"/>
      <c r="S118" s="124"/>
      <c r="T118" s="124"/>
    </row>
    <row r="119" spans="5:20" ht="12.75">
      <c r="E119" s="553" t="s">
        <v>139</v>
      </c>
      <c r="G119" s="553"/>
      <c r="H119" s="54"/>
      <c r="I119" s="54"/>
      <c r="J119" s="54"/>
      <c r="K119" s="54"/>
      <c r="L119" s="54"/>
      <c r="R119" s="124"/>
      <c r="S119" s="124"/>
      <c r="T119" s="124"/>
    </row>
    <row r="120" spans="5:20" ht="12.75">
      <c r="E120" s="662"/>
      <c r="F120" s="663"/>
      <c r="G120" s="553"/>
      <c r="J120" s="49" t="s">
        <v>140</v>
      </c>
      <c r="R120" s="124"/>
      <c r="S120" s="124"/>
      <c r="T120" s="124"/>
    </row>
    <row r="121" spans="6:20" ht="12.75">
      <c r="F121" s="553"/>
      <c r="G121" s="553"/>
      <c r="R121" s="124"/>
      <c r="S121" s="124"/>
      <c r="T121" s="124"/>
    </row>
    <row r="122" spans="6:20" ht="12.75">
      <c r="F122" s="553"/>
      <c r="G122" s="553"/>
      <c r="R122" s="124"/>
      <c r="S122" s="124"/>
      <c r="T122" s="124"/>
    </row>
    <row r="123" spans="18:20" ht="12.75">
      <c r="R123" s="124"/>
      <c r="S123" s="124"/>
      <c r="T123" s="124"/>
    </row>
    <row r="124" spans="18:20" ht="12.75">
      <c r="R124" s="124"/>
      <c r="S124" s="124"/>
      <c r="T124" s="124"/>
    </row>
    <row r="125" spans="18:20" ht="12.75">
      <c r="R125" s="124"/>
      <c r="S125" s="124"/>
      <c r="T125" s="124"/>
    </row>
    <row r="126" spans="18:20" ht="12.75">
      <c r="R126" s="124"/>
      <c r="S126" s="124"/>
      <c r="T126" s="124"/>
    </row>
    <row r="127" spans="18:20" ht="12.75">
      <c r="R127" s="124"/>
      <c r="S127" s="124"/>
      <c r="T127" s="124"/>
    </row>
    <row r="128" spans="18:20" ht="12.75">
      <c r="R128" s="124"/>
      <c r="S128" s="124"/>
      <c r="T128" s="124"/>
    </row>
    <row r="129" spans="18:20" ht="12.75">
      <c r="R129" s="124"/>
      <c r="S129" s="124"/>
      <c r="T129" s="124"/>
    </row>
    <row r="130" spans="18:20" ht="12.75">
      <c r="R130" s="124"/>
      <c r="S130" s="124"/>
      <c r="T130" s="124"/>
    </row>
    <row r="131" spans="18:20" ht="12.75">
      <c r="R131" s="124"/>
      <c r="S131" s="124"/>
      <c r="T131" s="124"/>
    </row>
    <row r="132" spans="18:20" ht="12.75">
      <c r="R132" s="124"/>
      <c r="S132" s="124"/>
      <c r="T132" s="124"/>
    </row>
  </sheetData>
  <sheetProtection/>
  <mergeCells count="24">
    <mergeCell ref="D4:G4"/>
    <mergeCell ref="H4:K4"/>
    <mergeCell ref="E5:F5"/>
    <mergeCell ref="G73:I73"/>
    <mergeCell ref="G45:I45"/>
    <mergeCell ref="E73:F73"/>
    <mergeCell ref="E44:I44"/>
    <mergeCell ref="K43:N43"/>
    <mergeCell ref="H75:I75"/>
    <mergeCell ref="E74:H74"/>
    <mergeCell ref="L44:N44"/>
    <mergeCell ref="L81:N81"/>
    <mergeCell ref="E40:F40"/>
    <mergeCell ref="E81:I81"/>
    <mergeCell ref="L110:M110"/>
    <mergeCell ref="I5:J5"/>
    <mergeCell ref="D43:J43"/>
    <mergeCell ref="I40:J40"/>
    <mergeCell ref="L73:M73"/>
    <mergeCell ref="E110:F110"/>
    <mergeCell ref="G110:I110"/>
    <mergeCell ref="G82:I82"/>
    <mergeCell ref="K80:N80"/>
    <mergeCell ref="D80:J80"/>
  </mergeCells>
  <printOptions/>
  <pageMargins left="0.5511811023622047" right="0.31496062992125984" top="0.5905511811023623" bottom="0.1968503937007874" header="0.5118110236220472" footer="0.1968503937007874"/>
  <pageSetup horizontalDpi="600" verticalDpi="600" orientation="landscape" paperSize="9" scale="85" r:id="rId1"/>
  <headerFooter alignWithMargins="0">
    <oddFooter>&amp;C&amp;9 6 - 8&amp;10
</oddFooter>
  </headerFooter>
  <rowBreaks count="2" manualBreakCount="2">
    <brk id="41" max="255" man="1"/>
    <brk id="7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tabColor theme="3" tint="0.39998000860214233"/>
  </sheetPr>
  <dimension ref="A1:K41"/>
  <sheetViews>
    <sheetView showGridLines="0" zoomScalePageLayoutView="0" workbookViewId="0" topLeftCell="A1">
      <selection activeCell="L31" sqref="L31"/>
    </sheetView>
  </sheetViews>
  <sheetFormatPr defaultColWidth="9.00390625" defaultRowHeight="12.75"/>
  <cols>
    <col min="1" max="1" width="20.25390625" style="0" customWidth="1"/>
    <col min="2" max="2" width="10.875" style="0" customWidth="1"/>
    <col min="3" max="3" width="10.375" style="0" customWidth="1"/>
    <col min="4" max="4" width="12.00390625" style="0" customWidth="1"/>
    <col min="5" max="5" width="10.25390625" style="0" customWidth="1"/>
    <col min="6" max="6" width="10.75390625" style="0" customWidth="1"/>
    <col min="7" max="7" width="11.00390625" style="0" customWidth="1"/>
    <col min="8" max="8" width="3.625" style="0" customWidth="1"/>
    <col min="9" max="9" width="13.25390625" style="0" hidden="1" customWidth="1"/>
    <col min="10" max="10" width="11.25390625" style="0" hidden="1" customWidth="1"/>
    <col min="11" max="11" width="9.875" style="0" hidden="1" customWidth="1"/>
  </cols>
  <sheetData>
    <row r="1" spans="1:3" ht="15.75">
      <c r="A1" s="810" t="s">
        <v>425</v>
      </c>
      <c r="C1" s="954">
        <f>C2+B32+C32</f>
        <v>1808658.3800000004</v>
      </c>
    </row>
    <row r="2" spans="1:3" ht="12.75">
      <c r="A2" t="s">
        <v>657</v>
      </c>
      <c r="C2" s="812">
        <v>88000</v>
      </c>
    </row>
    <row r="3" spans="1:3" ht="12.75">
      <c r="A3" s="951"/>
      <c r="C3" s="952"/>
    </row>
    <row r="4" spans="1:3" ht="12.75">
      <c r="A4" s="951" t="s">
        <v>426</v>
      </c>
      <c r="C4" s="953">
        <f>F32+G32</f>
        <v>109926.01999999999</v>
      </c>
    </row>
    <row r="5" spans="1:3" ht="12.75">
      <c r="A5" s="951" t="s">
        <v>427</v>
      </c>
      <c r="C5" s="953">
        <f>E32</f>
        <v>34383.1199999998</v>
      </c>
    </row>
    <row r="6" spans="1:3" ht="12.75">
      <c r="A6" s="783" t="s">
        <v>184</v>
      </c>
      <c r="C6" s="815">
        <f>D32</f>
        <v>590751</v>
      </c>
    </row>
    <row r="7" spans="1:3" ht="12.75">
      <c r="A7" s="783"/>
      <c r="B7" s="979"/>
      <c r="C7" s="784"/>
    </row>
    <row r="8" spans="1:3" ht="13.5" thickBot="1">
      <c r="A8" s="783"/>
      <c r="B8" s="979"/>
      <c r="C8" s="784"/>
    </row>
    <row r="9" spans="1:11" ht="12.75">
      <c r="A9" s="981"/>
      <c r="B9" s="1580" t="s">
        <v>456</v>
      </c>
      <c r="C9" s="1581"/>
      <c r="D9" s="982" t="s">
        <v>184</v>
      </c>
      <c r="E9" s="982" t="s">
        <v>437</v>
      </c>
      <c r="F9" s="982" t="s">
        <v>457</v>
      </c>
      <c r="G9" s="983" t="s">
        <v>452</v>
      </c>
      <c r="I9" s="124" t="s">
        <v>637</v>
      </c>
      <c r="J9" s="124"/>
      <c r="K9" s="551"/>
    </row>
    <row r="10" spans="1:11" ht="15">
      <c r="A10" s="984"/>
      <c r="B10" s="811" t="s">
        <v>428</v>
      </c>
      <c r="C10" s="811" t="s">
        <v>435</v>
      </c>
      <c r="D10" s="811" t="s">
        <v>436</v>
      </c>
      <c r="E10" s="811" t="s">
        <v>638</v>
      </c>
      <c r="F10" s="811" t="s">
        <v>434</v>
      </c>
      <c r="G10" s="985" t="s">
        <v>453</v>
      </c>
      <c r="I10" s="794">
        <v>1111</v>
      </c>
      <c r="J10" s="1096">
        <v>1112</v>
      </c>
      <c r="K10" s="1100">
        <v>2112</v>
      </c>
    </row>
    <row r="11" spans="1:11" ht="12.75">
      <c r="A11" s="986" t="s">
        <v>7</v>
      </c>
      <c r="B11" s="955">
        <v>249069.89047927142</v>
      </c>
      <c r="C11" s="955">
        <v>0</v>
      </c>
      <c r="D11" s="955">
        <v>60532</v>
      </c>
      <c r="E11" s="955"/>
      <c r="F11" s="955">
        <v>8876.785570405775</v>
      </c>
      <c r="G11" s="987"/>
      <c r="I11" s="1097">
        <f>'rozpis pro rozpocet'!G85</f>
        <v>249069.89047927142</v>
      </c>
      <c r="J11" s="1098">
        <f>'rozpis pro rozpocet'!H85</f>
        <v>0</v>
      </c>
      <c r="K11" s="1101">
        <f>'rozpis pro rozpocet'!E85</f>
        <v>60532</v>
      </c>
    </row>
    <row r="12" spans="1:11" ht="12.75">
      <c r="A12" s="986" t="s">
        <v>8</v>
      </c>
      <c r="B12" s="955">
        <v>259633.15346500702</v>
      </c>
      <c r="C12" s="955">
        <v>480</v>
      </c>
      <c r="D12" s="955">
        <v>57392</v>
      </c>
      <c r="E12" s="955"/>
      <c r="F12" s="955">
        <v>8735.253771267338</v>
      </c>
      <c r="G12" s="987"/>
      <c r="I12" s="1097">
        <f>'rozpis pro rozpocet'!G86</f>
        <v>259633.15346500702</v>
      </c>
      <c r="J12" s="1098">
        <f>'rozpis pro rozpocet'!H86</f>
        <v>480</v>
      </c>
      <c r="K12" s="1101">
        <f>'rozpis pro rozpocet'!E86</f>
        <v>57392</v>
      </c>
    </row>
    <row r="13" spans="1:11" ht="12.75">
      <c r="A13" s="986" t="s">
        <v>9</v>
      </c>
      <c r="B13" s="955">
        <v>93338.25579174946</v>
      </c>
      <c r="C13" s="955">
        <v>0</v>
      </c>
      <c r="D13" s="955">
        <v>21183</v>
      </c>
      <c r="E13" s="955"/>
      <c r="F13" s="955">
        <v>2779.857408132919</v>
      </c>
      <c r="G13" s="987"/>
      <c r="I13" s="1099">
        <f>'rozpis pro rozpocet'!G87</f>
        <v>93338.25579174946</v>
      </c>
      <c r="J13" s="1098">
        <f>'rozpis pro rozpocet'!H87</f>
        <v>0</v>
      </c>
      <c r="K13" s="1101">
        <f>'rozpis pro rozpocet'!E87</f>
        <v>21183</v>
      </c>
    </row>
    <row r="14" spans="1:11" ht="12.75">
      <c r="A14" s="986" t="s">
        <v>10</v>
      </c>
      <c r="B14" s="955">
        <v>104317.37560406617</v>
      </c>
      <c r="C14" s="955">
        <v>200</v>
      </c>
      <c r="D14" s="955">
        <v>26568</v>
      </c>
      <c r="E14" s="955"/>
      <c r="F14" s="955">
        <v>4206.3512192758135</v>
      </c>
      <c r="G14" s="987"/>
      <c r="I14" s="1097">
        <f>'rozpis pro rozpocet'!G88</f>
        <v>104317.37560406617</v>
      </c>
      <c r="J14" s="1098">
        <f>'rozpis pro rozpocet'!H88</f>
        <v>200</v>
      </c>
      <c r="K14" s="1101">
        <f>'rozpis pro rozpocet'!E88</f>
        <v>26568</v>
      </c>
    </row>
    <row r="15" spans="1:11" ht="12.75">
      <c r="A15" s="986" t="s">
        <v>11</v>
      </c>
      <c r="B15" s="955">
        <v>261414.2544022855</v>
      </c>
      <c r="C15" s="955">
        <v>3700</v>
      </c>
      <c r="D15" s="955">
        <v>191264</v>
      </c>
      <c r="E15" s="955"/>
      <c r="F15" s="955">
        <v>5019.804708301428</v>
      </c>
      <c r="G15" s="987"/>
      <c r="I15" s="1097">
        <f>'rozpis pro rozpocet'!G89</f>
        <v>261414.2544022855</v>
      </c>
      <c r="J15" s="1098">
        <f>'rozpis pro rozpocet'!H89</f>
        <v>3700</v>
      </c>
      <c r="K15" s="1101">
        <f>'rozpis pro rozpocet'!E89</f>
        <v>191264</v>
      </c>
    </row>
    <row r="16" spans="1:11" ht="12.75">
      <c r="A16" s="986" t="s">
        <v>12</v>
      </c>
      <c r="B16" s="955">
        <v>96869.18949973125</v>
      </c>
      <c r="C16" s="955">
        <v>36000</v>
      </c>
      <c r="D16" s="955">
        <v>30836</v>
      </c>
      <c r="E16" s="955"/>
      <c r="F16" s="955">
        <v>3326.2250617739837</v>
      </c>
      <c r="G16" s="987"/>
      <c r="I16" s="1097">
        <f>'rozpis pro rozpocet'!G90</f>
        <v>96869.18949973125</v>
      </c>
      <c r="J16" s="1098">
        <f>'rozpis pro rozpocet'!H90</f>
        <v>36000</v>
      </c>
      <c r="K16" s="1101">
        <f>'rozpis pro rozpocet'!E90</f>
        <v>30836</v>
      </c>
    </row>
    <row r="17" spans="1:11" ht="12.75">
      <c r="A17" s="986" t="s">
        <v>13</v>
      </c>
      <c r="B17" s="955">
        <v>150763.1035847517</v>
      </c>
      <c r="C17" s="955">
        <v>800</v>
      </c>
      <c r="D17" s="955">
        <v>26045</v>
      </c>
      <c r="E17" s="955"/>
      <c r="F17" s="955">
        <v>4208.189340436504</v>
      </c>
      <c r="G17" s="987"/>
      <c r="I17" s="1097">
        <f>'rozpis pro rozpocet'!G91</f>
        <v>150763.1035847517</v>
      </c>
      <c r="J17" s="1098">
        <f>'rozpis pro rozpocet'!H91</f>
        <v>800</v>
      </c>
      <c r="K17" s="1101">
        <f>'rozpis pro rozpocet'!E91</f>
        <v>26045</v>
      </c>
    </row>
    <row r="18" spans="1:11" ht="12.75">
      <c r="A18" s="986" t="s">
        <v>14</v>
      </c>
      <c r="B18" s="955">
        <v>70921.52849878006</v>
      </c>
      <c r="C18" s="955">
        <v>300</v>
      </c>
      <c r="D18" s="955">
        <v>2964</v>
      </c>
      <c r="E18" s="955"/>
      <c r="F18" s="955">
        <v>1531.9978157236767</v>
      </c>
      <c r="G18" s="987"/>
      <c r="I18" s="1097">
        <f>'rozpis pro rozpocet'!G92</f>
        <v>70921.52849878006</v>
      </c>
      <c r="J18" s="1098">
        <f>'rozpis pro rozpocet'!H92</f>
        <v>300</v>
      </c>
      <c r="K18" s="1101">
        <f>'rozpis pro rozpocet'!E92</f>
        <v>2964</v>
      </c>
    </row>
    <row r="19" spans="1:11" ht="12.75">
      <c r="A19" s="986" t="s">
        <v>15</v>
      </c>
      <c r="B19" s="955">
        <v>95899.60250073505</v>
      </c>
      <c r="C19" s="955">
        <v>0</v>
      </c>
      <c r="D19" s="955">
        <v>11105</v>
      </c>
      <c r="E19" s="955"/>
      <c r="F19" s="955">
        <v>2639.5046775474984</v>
      </c>
      <c r="G19" s="987"/>
      <c r="I19" s="1097">
        <f>'rozpis pro rozpocet'!G93</f>
        <v>95899.60250073505</v>
      </c>
      <c r="J19" s="1098">
        <f>'rozpis pro rozpocet'!H93</f>
        <v>0</v>
      </c>
      <c r="K19" s="1101">
        <f>'rozpis pro rozpocet'!E93</f>
        <v>11105</v>
      </c>
    </row>
    <row r="20" spans="1:11" ht="12.75">
      <c r="A20" s="986" t="s">
        <v>233</v>
      </c>
      <c r="B20" s="955">
        <v>8655.926973622547</v>
      </c>
      <c r="C20" s="955">
        <v>2000</v>
      </c>
      <c r="D20" s="955">
        <v>52876</v>
      </c>
      <c r="E20" s="955"/>
      <c r="F20" s="955">
        <v>6280.5691278908225</v>
      </c>
      <c r="G20" s="987"/>
      <c r="I20" s="1097">
        <f>'rozpis pro rozpocet'!G95</f>
        <v>8655.926973622547</v>
      </c>
      <c r="J20" s="1098">
        <f>'rozpis pro rozpocet'!H95</f>
        <v>2000</v>
      </c>
      <c r="K20" s="1101">
        <f>'rozpis pro rozpocet'!E95</f>
        <v>52876</v>
      </c>
    </row>
    <row r="21" spans="1:11" ht="12.75">
      <c r="A21" s="986" t="s">
        <v>304</v>
      </c>
      <c r="B21" s="955">
        <v>0</v>
      </c>
      <c r="C21" s="955">
        <v>1800</v>
      </c>
      <c r="D21" s="955">
        <v>0</v>
      </c>
      <c r="E21" s="955"/>
      <c r="F21" s="955"/>
      <c r="G21" s="987"/>
      <c r="I21" s="1097">
        <f>'rozpis pro rozpocet'!G96</f>
        <v>0</v>
      </c>
      <c r="J21" s="1098">
        <f>'rozpis pro rozpocet'!H96</f>
        <v>1800</v>
      </c>
      <c r="K21" s="1101">
        <f>'rozpis pro rozpocet'!E96</f>
        <v>0</v>
      </c>
    </row>
    <row r="22" spans="1:11" ht="12.75">
      <c r="A22" s="986" t="s">
        <v>71</v>
      </c>
      <c r="B22" s="955">
        <v>0</v>
      </c>
      <c r="C22" s="955">
        <v>0</v>
      </c>
      <c r="D22" s="955">
        <v>0</v>
      </c>
      <c r="E22" s="955"/>
      <c r="F22" s="955"/>
      <c r="G22" s="987"/>
      <c r="I22" s="1097">
        <f>'rozpis pro rozpocet'!G97</f>
        <v>0</v>
      </c>
      <c r="J22" s="1098">
        <f>'rozpis pro rozpocet'!H97</f>
        <v>0</v>
      </c>
      <c r="K22" s="1101">
        <f>'rozpis pro rozpocet'!E97</f>
        <v>0</v>
      </c>
    </row>
    <row r="23" spans="1:11" ht="12.75">
      <c r="A23" s="986" t="s">
        <v>1</v>
      </c>
      <c r="B23" s="955">
        <v>0</v>
      </c>
      <c r="C23" s="955">
        <v>10648</v>
      </c>
      <c r="D23" s="955">
        <v>0</v>
      </c>
      <c r="E23" s="955"/>
      <c r="F23" s="955"/>
      <c r="G23" s="987"/>
      <c r="I23" s="1097">
        <f>'rozpis pro rozpocet'!G98</f>
        <v>0</v>
      </c>
      <c r="J23" s="1098">
        <f>'rozpis pro rozpocet'!H98</f>
        <v>10648</v>
      </c>
      <c r="K23" s="1101">
        <f>'rozpis pro rozpocet'!E98</f>
        <v>0</v>
      </c>
    </row>
    <row r="24" spans="1:11" ht="12.75">
      <c r="A24" s="986" t="s">
        <v>83</v>
      </c>
      <c r="B24" s="955">
        <v>6700</v>
      </c>
      <c r="C24" s="955">
        <v>2051</v>
      </c>
      <c r="D24" s="955">
        <v>0</v>
      </c>
      <c r="E24" s="955"/>
      <c r="F24" s="955"/>
      <c r="G24" s="987"/>
      <c r="I24" s="1097">
        <f>'rozpis pro rozpocet'!G99</f>
        <v>6700</v>
      </c>
      <c r="J24" s="1098">
        <f>'rozpis pro rozpocet'!H99</f>
        <v>2051</v>
      </c>
      <c r="K24" s="1101">
        <f>'rozpis pro rozpocet'!E99</f>
        <v>0</v>
      </c>
    </row>
    <row r="25" spans="1:11" ht="12.75">
      <c r="A25" s="986" t="s">
        <v>82</v>
      </c>
      <c r="B25" s="955">
        <v>3000</v>
      </c>
      <c r="C25" s="955">
        <v>0</v>
      </c>
      <c r="D25" s="955">
        <v>471</v>
      </c>
      <c r="E25" s="955"/>
      <c r="F25" s="955">
        <v>3400</v>
      </c>
      <c r="G25" s="987"/>
      <c r="I25" s="1097">
        <f>'rozpis pro rozpocet'!G100</f>
        <v>3000</v>
      </c>
      <c r="J25" s="1098">
        <f>'rozpis pro rozpocet'!H100</f>
        <v>0</v>
      </c>
      <c r="K25" s="1101">
        <f>'rozpis pro rozpocet'!E100</f>
        <v>471</v>
      </c>
    </row>
    <row r="26" spans="1:11" ht="12.75">
      <c r="A26" s="986" t="s">
        <v>106</v>
      </c>
      <c r="B26" s="955">
        <v>0</v>
      </c>
      <c r="C26" s="955">
        <v>0</v>
      </c>
      <c r="D26" s="955">
        <v>819</v>
      </c>
      <c r="E26" s="955"/>
      <c r="F26" s="955"/>
      <c r="G26" s="987"/>
      <c r="I26" s="1097">
        <f>'rozpis pro rozpocet'!G101</f>
        <v>0</v>
      </c>
      <c r="J26" s="1098">
        <f>'rozpis pro rozpocet'!H101</f>
        <v>0</v>
      </c>
      <c r="K26" s="1101">
        <f>'rozpis pro rozpocet'!E101</f>
        <v>819</v>
      </c>
    </row>
    <row r="27" spans="1:11" ht="12.75">
      <c r="A27" s="986" t="s">
        <v>135</v>
      </c>
      <c r="B27" s="955">
        <v>4943.360000000001</v>
      </c>
      <c r="C27" s="955">
        <v>35</v>
      </c>
      <c r="D27" s="955">
        <v>4141</v>
      </c>
      <c r="E27" s="955"/>
      <c r="F27" s="955">
        <v>1000</v>
      </c>
      <c r="G27" s="987"/>
      <c r="I27" s="1097">
        <f>'rozpis pro rozpocet'!G102</f>
        <v>4943.360000000001</v>
      </c>
      <c r="J27" s="1098">
        <f>'rozpis pro rozpocet'!H102</f>
        <v>35</v>
      </c>
      <c r="K27" s="1101">
        <f>'rozpis pro rozpocet'!E102</f>
        <v>4141</v>
      </c>
    </row>
    <row r="28" spans="1:11" ht="12.75">
      <c r="A28" s="986" t="s">
        <v>17</v>
      </c>
      <c r="B28" s="955">
        <v>61760</v>
      </c>
      <c r="C28" s="955">
        <v>30743.199999999997</v>
      </c>
      <c r="D28" s="955">
        <v>49324</v>
      </c>
      <c r="E28" s="955"/>
      <c r="F28" s="955">
        <v>367.48129924423165</v>
      </c>
      <c r="G28" s="987"/>
      <c r="I28" s="1097">
        <f>'rozpis pro rozpocet'!G103</f>
        <v>61760</v>
      </c>
      <c r="J28" s="1098">
        <f>'rozpis pro rozpocet'!H103</f>
        <v>30743.199999999997</v>
      </c>
      <c r="K28" s="1101">
        <f>'rozpis pro rozpocet'!E103</f>
        <v>49324</v>
      </c>
    </row>
    <row r="29" spans="1:11" ht="12.75">
      <c r="A29" s="986" t="s">
        <v>24</v>
      </c>
      <c r="B29" s="955">
        <v>32000</v>
      </c>
      <c r="C29" s="955">
        <v>20</v>
      </c>
      <c r="D29" s="955">
        <v>807</v>
      </c>
      <c r="E29" s="955"/>
      <c r="F29" s="955"/>
      <c r="G29" s="987"/>
      <c r="I29" s="1097">
        <f>'rozpis pro rozpocet'!G104</f>
        <v>32000</v>
      </c>
      <c r="J29" s="1098">
        <f>'rozpis pro rozpocet'!H104</f>
        <v>20</v>
      </c>
      <c r="K29" s="1101">
        <f>'rozpis pro rozpocet'!E104</f>
        <v>807</v>
      </c>
    </row>
    <row r="30" spans="1:11" ht="12.75">
      <c r="A30" s="986" t="s">
        <v>25</v>
      </c>
      <c r="B30" s="955">
        <v>9450</v>
      </c>
      <c r="C30" s="955">
        <v>230</v>
      </c>
      <c r="D30" s="955">
        <v>0</v>
      </c>
      <c r="E30" s="955"/>
      <c r="F30" s="955">
        <v>23159</v>
      </c>
      <c r="G30" s="987"/>
      <c r="I30" s="1097">
        <f>'rozpis pro rozpocet'!G105</f>
        <v>9450</v>
      </c>
      <c r="J30" s="1098">
        <f>'rozpis pro rozpocet'!H105</f>
        <v>230</v>
      </c>
      <c r="K30" s="1101">
        <f>'rozpis pro rozpocet'!E105</f>
        <v>0</v>
      </c>
    </row>
    <row r="31" spans="1:11" ht="12.75">
      <c r="A31" s="986" t="s">
        <v>18</v>
      </c>
      <c r="B31" s="955">
        <v>34058.739200000244</v>
      </c>
      <c r="C31" s="955">
        <f>'rozpis pro rozpocet'!H106+'rozpis pro rozpocet'!I106</f>
        <v>88856.8</v>
      </c>
      <c r="D31" s="955">
        <v>54424</v>
      </c>
      <c r="E31" s="956">
        <f>34383.1199999998</f>
        <v>34383.1199999998</v>
      </c>
      <c r="F31" s="955">
        <f>34395-G31</f>
        <v>22358</v>
      </c>
      <c r="G31" s="987">
        <v>12037</v>
      </c>
      <c r="I31" s="1097">
        <f>'rozpis pro rozpocet'!G106</f>
        <v>34058.739200000244</v>
      </c>
      <c r="J31" s="1098">
        <f>'rozpis pro rozpocet'!H106+'rozpis pro rozpocet'!I106</f>
        <v>88856.8</v>
      </c>
      <c r="K31" s="1101">
        <f>'rozpis pro rozpocet'!E106</f>
        <v>54424</v>
      </c>
    </row>
    <row r="32" spans="1:11" ht="13.5" thickBot="1">
      <c r="A32" s="988" t="s">
        <v>205</v>
      </c>
      <c r="B32" s="989">
        <f aca="true" t="shared" si="0" ref="B32:G32">SUM(B11:B31)</f>
        <v>1542794.3800000004</v>
      </c>
      <c r="C32" s="989">
        <f>SUM(C11:C31)</f>
        <v>177864</v>
      </c>
      <c r="D32" s="989">
        <f t="shared" si="0"/>
        <v>590751</v>
      </c>
      <c r="E32" s="989">
        <f t="shared" si="0"/>
        <v>34383.1199999998</v>
      </c>
      <c r="F32" s="989">
        <f t="shared" si="0"/>
        <v>97889.01999999999</v>
      </c>
      <c r="G32" s="990">
        <f t="shared" si="0"/>
        <v>12037</v>
      </c>
      <c r="I32" s="1473">
        <f>SUM(I11:I31)</f>
        <v>1542794.3800000004</v>
      </c>
      <c r="J32" s="1473">
        <f>SUM(J11:J31)</f>
        <v>177864</v>
      </c>
      <c r="K32" s="1473">
        <f>SUM(K11:K31)</f>
        <v>590751</v>
      </c>
    </row>
    <row r="34" spans="1:7" ht="12.75">
      <c r="A34" s="971" t="s">
        <v>438</v>
      </c>
      <c r="B34" s="955">
        <f>SUM(B35:B38)</f>
        <v>34058.739200000244</v>
      </c>
      <c r="C34" s="955">
        <f>SUM(C35:C38)</f>
        <v>88856.8</v>
      </c>
      <c r="D34" s="955">
        <f>SUM(D35:D38)</f>
        <v>54424</v>
      </c>
      <c r="E34" s="955">
        <f>SUM(E35:E38)</f>
        <v>34383.1199999998</v>
      </c>
      <c r="F34" s="955">
        <f>SUM(F35:F38)</f>
        <v>22358</v>
      </c>
      <c r="G34" s="955">
        <f>G31</f>
        <v>12037</v>
      </c>
    </row>
    <row r="35" spans="1:9" ht="12.75">
      <c r="A35" s="972" t="s">
        <v>454</v>
      </c>
      <c r="B35" s="973"/>
      <c r="C35" s="973"/>
      <c r="D35" s="973">
        <v>26574</v>
      </c>
      <c r="E35" s="973"/>
      <c r="F35" s="973"/>
      <c r="G35" s="973"/>
      <c r="I35" s="124"/>
    </row>
    <row r="36" spans="1:7" ht="12.75">
      <c r="A36" s="972" t="s">
        <v>455</v>
      </c>
      <c r="B36" s="973"/>
      <c r="C36" s="973"/>
      <c r="D36" s="973"/>
      <c r="E36" s="973"/>
      <c r="F36" s="973"/>
      <c r="G36" s="973">
        <v>12037</v>
      </c>
    </row>
    <row r="37" spans="1:7" ht="12.75">
      <c r="A37" s="972" t="s">
        <v>640</v>
      </c>
      <c r="B37" s="973"/>
      <c r="C37" s="973">
        <v>17500</v>
      </c>
      <c r="D37" s="973"/>
      <c r="E37" s="973"/>
      <c r="F37" s="973"/>
      <c r="G37" s="973"/>
    </row>
    <row r="38" spans="1:7" ht="12.75">
      <c r="A38" s="972" t="s">
        <v>641</v>
      </c>
      <c r="B38" s="973">
        <f>B31</f>
        <v>34058.739200000244</v>
      </c>
      <c r="C38" s="973">
        <f>C31-C37</f>
        <v>71356.8</v>
      </c>
      <c r="D38" s="973">
        <f>D31-D35</f>
        <v>27850</v>
      </c>
      <c r="E38" s="973">
        <f>E31-E35</f>
        <v>34383.1199999998</v>
      </c>
      <c r="F38" s="973">
        <f>F31-F35</f>
        <v>22358</v>
      </c>
      <c r="G38" s="973">
        <f>G34-G36</f>
        <v>0</v>
      </c>
    </row>
    <row r="41" ht="12.75">
      <c r="A41" s="980" t="s">
        <v>703</v>
      </c>
    </row>
  </sheetData>
  <sheetProtection/>
  <mergeCells count="1">
    <mergeCell ref="B9:C9"/>
  </mergeCells>
  <printOptions/>
  <pageMargins left="0.7" right="0.7" top="0.787401575" bottom="0.787401575" header="0.3" footer="0.3"/>
  <pageSetup horizontalDpi="600" verticalDpi="600" orientation="landscape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O197"/>
  <sheetViews>
    <sheetView showGridLines="0" zoomScalePageLayoutView="0" workbookViewId="0" topLeftCell="A1">
      <pane ySplit="5" topLeftCell="A6" activePane="bottomLeft" state="frozen"/>
      <selection pane="topLeft" activeCell="J26" sqref="J26"/>
      <selection pane="bottomLeft" activeCell="O1" sqref="O1:O16384"/>
    </sheetView>
  </sheetViews>
  <sheetFormatPr defaultColWidth="11.375" defaultRowHeight="12" customHeight="1" outlineLevelRow="1" outlineLevelCol="1"/>
  <cols>
    <col min="1" max="2" width="5.25390625" style="1139" customWidth="1"/>
    <col min="3" max="3" width="9.625" style="1140" customWidth="1"/>
    <col min="4" max="4" width="43.375" style="1127" customWidth="1"/>
    <col min="5" max="8" width="9.375" style="1398" hidden="1" customWidth="1" outlineLevel="1"/>
    <col min="9" max="9" width="10.625" style="1398" customWidth="1" collapsed="1"/>
    <col min="10" max="10" width="8.75390625" style="1438" hidden="1" customWidth="1"/>
    <col min="11" max="12" width="8.625" style="1439" hidden="1" customWidth="1"/>
    <col min="13" max="13" width="6.75390625" style="1139" hidden="1" customWidth="1"/>
    <col min="14" max="14" width="7.375" style="1437" hidden="1" customWidth="1"/>
    <col min="15" max="15" width="40.25390625" style="1133" hidden="1" customWidth="1"/>
    <col min="16" max="16384" width="11.375" style="1127" customWidth="1"/>
  </cols>
  <sheetData>
    <row r="1" spans="1:14" ht="15.75">
      <c r="A1" s="1124" t="s">
        <v>675</v>
      </c>
      <c r="B1" s="1125"/>
      <c r="C1" s="1126"/>
      <c r="E1" s="1128"/>
      <c r="F1" s="1128"/>
      <c r="G1" s="1128"/>
      <c r="H1" s="1128"/>
      <c r="I1" s="1128"/>
      <c r="J1" s="1129"/>
      <c r="K1" s="1130"/>
      <c r="L1" s="1130"/>
      <c r="M1" s="1131"/>
      <c r="N1" s="1132"/>
    </row>
    <row r="2" spans="1:14" ht="12" customHeight="1">
      <c r="A2" s="1134" t="s">
        <v>644</v>
      </c>
      <c r="B2" s="1135"/>
      <c r="C2" s="1136"/>
      <c r="D2" s="1130"/>
      <c r="E2" s="1137"/>
      <c r="F2" s="1137"/>
      <c r="G2" s="1137"/>
      <c r="H2" s="1137"/>
      <c r="I2" s="1137"/>
      <c r="J2" s="1129"/>
      <c r="K2" s="1130"/>
      <c r="L2" s="1130"/>
      <c r="M2" s="1130"/>
      <c r="N2" s="1138"/>
    </row>
    <row r="3" spans="5:14" ht="12" customHeight="1" thickBot="1">
      <c r="E3" s="1141"/>
      <c r="F3" s="1141"/>
      <c r="G3" s="1141"/>
      <c r="H3" s="1141"/>
      <c r="I3" s="1142"/>
      <c r="J3" s="1129"/>
      <c r="K3" s="1130"/>
      <c r="L3" s="1130"/>
      <c r="M3" s="1143"/>
      <c r="N3" s="1143"/>
    </row>
    <row r="4" spans="1:14" ht="12" customHeight="1">
      <c r="A4" s="1144"/>
      <c r="B4" s="1145"/>
      <c r="C4" s="1146"/>
      <c r="D4" s="1147"/>
      <c r="E4" s="1148" t="s">
        <v>26</v>
      </c>
      <c r="F4" s="1148" t="s">
        <v>26</v>
      </c>
      <c r="G4" s="1149" t="s">
        <v>26</v>
      </c>
      <c r="H4" s="1150" t="s">
        <v>26</v>
      </c>
      <c r="I4" s="1151" t="s">
        <v>26</v>
      </c>
      <c r="J4" s="1152" t="s">
        <v>540</v>
      </c>
      <c r="K4" s="1145" t="s">
        <v>537</v>
      </c>
      <c r="L4" s="1153" t="s">
        <v>538</v>
      </c>
      <c r="M4" s="1154"/>
      <c r="N4" s="1155"/>
    </row>
    <row r="5" spans="1:14" ht="12" customHeight="1" thickBot="1">
      <c r="A5" s="1156" t="s">
        <v>27</v>
      </c>
      <c r="B5" s="1157" t="s">
        <v>543</v>
      </c>
      <c r="C5" s="1158" t="s">
        <v>544</v>
      </c>
      <c r="D5" s="1159" t="s">
        <v>28</v>
      </c>
      <c r="E5" s="1160">
        <v>2012</v>
      </c>
      <c r="F5" s="1160">
        <v>2013</v>
      </c>
      <c r="G5" s="1161">
        <v>2014</v>
      </c>
      <c r="H5" s="1162">
        <v>2015</v>
      </c>
      <c r="I5" s="1163">
        <v>2016</v>
      </c>
      <c r="J5" s="1218">
        <f>'pom2 - Poměr VaV'!K31</f>
        <v>0.36</v>
      </c>
      <c r="K5" s="1164">
        <v>2112</v>
      </c>
      <c r="L5" s="1165">
        <v>1112</v>
      </c>
      <c r="M5" s="1166" t="s">
        <v>523</v>
      </c>
      <c r="N5" s="1167" t="s">
        <v>539</v>
      </c>
    </row>
    <row r="6" spans="1:14" ht="12" customHeight="1">
      <c r="A6" s="1168" t="s">
        <v>546</v>
      </c>
      <c r="B6" s="1169" t="s">
        <v>271</v>
      </c>
      <c r="C6" s="1170" t="s">
        <v>16</v>
      </c>
      <c r="D6" s="1171" t="s">
        <v>169</v>
      </c>
      <c r="E6" s="1172">
        <f>E7+E12+E13+E26</f>
        <v>245687</v>
      </c>
      <c r="F6" s="1172">
        <f>F7+F12+F13+F26</f>
        <v>208965</v>
      </c>
      <c r="G6" s="1173">
        <f>G7+G12+G13+G26</f>
        <v>185010</v>
      </c>
      <c r="H6" s="1174">
        <f>H7+H12+H13+H26</f>
        <v>152894</v>
      </c>
      <c r="I6" s="1173">
        <f>I7+I12+I13+I26</f>
        <v>95056</v>
      </c>
      <c r="J6" s="1175"/>
      <c r="K6" s="1176">
        <f>K7+K12+K13+K26</f>
        <v>1911.6</v>
      </c>
      <c r="L6" s="1173">
        <f>L7+L12+L13+L26</f>
        <v>93144.4</v>
      </c>
      <c r="M6" s="1174"/>
      <c r="N6" s="1173"/>
    </row>
    <row r="7" spans="1:14" ht="12" customHeight="1">
      <c r="A7" s="1177">
        <v>1</v>
      </c>
      <c r="B7" s="1178" t="s">
        <v>271</v>
      </c>
      <c r="C7" s="1179"/>
      <c r="D7" s="1180" t="s">
        <v>156</v>
      </c>
      <c r="E7" s="1181">
        <f>SUM(E9:E11)</f>
        <v>234531</v>
      </c>
      <c r="F7" s="1181">
        <f>SUM(F9:F11)</f>
        <v>204450</v>
      </c>
      <c r="G7" s="1182">
        <f aca="true" t="shared" si="0" ref="G7:L7">SUM(G8:G11)</f>
        <v>179862</v>
      </c>
      <c r="H7" s="1183">
        <f t="shared" si="0"/>
        <v>144151</v>
      </c>
      <c r="I7" s="1182">
        <f>SUM(I8:I11)</f>
        <v>88000</v>
      </c>
      <c r="J7" s="1184">
        <f t="shared" si="0"/>
        <v>0</v>
      </c>
      <c r="K7" s="1185">
        <f t="shared" si="0"/>
        <v>0</v>
      </c>
      <c r="L7" s="1182">
        <f t="shared" si="0"/>
        <v>88000</v>
      </c>
      <c r="M7" s="1183"/>
      <c r="N7" s="1185"/>
    </row>
    <row r="8" spans="1:15" ht="12" customHeight="1" outlineLevel="1">
      <c r="A8" s="1186" t="s">
        <v>147</v>
      </c>
      <c r="B8" s="1187" t="s">
        <v>271</v>
      </c>
      <c r="C8" s="1188" t="s">
        <v>545</v>
      </c>
      <c r="D8" s="1189" t="s">
        <v>99</v>
      </c>
      <c r="E8" s="1190"/>
      <c r="F8" s="1190"/>
      <c r="G8" s="1191">
        <v>0</v>
      </c>
      <c r="H8" s="1192"/>
      <c r="I8" s="1193"/>
      <c r="J8" s="1194"/>
      <c r="K8" s="1195"/>
      <c r="L8" s="1196">
        <f>I8-K8</f>
        <v>0</v>
      </c>
      <c r="M8" s="1197"/>
      <c r="N8" s="1198"/>
      <c r="O8" s="1451"/>
    </row>
    <row r="9" spans="1:15" ht="12" customHeight="1" outlineLevel="1">
      <c r="A9" s="1186" t="s">
        <v>148</v>
      </c>
      <c r="B9" s="1187" t="s">
        <v>271</v>
      </c>
      <c r="C9" s="1188" t="s">
        <v>545</v>
      </c>
      <c r="D9" s="1189" t="s">
        <v>157</v>
      </c>
      <c r="E9" s="1190">
        <v>122531</v>
      </c>
      <c r="F9" s="1190">
        <v>91450</v>
      </c>
      <c r="G9" s="1191">
        <v>41862</v>
      </c>
      <c r="H9" s="1192">
        <v>14751</v>
      </c>
      <c r="I9" s="1193"/>
      <c r="J9" s="1194"/>
      <c r="K9" s="1195"/>
      <c r="L9" s="1196">
        <f>I9-K9</f>
        <v>0</v>
      </c>
      <c r="M9" s="1197"/>
      <c r="N9" s="1198"/>
      <c r="O9" s="1199"/>
    </row>
    <row r="10" spans="1:15" ht="12" customHeight="1" outlineLevel="1">
      <c r="A10" s="1186" t="s">
        <v>158</v>
      </c>
      <c r="B10" s="1187" t="s">
        <v>271</v>
      </c>
      <c r="C10" s="1188" t="s">
        <v>545</v>
      </c>
      <c r="D10" s="1189" t="s">
        <v>306</v>
      </c>
      <c r="E10" s="1190">
        <v>87000</v>
      </c>
      <c r="F10" s="1190">
        <v>88000</v>
      </c>
      <c r="G10" s="1191">
        <v>88000</v>
      </c>
      <c r="H10" s="1192">
        <v>88000</v>
      </c>
      <c r="I10" s="1193">
        <v>88000</v>
      </c>
      <c r="J10" s="1194"/>
      <c r="K10" s="1195"/>
      <c r="L10" s="1196">
        <f>I10-K10</f>
        <v>88000</v>
      </c>
      <c r="M10" s="1197"/>
      <c r="N10" s="1198"/>
      <c r="O10" s="1199"/>
    </row>
    <row r="11" spans="1:15" ht="12" customHeight="1" outlineLevel="1">
      <c r="A11" s="1186" t="s">
        <v>159</v>
      </c>
      <c r="B11" s="1187" t="s">
        <v>271</v>
      </c>
      <c r="C11" s="1188" t="s">
        <v>545</v>
      </c>
      <c r="D11" s="1189" t="s">
        <v>216</v>
      </c>
      <c r="E11" s="1200">
        <v>25000</v>
      </c>
      <c r="F11" s="1200">
        <v>25000</v>
      </c>
      <c r="G11" s="1201">
        <v>50000</v>
      </c>
      <c r="H11" s="1192">
        <v>41400</v>
      </c>
      <c r="I11" s="1193"/>
      <c r="J11" s="1194"/>
      <c r="K11" s="1195"/>
      <c r="L11" s="1196">
        <f>I11-K11</f>
        <v>0</v>
      </c>
      <c r="M11" s="1197"/>
      <c r="N11" s="1198"/>
      <c r="O11" s="1199"/>
    </row>
    <row r="12" spans="1:15" ht="12" customHeight="1">
      <c r="A12" s="1177">
        <v>2</v>
      </c>
      <c r="B12" s="1178" t="s">
        <v>271</v>
      </c>
      <c r="C12" s="1179"/>
      <c r="D12" s="1180" t="s">
        <v>100</v>
      </c>
      <c r="E12" s="1181"/>
      <c r="F12" s="1181"/>
      <c r="G12" s="1182"/>
      <c r="H12" s="1183"/>
      <c r="I12" s="1182">
        <v>0</v>
      </c>
      <c r="J12" s="1202"/>
      <c r="K12" s="1185"/>
      <c r="L12" s="1182">
        <v>0</v>
      </c>
      <c r="M12" s="1183"/>
      <c r="N12" s="1185"/>
      <c r="O12" s="1199"/>
    </row>
    <row r="13" spans="1:15" ht="12" customHeight="1">
      <c r="A13" s="1177">
        <v>3</v>
      </c>
      <c r="B13" s="1178" t="s">
        <v>271</v>
      </c>
      <c r="C13" s="1179"/>
      <c r="D13" s="1180" t="s">
        <v>239</v>
      </c>
      <c r="E13" s="1203">
        <f>SUM(E15:E25)</f>
        <v>10156</v>
      </c>
      <c r="F13" s="1203">
        <f>SUM(F15:F25)</f>
        <v>4515</v>
      </c>
      <c r="G13" s="1204">
        <f>SUM(G14:G25)</f>
        <v>5148</v>
      </c>
      <c r="H13" s="1205">
        <f>SUM(H14:H25)</f>
        <v>5143</v>
      </c>
      <c r="I13" s="1204">
        <f>SUM(I14:I25)</f>
        <v>7056</v>
      </c>
      <c r="J13" s="1206"/>
      <c r="K13" s="1206">
        <f>SUM(K14:K25)</f>
        <v>1911.6</v>
      </c>
      <c r="L13" s="1204">
        <f>SUM(L14:L25)</f>
        <v>5144.4</v>
      </c>
      <c r="M13" s="1205"/>
      <c r="N13" s="1206"/>
      <c r="O13" s="1199"/>
    </row>
    <row r="14" spans="1:15" ht="12" customHeight="1" outlineLevel="1">
      <c r="A14" s="1207" t="s">
        <v>439</v>
      </c>
      <c r="B14" s="1187" t="s">
        <v>271</v>
      </c>
      <c r="C14" s="1188" t="s">
        <v>547</v>
      </c>
      <c r="D14" s="1208" t="s">
        <v>564</v>
      </c>
      <c r="E14" s="1209"/>
      <c r="F14" s="1209"/>
      <c r="G14" s="1210"/>
      <c r="H14" s="1211"/>
      <c r="I14" s="1212"/>
      <c r="J14" s="1194"/>
      <c r="K14" s="1195">
        <f aca="true" t="shared" si="1" ref="K14:K26">I14*J14</f>
        <v>0</v>
      </c>
      <c r="L14" s="1196">
        <f aca="true" t="shared" si="2" ref="L14:L25">I14-K14</f>
        <v>0</v>
      </c>
      <c r="M14" s="1213"/>
      <c r="N14" s="1214"/>
      <c r="O14" s="1199"/>
    </row>
    <row r="15" spans="1:15" ht="12" customHeight="1" outlineLevel="1">
      <c r="A15" s="1207" t="s">
        <v>440</v>
      </c>
      <c r="B15" s="1187" t="s">
        <v>271</v>
      </c>
      <c r="C15" s="1188" t="s">
        <v>556</v>
      </c>
      <c r="D15" s="1208" t="s">
        <v>564</v>
      </c>
      <c r="E15" s="1209"/>
      <c r="F15" s="1209"/>
      <c r="G15" s="1210"/>
      <c r="H15" s="1211"/>
      <c r="I15" s="1212"/>
      <c r="J15" s="1194"/>
      <c r="K15" s="1195">
        <f t="shared" si="1"/>
        <v>0</v>
      </c>
      <c r="L15" s="1196">
        <f t="shared" si="2"/>
        <v>0</v>
      </c>
      <c r="M15" s="1213"/>
      <c r="N15" s="1214"/>
      <c r="O15" s="1199"/>
    </row>
    <row r="16" spans="1:15" ht="12" customHeight="1" outlineLevel="1">
      <c r="A16" s="1207" t="s">
        <v>441</v>
      </c>
      <c r="B16" s="1187" t="s">
        <v>271</v>
      </c>
      <c r="C16" s="1188" t="s">
        <v>548</v>
      </c>
      <c r="D16" s="1208" t="s">
        <v>564</v>
      </c>
      <c r="E16" s="1209"/>
      <c r="F16" s="1209"/>
      <c r="G16" s="1210"/>
      <c r="H16" s="1211"/>
      <c r="I16" s="1212"/>
      <c r="J16" s="1194"/>
      <c r="K16" s="1195">
        <f t="shared" si="1"/>
        <v>0</v>
      </c>
      <c r="L16" s="1196">
        <f t="shared" si="2"/>
        <v>0</v>
      </c>
      <c r="M16" s="1213"/>
      <c r="N16" s="1214"/>
      <c r="O16" s="1199"/>
    </row>
    <row r="17" spans="1:15" ht="12" customHeight="1" outlineLevel="1">
      <c r="A17" s="1207" t="s">
        <v>442</v>
      </c>
      <c r="B17" s="1187" t="s">
        <v>271</v>
      </c>
      <c r="C17" s="1188" t="s">
        <v>557</v>
      </c>
      <c r="D17" s="1208" t="s">
        <v>564</v>
      </c>
      <c r="E17" s="1209"/>
      <c r="F17" s="1209"/>
      <c r="G17" s="1210"/>
      <c r="H17" s="1211"/>
      <c r="I17" s="1212"/>
      <c r="J17" s="1194"/>
      <c r="K17" s="1195">
        <f t="shared" si="1"/>
        <v>0</v>
      </c>
      <c r="L17" s="1196">
        <f t="shared" si="2"/>
        <v>0</v>
      </c>
      <c r="M17" s="1213"/>
      <c r="N17" s="1214"/>
      <c r="O17" s="1199"/>
    </row>
    <row r="18" spans="1:15" ht="12" customHeight="1" outlineLevel="1">
      <c r="A18" s="1207" t="s">
        <v>443</v>
      </c>
      <c r="B18" s="1187" t="s">
        <v>271</v>
      </c>
      <c r="C18" s="1188" t="s">
        <v>549</v>
      </c>
      <c r="D18" s="1208" t="s">
        <v>564</v>
      </c>
      <c r="E18" s="1209">
        <v>627</v>
      </c>
      <c r="F18" s="1209">
        <v>745</v>
      </c>
      <c r="G18" s="1210">
        <v>704</v>
      </c>
      <c r="H18" s="1215">
        <v>704</v>
      </c>
      <c r="I18" s="1212">
        <v>651</v>
      </c>
      <c r="J18" s="1194"/>
      <c r="K18" s="1195">
        <f t="shared" si="1"/>
        <v>0</v>
      </c>
      <c r="L18" s="1196">
        <f t="shared" si="2"/>
        <v>651</v>
      </c>
      <c r="M18" s="1216"/>
      <c r="N18" s="1217"/>
      <c r="O18" s="1199"/>
    </row>
    <row r="19" spans="1:15" ht="12" customHeight="1" outlineLevel="1">
      <c r="A19" s="1207" t="s">
        <v>444</v>
      </c>
      <c r="B19" s="1187" t="s">
        <v>271</v>
      </c>
      <c r="C19" s="1188" t="s">
        <v>550</v>
      </c>
      <c r="D19" s="1208" t="s">
        <v>564</v>
      </c>
      <c r="E19" s="1209">
        <v>28</v>
      </c>
      <c r="F19" s="1209">
        <v>28</v>
      </c>
      <c r="G19" s="1210">
        <v>26</v>
      </c>
      <c r="H19" s="1211">
        <v>10</v>
      </c>
      <c r="I19" s="1212"/>
      <c r="J19" s="1194"/>
      <c r="K19" s="1195">
        <f t="shared" si="1"/>
        <v>0</v>
      </c>
      <c r="L19" s="1196">
        <f t="shared" si="2"/>
        <v>0</v>
      </c>
      <c r="M19" s="1213"/>
      <c r="N19" s="1214"/>
      <c r="O19" s="1199"/>
    </row>
    <row r="20" spans="1:15" ht="12" customHeight="1" outlineLevel="1">
      <c r="A20" s="1207" t="s">
        <v>445</v>
      </c>
      <c r="B20" s="1187" t="s">
        <v>271</v>
      </c>
      <c r="C20" s="1188" t="s">
        <v>551</v>
      </c>
      <c r="D20" s="1208" t="s">
        <v>564</v>
      </c>
      <c r="E20" s="1209"/>
      <c r="F20" s="1209"/>
      <c r="G20" s="1210">
        <v>0</v>
      </c>
      <c r="H20" s="1211"/>
      <c r="I20" s="1212"/>
      <c r="J20" s="1194"/>
      <c r="K20" s="1195">
        <f t="shared" si="1"/>
        <v>0</v>
      </c>
      <c r="L20" s="1196">
        <f t="shared" si="2"/>
        <v>0</v>
      </c>
      <c r="M20" s="1213"/>
      <c r="N20" s="1214"/>
      <c r="O20" s="1199"/>
    </row>
    <row r="21" spans="1:15" ht="12" customHeight="1" outlineLevel="1">
      <c r="A21" s="1207" t="s">
        <v>446</v>
      </c>
      <c r="B21" s="1187" t="s">
        <v>271</v>
      </c>
      <c r="C21" s="1188" t="s">
        <v>552</v>
      </c>
      <c r="D21" s="1208" t="s">
        <v>564</v>
      </c>
      <c r="E21" s="1209"/>
      <c r="F21" s="1209">
        <v>97</v>
      </c>
      <c r="G21" s="1210">
        <v>99</v>
      </c>
      <c r="H21" s="1211">
        <v>125</v>
      </c>
      <c r="I21" s="1212">
        <v>125</v>
      </c>
      <c r="J21" s="1218">
        <f>J162</f>
        <v>0.72</v>
      </c>
      <c r="K21" s="1195">
        <f t="shared" si="1"/>
        <v>90</v>
      </c>
      <c r="L21" s="1196">
        <f t="shared" si="2"/>
        <v>35</v>
      </c>
      <c r="M21" s="1213"/>
      <c r="N21" s="1214"/>
      <c r="O21" s="1199" t="s">
        <v>650</v>
      </c>
    </row>
    <row r="22" spans="1:15" ht="12" customHeight="1" outlineLevel="1">
      <c r="A22" s="1207" t="s">
        <v>447</v>
      </c>
      <c r="B22" s="1187" t="s">
        <v>271</v>
      </c>
      <c r="C22" s="1188" t="s">
        <v>553</v>
      </c>
      <c r="D22" s="1208" t="s">
        <v>564</v>
      </c>
      <c r="E22" s="1209">
        <v>8457</v>
      </c>
      <c r="F22" s="1209">
        <v>2861</v>
      </c>
      <c r="G22" s="1210">
        <v>3428</v>
      </c>
      <c r="H22" s="1211">
        <v>3428</v>
      </c>
      <c r="I22" s="1212">
        <v>5060</v>
      </c>
      <c r="J22" s="1218">
        <f>$J$5</f>
        <v>0.36</v>
      </c>
      <c r="K22" s="1195">
        <f t="shared" si="1"/>
        <v>1821.6</v>
      </c>
      <c r="L22" s="1196">
        <f t="shared" si="2"/>
        <v>3238.4</v>
      </c>
      <c r="M22" s="1213"/>
      <c r="N22" s="1214"/>
      <c r="O22" s="1199" t="s">
        <v>17</v>
      </c>
    </row>
    <row r="23" spans="1:15" ht="12" customHeight="1" outlineLevel="1">
      <c r="A23" s="1207" t="s">
        <v>448</v>
      </c>
      <c r="B23" s="1187" t="s">
        <v>271</v>
      </c>
      <c r="C23" s="1188" t="s">
        <v>554</v>
      </c>
      <c r="D23" s="1208" t="s">
        <v>564</v>
      </c>
      <c r="E23" s="1219">
        <v>155</v>
      </c>
      <c r="F23" s="1219">
        <v>332</v>
      </c>
      <c r="G23" s="1220">
        <v>41</v>
      </c>
      <c r="H23" s="1215">
        <v>26</v>
      </c>
      <c r="I23" s="1212">
        <v>20</v>
      </c>
      <c r="J23" s="1194"/>
      <c r="K23" s="1195">
        <f t="shared" si="1"/>
        <v>0</v>
      </c>
      <c r="L23" s="1196">
        <f t="shared" si="2"/>
        <v>20</v>
      </c>
      <c r="M23" s="1216"/>
      <c r="N23" s="1217"/>
      <c r="O23" s="1199"/>
    </row>
    <row r="24" spans="1:15" ht="12" customHeight="1" outlineLevel="1">
      <c r="A24" s="1207" t="s">
        <v>449</v>
      </c>
      <c r="B24" s="1187" t="s">
        <v>271</v>
      </c>
      <c r="C24" s="1188" t="s">
        <v>555</v>
      </c>
      <c r="D24" s="1208" t="s">
        <v>564</v>
      </c>
      <c r="E24" s="1209">
        <v>59</v>
      </c>
      <c r="F24" s="1209">
        <v>8</v>
      </c>
      <c r="G24" s="1210">
        <v>0</v>
      </c>
      <c r="H24" s="1211"/>
      <c r="I24" s="1212"/>
      <c r="J24" s="1194"/>
      <c r="K24" s="1195">
        <f t="shared" si="1"/>
        <v>0</v>
      </c>
      <c r="L24" s="1196">
        <f t="shared" si="2"/>
        <v>0</v>
      </c>
      <c r="M24" s="1213"/>
      <c r="N24" s="1214"/>
      <c r="O24" s="1199"/>
    </row>
    <row r="25" spans="1:15" ht="12" customHeight="1" outlineLevel="1">
      <c r="A25" s="1207" t="s">
        <v>450</v>
      </c>
      <c r="B25" s="1187" t="s">
        <v>271</v>
      </c>
      <c r="C25" s="1188" t="s">
        <v>545</v>
      </c>
      <c r="D25" s="1208" t="s">
        <v>564</v>
      </c>
      <c r="E25" s="1209">
        <v>830</v>
      </c>
      <c r="F25" s="1209">
        <v>444</v>
      </c>
      <c r="G25" s="1210">
        <v>850</v>
      </c>
      <c r="H25" s="1211">
        <v>850</v>
      </c>
      <c r="I25" s="1212">
        <v>1200</v>
      </c>
      <c r="J25" s="1194"/>
      <c r="K25" s="1195">
        <f t="shared" si="1"/>
        <v>0</v>
      </c>
      <c r="L25" s="1196">
        <f t="shared" si="2"/>
        <v>1200</v>
      </c>
      <c r="M25" s="1213"/>
      <c r="N25" s="1214"/>
      <c r="O25" s="1199"/>
    </row>
    <row r="26" spans="1:15" s="1374" customFormat="1" ht="12" customHeight="1" thickBot="1">
      <c r="A26" s="1221">
        <v>4</v>
      </c>
      <c r="B26" s="1222" t="s">
        <v>271</v>
      </c>
      <c r="C26" s="1223" t="s">
        <v>545</v>
      </c>
      <c r="D26" s="1223" t="s">
        <v>240</v>
      </c>
      <c r="E26" s="1224">
        <v>1000</v>
      </c>
      <c r="F26" s="1224"/>
      <c r="G26" s="1225">
        <v>0</v>
      </c>
      <c r="H26" s="1226">
        <v>3600</v>
      </c>
      <c r="I26" s="1227"/>
      <c r="J26" s="1228"/>
      <c r="K26" s="1228">
        <f t="shared" si="1"/>
        <v>0</v>
      </c>
      <c r="L26" s="1225">
        <f>I26-K26</f>
        <v>0</v>
      </c>
      <c r="M26" s="1226"/>
      <c r="N26" s="1228"/>
      <c r="O26" s="1372" t="s">
        <v>639</v>
      </c>
    </row>
    <row r="27" spans="1:14" ht="12" customHeight="1">
      <c r="A27" s="1229" t="s">
        <v>546</v>
      </c>
      <c r="B27" s="1230" t="s">
        <v>342</v>
      </c>
      <c r="C27" s="1231" t="s">
        <v>16</v>
      </c>
      <c r="D27" s="1232" t="s">
        <v>645</v>
      </c>
      <c r="E27" s="1233">
        <f>E90+E93+E96+E100+E103+E107+E109+E112+E114+E116+E123+E125+E127+E129+E151+E153</f>
        <v>143195</v>
      </c>
      <c r="F27" s="1233">
        <f>F90+F93+F96+F100+F103+F107+F109+F112+F114+F116+F123+F125+F127+F129+F151+F153</f>
        <v>157838</v>
      </c>
      <c r="G27" s="1234">
        <f>G90+G93+G96+G100+G103+G107+G109+G112+G114+G116+G123+G125+G127+G129+G151+G153</f>
        <v>160930</v>
      </c>
      <c r="H27" s="1235">
        <f>H90+H93+H96+H100+H103+H107+H109+H112+H114+H116+H123+H125+H127+H129+H151+H153</f>
        <v>193409</v>
      </c>
      <c r="I27" s="1234">
        <f>I90+I93+I96+I100+I103+I107+I109+I112+I114+I116+I123+I125+I127+I129+I151+I153</f>
        <v>192832</v>
      </c>
      <c r="J27" s="1236"/>
      <c r="K27" s="1237">
        <f>K90+K93+K96+K100+K103+K107+K109+K112+K114+K116+K123+K125+K127+K129+K151+K153</f>
        <v>20112.4</v>
      </c>
      <c r="L27" s="1238">
        <f>L90+L93+L96+L100+L103+L107+L109+L112+L114+L116+L123+L125+L127+L129+L151+L153</f>
        <v>172719.59999999998</v>
      </c>
      <c r="M27" s="1239"/>
      <c r="N27" s="1240"/>
    </row>
    <row r="28" spans="1:15" ht="12" customHeight="1">
      <c r="A28" s="1241">
        <v>1</v>
      </c>
      <c r="B28" s="1242" t="s">
        <v>342</v>
      </c>
      <c r="C28" s="1188" t="s">
        <v>545</v>
      </c>
      <c r="D28" s="1189" t="s">
        <v>87</v>
      </c>
      <c r="E28" s="1243">
        <v>2900</v>
      </c>
      <c r="F28" s="1243">
        <v>4100</v>
      </c>
      <c r="G28" s="1191">
        <v>3800</v>
      </c>
      <c r="H28" s="1192">
        <v>4000</v>
      </c>
      <c r="I28" s="1193">
        <v>4000</v>
      </c>
      <c r="J28" s="1218">
        <f>$J$5</f>
        <v>0.36</v>
      </c>
      <c r="K28" s="1195">
        <f aca="true" t="shared" si="3" ref="K28:K83">I28*J28</f>
        <v>1440</v>
      </c>
      <c r="L28" s="1196">
        <f aca="true" t="shared" si="4" ref="L28:L69">I28-K28</f>
        <v>2560</v>
      </c>
      <c r="M28" s="1244" t="s">
        <v>619</v>
      </c>
      <c r="N28" s="1245" t="s">
        <v>217</v>
      </c>
      <c r="O28" s="1452"/>
    </row>
    <row r="29" spans="1:15" s="1141" customFormat="1" ht="12" customHeight="1">
      <c r="A29" s="1241">
        <f>A28+1</f>
        <v>2</v>
      </c>
      <c r="B29" s="1242" t="s">
        <v>342</v>
      </c>
      <c r="C29" s="1188" t="s">
        <v>545</v>
      </c>
      <c r="D29" s="1246" t="s">
        <v>86</v>
      </c>
      <c r="E29" s="1243">
        <v>800</v>
      </c>
      <c r="F29" s="1243">
        <v>1200</v>
      </c>
      <c r="G29" s="1191">
        <v>1200</v>
      </c>
      <c r="H29" s="1192">
        <v>1500</v>
      </c>
      <c r="I29" s="1193">
        <v>1400</v>
      </c>
      <c r="J29" s="1218">
        <f>$J$5</f>
        <v>0.36</v>
      </c>
      <c r="K29" s="1195">
        <f t="shared" si="3"/>
        <v>504</v>
      </c>
      <c r="L29" s="1196">
        <f t="shared" si="4"/>
        <v>896</v>
      </c>
      <c r="M29" s="1244" t="s">
        <v>620</v>
      </c>
      <c r="N29" s="1245" t="s">
        <v>524</v>
      </c>
      <c r="O29" s="1453" t="s">
        <v>654</v>
      </c>
    </row>
    <row r="30" spans="1:15" ht="12" customHeight="1">
      <c r="A30" s="1241">
        <f aca="true" t="shared" si="5" ref="A30:A35">A29+1</f>
        <v>3</v>
      </c>
      <c r="B30" s="1242" t="s">
        <v>342</v>
      </c>
      <c r="C30" s="1188" t="s">
        <v>545</v>
      </c>
      <c r="D30" s="1246" t="s">
        <v>617</v>
      </c>
      <c r="E30" s="1247">
        <v>1000</v>
      </c>
      <c r="F30" s="1247"/>
      <c r="G30" s="1201"/>
      <c r="H30" s="1192"/>
      <c r="I30" s="1193"/>
      <c r="J30" s="1194"/>
      <c r="K30" s="1195">
        <f>I30*J30</f>
        <v>0</v>
      </c>
      <c r="L30" s="1196">
        <f>I30-K30</f>
        <v>0</v>
      </c>
      <c r="M30" s="1244" t="s">
        <v>618</v>
      </c>
      <c r="N30" s="1245" t="s">
        <v>217</v>
      </c>
      <c r="O30" s="1454"/>
    </row>
    <row r="31" spans="1:15" ht="12" customHeight="1">
      <c r="A31" s="1241">
        <f t="shared" si="5"/>
        <v>4</v>
      </c>
      <c r="B31" s="1242" t="s">
        <v>342</v>
      </c>
      <c r="C31" s="1188" t="s">
        <v>545</v>
      </c>
      <c r="D31" s="1246" t="s">
        <v>77</v>
      </c>
      <c r="E31" s="1247">
        <v>864</v>
      </c>
      <c r="F31" s="1247">
        <v>550</v>
      </c>
      <c r="G31" s="1201">
        <v>600</v>
      </c>
      <c r="H31" s="1192">
        <v>1000</v>
      </c>
      <c r="I31" s="1193">
        <v>1000</v>
      </c>
      <c r="J31" s="1194"/>
      <c r="K31" s="1195">
        <f t="shared" si="3"/>
        <v>0</v>
      </c>
      <c r="L31" s="1196">
        <f t="shared" si="4"/>
        <v>1000</v>
      </c>
      <c r="M31" s="1244" t="s">
        <v>458</v>
      </c>
      <c r="N31" s="1245" t="s">
        <v>217</v>
      </c>
      <c r="O31" s="1454"/>
    </row>
    <row r="32" spans="1:15" ht="12" customHeight="1">
      <c r="A32" s="1241">
        <f t="shared" si="5"/>
        <v>5</v>
      </c>
      <c r="B32" s="1242" t="s">
        <v>342</v>
      </c>
      <c r="C32" s="1188" t="s">
        <v>545</v>
      </c>
      <c r="D32" s="1189" t="s">
        <v>144</v>
      </c>
      <c r="E32" s="1247">
        <v>10000</v>
      </c>
      <c r="F32" s="1247">
        <v>10000</v>
      </c>
      <c r="G32" s="1201">
        <v>10000</v>
      </c>
      <c r="H32" s="1192">
        <v>6400</v>
      </c>
      <c r="I32" s="1193">
        <v>6000</v>
      </c>
      <c r="J32" s="1218">
        <f>$J$5</f>
        <v>0.36</v>
      </c>
      <c r="K32" s="1195">
        <f t="shared" si="3"/>
        <v>2160</v>
      </c>
      <c r="L32" s="1196">
        <f t="shared" si="4"/>
        <v>3840</v>
      </c>
      <c r="M32" s="1244" t="s">
        <v>459</v>
      </c>
      <c r="N32" s="1245" t="s">
        <v>218</v>
      </c>
      <c r="O32" s="1454"/>
    </row>
    <row r="33" spans="1:15" ht="12" customHeight="1">
      <c r="A33" s="1241">
        <f t="shared" si="5"/>
        <v>6</v>
      </c>
      <c r="B33" s="1242" t="s">
        <v>342</v>
      </c>
      <c r="C33" s="1188" t="s">
        <v>545</v>
      </c>
      <c r="D33" s="1189" t="s">
        <v>621</v>
      </c>
      <c r="E33" s="1247">
        <v>250</v>
      </c>
      <c r="F33" s="1247"/>
      <c r="G33" s="1201"/>
      <c r="H33" s="1192"/>
      <c r="I33" s="1193"/>
      <c r="J33" s="1194"/>
      <c r="K33" s="1195">
        <f t="shared" si="3"/>
        <v>0</v>
      </c>
      <c r="L33" s="1196">
        <f t="shared" si="4"/>
        <v>0</v>
      </c>
      <c r="M33" s="1244" t="s">
        <v>622</v>
      </c>
      <c r="N33" s="1245" t="s">
        <v>217</v>
      </c>
      <c r="O33" s="1455"/>
    </row>
    <row r="34" spans="1:15" ht="12" customHeight="1">
      <c r="A34" s="1241">
        <f t="shared" si="5"/>
        <v>7</v>
      </c>
      <c r="B34" s="1242" t="s">
        <v>342</v>
      </c>
      <c r="C34" s="1188" t="s">
        <v>545</v>
      </c>
      <c r="D34" s="1246" t="s">
        <v>78</v>
      </c>
      <c r="E34" s="1247">
        <v>2430</v>
      </c>
      <c r="F34" s="1190">
        <v>2430</v>
      </c>
      <c r="G34" s="1191">
        <v>2430</v>
      </c>
      <c r="H34" s="1192">
        <v>2430</v>
      </c>
      <c r="I34" s="1193">
        <v>2430</v>
      </c>
      <c r="J34" s="1194"/>
      <c r="K34" s="1195">
        <f t="shared" si="3"/>
        <v>0</v>
      </c>
      <c r="L34" s="1196">
        <f t="shared" si="4"/>
        <v>2430</v>
      </c>
      <c r="M34" s="1244" t="s">
        <v>460</v>
      </c>
      <c r="N34" s="1245" t="s">
        <v>524</v>
      </c>
      <c r="O34" s="1454"/>
    </row>
    <row r="35" spans="1:15" ht="12" customHeight="1">
      <c r="A35" s="1241">
        <f t="shared" si="5"/>
        <v>8</v>
      </c>
      <c r="B35" s="1242" t="s">
        <v>342</v>
      </c>
      <c r="C35" s="1188" t="s">
        <v>545</v>
      </c>
      <c r="D35" s="1189" t="s">
        <v>307</v>
      </c>
      <c r="E35" s="1247">
        <v>200</v>
      </c>
      <c r="F35" s="1190">
        <v>750</v>
      </c>
      <c r="G35" s="1191">
        <v>550</v>
      </c>
      <c r="H35" s="1192">
        <v>500</v>
      </c>
      <c r="I35" s="1193">
        <v>450</v>
      </c>
      <c r="J35" s="1194"/>
      <c r="K35" s="1195">
        <f t="shared" si="3"/>
        <v>0</v>
      </c>
      <c r="L35" s="1196">
        <f t="shared" si="4"/>
        <v>450</v>
      </c>
      <c r="M35" s="1244" t="s">
        <v>461</v>
      </c>
      <c r="N35" s="1245" t="s">
        <v>220</v>
      </c>
      <c r="O35" s="1454"/>
    </row>
    <row r="36" spans="1:15" ht="12" customHeight="1">
      <c r="A36" s="1241">
        <f aca="true" t="shared" si="6" ref="A36:A47">A35+1</f>
        <v>9</v>
      </c>
      <c r="B36" s="1242" t="s">
        <v>342</v>
      </c>
      <c r="C36" s="1188" t="s">
        <v>545</v>
      </c>
      <c r="D36" s="1246" t="s">
        <v>88</v>
      </c>
      <c r="E36" s="1247">
        <v>200</v>
      </c>
      <c r="F36" s="1190">
        <v>300</v>
      </c>
      <c r="G36" s="1191">
        <v>300</v>
      </c>
      <c r="H36" s="1192">
        <v>300</v>
      </c>
      <c r="I36" s="1193">
        <v>200</v>
      </c>
      <c r="J36" s="1194"/>
      <c r="K36" s="1195">
        <f t="shared" si="3"/>
        <v>0</v>
      </c>
      <c r="L36" s="1196">
        <f t="shared" si="4"/>
        <v>200</v>
      </c>
      <c r="M36" s="1244" t="s">
        <v>462</v>
      </c>
      <c r="N36" s="1245" t="s">
        <v>220</v>
      </c>
      <c r="O36" s="1454"/>
    </row>
    <row r="37" spans="1:15" ht="12" customHeight="1">
      <c r="A37" s="1241">
        <f t="shared" si="6"/>
        <v>10</v>
      </c>
      <c r="B37" s="1242" t="s">
        <v>342</v>
      </c>
      <c r="C37" s="1188" t="s">
        <v>545</v>
      </c>
      <c r="D37" s="1246" t="s">
        <v>79</v>
      </c>
      <c r="E37" s="1247">
        <v>330</v>
      </c>
      <c r="F37" s="1190">
        <v>450</v>
      </c>
      <c r="G37" s="1191">
        <v>750</v>
      </c>
      <c r="H37" s="1192">
        <v>750</v>
      </c>
      <c r="I37" s="1193">
        <v>400</v>
      </c>
      <c r="J37" s="1194"/>
      <c r="K37" s="1195">
        <f t="shared" si="3"/>
        <v>0</v>
      </c>
      <c r="L37" s="1196">
        <f t="shared" si="4"/>
        <v>400</v>
      </c>
      <c r="M37" s="1244" t="s">
        <v>463</v>
      </c>
      <c r="N37" s="1245" t="s">
        <v>524</v>
      </c>
      <c r="O37" s="1454"/>
    </row>
    <row r="38" spans="1:15" ht="12" customHeight="1">
      <c r="A38" s="1241">
        <f t="shared" si="6"/>
        <v>11</v>
      </c>
      <c r="B38" s="1242" t="s">
        <v>342</v>
      </c>
      <c r="C38" s="1188" t="s">
        <v>545</v>
      </c>
      <c r="D38" s="1189" t="s">
        <v>89</v>
      </c>
      <c r="E38" s="1247">
        <v>300</v>
      </c>
      <c r="F38" s="1190">
        <v>300</v>
      </c>
      <c r="G38" s="1191">
        <v>400</v>
      </c>
      <c r="H38" s="1192">
        <v>550</v>
      </c>
      <c r="I38" s="1193">
        <v>550</v>
      </c>
      <c r="J38" s="1194"/>
      <c r="K38" s="1195">
        <f t="shared" si="3"/>
        <v>0</v>
      </c>
      <c r="L38" s="1196">
        <f t="shared" si="4"/>
        <v>550</v>
      </c>
      <c r="M38" s="1244" t="s">
        <v>464</v>
      </c>
      <c r="N38" s="1245" t="s">
        <v>525</v>
      </c>
      <c r="O38" s="1454"/>
    </row>
    <row r="39" spans="1:15" ht="12" customHeight="1">
      <c r="A39" s="1241">
        <f t="shared" si="6"/>
        <v>12</v>
      </c>
      <c r="B39" s="1242" t="s">
        <v>342</v>
      </c>
      <c r="C39" s="1188" t="s">
        <v>545</v>
      </c>
      <c r="D39" s="1248" t="s">
        <v>145</v>
      </c>
      <c r="E39" s="1247">
        <v>500</v>
      </c>
      <c r="F39" s="1190">
        <v>700</v>
      </c>
      <c r="G39" s="1191">
        <v>822</v>
      </c>
      <c r="H39" s="1192">
        <v>971</v>
      </c>
      <c r="I39" s="1193">
        <v>1085</v>
      </c>
      <c r="J39" s="1194"/>
      <c r="K39" s="1195">
        <f t="shared" si="3"/>
        <v>0</v>
      </c>
      <c r="L39" s="1196">
        <f t="shared" si="4"/>
        <v>1085</v>
      </c>
      <c r="M39" s="1244" t="s">
        <v>465</v>
      </c>
      <c r="N39" s="1245" t="s">
        <v>221</v>
      </c>
      <c r="O39" s="1454"/>
    </row>
    <row r="40" spans="1:15" ht="12" customHeight="1">
      <c r="A40" s="1241">
        <f t="shared" si="6"/>
        <v>13</v>
      </c>
      <c r="B40" s="1242" t="s">
        <v>342</v>
      </c>
      <c r="C40" s="1188" t="s">
        <v>545</v>
      </c>
      <c r="D40" s="1189" t="s">
        <v>146</v>
      </c>
      <c r="E40" s="1247">
        <v>810</v>
      </c>
      <c r="F40" s="1190">
        <v>900</v>
      </c>
      <c r="G40" s="1191">
        <v>600</v>
      </c>
      <c r="H40" s="1192">
        <v>600</v>
      </c>
      <c r="I40" s="1193">
        <v>600</v>
      </c>
      <c r="J40" s="1194"/>
      <c r="K40" s="1195">
        <f t="shared" si="3"/>
        <v>0</v>
      </c>
      <c r="L40" s="1196">
        <f t="shared" si="4"/>
        <v>600</v>
      </c>
      <c r="M40" s="1244" t="s">
        <v>466</v>
      </c>
      <c r="N40" s="1245" t="s">
        <v>221</v>
      </c>
      <c r="O40" s="1249"/>
    </row>
    <row r="41" spans="1:15" ht="12" customHeight="1">
      <c r="A41" s="1241">
        <f t="shared" si="6"/>
        <v>14</v>
      </c>
      <c r="B41" s="1242" t="s">
        <v>342</v>
      </c>
      <c r="C41" s="1188" t="s">
        <v>545</v>
      </c>
      <c r="D41" s="1248" t="s">
        <v>108</v>
      </c>
      <c r="E41" s="1247">
        <v>720</v>
      </c>
      <c r="F41" s="1190">
        <v>800</v>
      </c>
      <c r="G41" s="1191">
        <v>1881</v>
      </c>
      <c r="H41" s="1192">
        <v>1881</v>
      </c>
      <c r="I41" s="1193">
        <v>1521</v>
      </c>
      <c r="J41" s="1194"/>
      <c r="K41" s="1195">
        <f t="shared" si="3"/>
        <v>0</v>
      </c>
      <c r="L41" s="1196">
        <f t="shared" si="4"/>
        <v>1521</v>
      </c>
      <c r="M41" s="1244" t="s">
        <v>467</v>
      </c>
      <c r="N41" s="1245" t="s">
        <v>530</v>
      </c>
      <c r="O41" s="1249"/>
    </row>
    <row r="42" spans="1:15" ht="12" customHeight="1">
      <c r="A42" s="1241">
        <f t="shared" si="6"/>
        <v>15</v>
      </c>
      <c r="B42" s="1242" t="s">
        <v>342</v>
      </c>
      <c r="C42" s="1188" t="s">
        <v>545</v>
      </c>
      <c r="D42" s="1248" t="s">
        <v>90</v>
      </c>
      <c r="E42" s="1247">
        <v>108</v>
      </c>
      <c r="F42" s="1190">
        <v>150</v>
      </c>
      <c r="G42" s="1191">
        <v>350</v>
      </c>
      <c r="H42" s="1192">
        <v>180</v>
      </c>
      <c r="I42" s="1193">
        <v>180</v>
      </c>
      <c r="J42" s="1194"/>
      <c r="K42" s="1195">
        <f t="shared" si="3"/>
        <v>0</v>
      </c>
      <c r="L42" s="1196">
        <f t="shared" si="4"/>
        <v>180</v>
      </c>
      <c r="M42" s="1244" t="s">
        <v>468</v>
      </c>
      <c r="N42" s="1245" t="s">
        <v>221</v>
      </c>
      <c r="O42" s="1454"/>
    </row>
    <row r="43" spans="1:15" ht="12" customHeight="1">
      <c r="A43" s="1241">
        <f t="shared" si="6"/>
        <v>16</v>
      </c>
      <c r="B43" s="1242" t="s">
        <v>342</v>
      </c>
      <c r="C43" s="1188" t="s">
        <v>545</v>
      </c>
      <c r="D43" s="1189" t="s">
        <v>91</v>
      </c>
      <c r="E43" s="1247">
        <v>180</v>
      </c>
      <c r="F43" s="1190">
        <v>180</v>
      </c>
      <c r="G43" s="1191">
        <v>1200</v>
      </c>
      <c r="H43" s="1192">
        <v>1795</v>
      </c>
      <c r="I43" s="1193">
        <v>1795</v>
      </c>
      <c r="J43" s="1194"/>
      <c r="K43" s="1195">
        <f t="shared" si="3"/>
        <v>0</v>
      </c>
      <c r="L43" s="1196">
        <f t="shared" si="4"/>
        <v>1795</v>
      </c>
      <c r="M43" s="1244" t="s">
        <v>469</v>
      </c>
      <c r="N43" s="1245" t="s">
        <v>222</v>
      </c>
      <c r="O43" s="1454"/>
    </row>
    <row r="44" spans="1:15" ht="12" customHeight="1">
      <c r="A44" s="1241">
        <f t="shared" si="6"/>
        <v>17</v>
      </c>
      <c r="B44" s="1242" t="s">
        <v>342</v>
      </c>
      <c r="C44" s="1188" t="s">
        <v>545</v>
      </c>
      <c r="D44" s="1189" t="s">
        <v>92</v>
      </c>
      <c r="E44" s="1247">
        <v>70</v>
      </c>
      <c r="F44" s="1190">
        <v>70</v>
      </c>
      <c r="G44" s="1191">
        <v>70</v>
      </c>
      <c r="H44" s="1192">
        <v>70</v>
      </c>
      <c r="I44" s="1193">
        <v>70</v>
      </c>
      <c r="J44" s="1194"/>
      <c r="K44" s="1195">
        <f t="shared" si="3"/>
        <v>0</v>
      </c>
      <c r="L44" s="1196">
        <f t="shared" si="4"/>
        <v>70</v>
      </c>
      <c r="M44" s="1244" t="s">
        <v>470</v>
      </c>
      <c r="N44" s="1245" t="s">
        <v>222</v>
      </c>
      <c r="O44" s="1454"/>
    </row>
    <row r="45" spans="1:15" ht="12" customHeight="1">
      <c r="A45" s="1241">
        <f t="shared" si="6"/>
        <v>18</v>
      </c>
      <c r="B45" s="1242" t="s">
        <v>342</v>
      </c>
      <c r="C45" s="1188" t="s">
        <v>545</v>
      </c>
      <c r="D45" s="1189" t="s">
        <v>101</v>
      </c>
      <c r="E45" s="1247">
        <v>405</v>
      </c>
      <c r="F45" s="1190">
        <v>600</v>
      </c>
      <c r="G45" s="1191">
        <v>600</v>
      </c>
      <c r="H45" s="1192">
        <v>600</v>
      </c>
      <c r="I45" s="1193">
        <v>600</v>
      </c>
      <c r="J45" s="1194"/>
      <c r="K45" s="1195">
        <f t="shared" si="3"/>
        <v>0</v>
      </c>
      <c r="L45" s="1196">
        <f t="shared" si="4"/>
        <v>600</v>
      </c>
      <c r="M45" s="1244" t="s">
        <v>471</v>
      </c>
      <c r="N45" s="1245" t="s">
        <v>526</v>
      </c>
      <c r="O45" s="1454"/>
    </row>
    <row r="46" spans="1:15" ht="12" customHeight="1">
      <c r="A46" s="1241">
        <f t="shared" si="6"/>
        <v>19</v>
      </c>
      <c r="B46" s="1242" t="s">
        <v>342</v>
      </c>
      <c r="C46" s="1188" t="s">
        <v>545</v>
      </c>
      <c r="D46" s="1189" t="s">
        <v>102</v>
      </c>
      <c r="E46" s="1247">
        <v>405</v>
      </c>
      <c r="F46" s="1190">
        <v>452</v>
      </c>
      <c r="G46" s="1191">
        <v>450</v>
      </c>
      <c r="H46" s="1192">
        <v>1000</v>
      </c>
      <c r="I46" s="1193">
        <v>420</v>
      </c>
      <c r="J46" s="1194"/>
      <c r="K46" s="1195">
        <f t="shared" si="3"/>
        <v>0</v>
      </c>
      <c r="L46" s="1196">
        <f t="shared" si="4"/>
        <v>420</v>
      </c>
      <c r="M46" s="1244" t="s">
        <v>473</v>
      </c>
      <c r="N46" s="1245" t="s">
        <v>526</v>
      </c>
      <c r="O46" s="1454"/>
    </row>
    <row r="47" spans="1:15" ht="12" customHeight="1">
      <c r="A47" s="1241">
        <f t="shared" si="6"/>
        <v>20</v>
      </c>
      <c r="B47" s="1242" t="s">
        <v>342</v>
      </c>
      <c r="C47" s="1188" t="s">
        <v>545</v>
      </c>
      <c r="D47" s="1189" t="s">
        <v>308</v>
      </c>
      <c r="E47" s="1247"/>
      <c r="F47" s="1190">
        <v>278</v>
      </c>
      <c r="G47" s="1191">
        <v>485</v>
      </c>
      <c r="H47" s="1192">
        <v>1000</v>
      </c>
      <c r="I47" s="1193">
        <v>1800</v>
      </c>
      <c r="J47" s="1194"/>
      <c r="K47" s="1195">
        <f t="shared" si="3"/>
        <v>0</v>
      </c>
      <c r="L47" s="1196">
        <f t="shared" si="4"/>
        <v>1800</v>
      </c>
      <c r="M47" s="1244" t="s">
        <v>472</v>
      </c>
      <c r="N47" s="1245" t="s">
        <v>526</v>
      </c>
      <c r="O47" s="1454"/>
    </row>
    <row r="48" spans="1:15" ht="12" customHeight="1">
      <c r="A48" s="1250">
        <f>A47+1</f>
        <v>21</v>
      </c>
      <c r="B48" s="1251" t="s">
        <v>342</v>
      </c>
      <c r="C48" s="1252" t="s">
        <v>545</v>
      </c>
      <c r="D48" s="1252" t="s">
        <v>655</v>
      </c>
      <c r="E48" s="1253">
        <v>40130</v>
      </c>
      <c r="F48" s="1253">
        <v>17500</v>
      </c>
      <c r="G48" s="1254">
        <v>17500</v>
      </c>
      <c r="H48" s="1255">
        <v>17500</v>
      </c>
      <c r="I48" s="1254">
        <v>17500</v>
      </c>
      <c r="J48" s="1218"/>
      <c r="K48" s="1256">
        <f t="shared" si="3"/>
        <v>0</v>
      </c>
      <c r="L48" s="1257">
        <f t="shared" si="4"/>
        <v>17500</v>
      </c>
      <c r="M48" s="1258" t="s">
        <v>474</v>
      </c>
      <c r="N48" s="1259" t="s">
        <v>525</v>
      </c>
      <c r="O48" s="1454"/>
    </row>
    <row r="49" spans="1:15" ht="12" customHeight="1">
      <c r="A49" s="1241">
        <f>A48+1</f>
        <v>22</v>
      </c>
      <c r="B49" s="1242" t="s">
        <v>342</v>
      </c>
      <c r="C49" s="1188" t="s">
        <v>545</v>
      </c>
      <c r="D49" s="1189" t="s">
        <v>94</v>
      </c>
      <c r="E49" s="1247">
        <v>6742</v>
      </c>
      <c r="F49" s="1190">
        <v>5650</v>
      </c>
      <c r="G49" s="1191">
        <v>5650</v>
      </c>
      <c r="H49" s="1192">
        <v>0</v>
      </c>
      <c r="I49" s="1193">
        <v>0</v>
      </c>
      <c r="J49" s="1194"/>
      <c r="K49" s="1195">
        <f t="shared" si="3"/>
        <v>0</v>
      </c>
      <c r="L49" s="1196">
        <f t="shared" si="4"/>
        <v>0</v>
      </c>
      <c r="M49" s="1244" t="s">
        <v>475</v>
      </c>
      <c r="N49" s="1245" t="s">
        <v>217</v>
      </c>
      <c r="O49" s="1454"/>
    </row>
    <row r="50" spans="1:15" ht="12" customHeight="1">
      <c r="A50" s="1241">
        <f aca="true" t="shared" si="7" ref="A50:A87">A49+1</f>
        <v>23</v>
      </c>
      <c r="B50" s="1242" t="s">
        <v>342</v>
      </c>
      <c r="C50" s="1188" t="s">
        <v>545</v>
      </c>
      <c r="D50" s="1189" t="s">
        <v>95</v>
      </c>
      <c r="E50" s="1247">
        <v>60</v>
      </c>
      <c r="F50" s="1190">
        <v>120</v>
      </c>
      <c r="G50" s="1191">
        <v>150</v>
      </c>
      <c r="H50" s="1192">
        <v>55</v>
      </c>
      <c r="I50" s="1193">
        <v>70</v>
      </c>
      <c r="J50" s="1194"/>
      <c r="K50" s="1195">
        <f t="shared" si="3"/>
        <v>0</v>
      </c>
      <c r="L50" s="1196">
        <f t="shared" si="4"/>
        <v>70</v>
      </c>
      <c r="M50" s="1244" t="s">
        <v>476</v>
      </c>
      <c r="N50" s="1245" t="s">
        <v>524</v>
      </c>
      <c r="O50" s="1454"/>
    </row>
    <row r="51" spans="1:15" ht="12" customHeight="1">
      <c r="A51" s="1241">
        <f t="shared" si="7"/>
        <v>24</v>
      </c>
      <c r="B51" s="1242" t="s">
        <v>342</v>
      </c>
      <c r="C51" s="1188" t="s">
        <v>545</v>
      </c>
      <c r="D51" s="1189" t="s">
        <v>103</v>
      </c>
      <c r="E51" s="1247">
        <v>630</v>
      </c>
      <c r="F51" s="1190">
        <v>1000</v>
      </c>
      <c r="G51" s="1191">
        <v>1000</v>
      </c>
      <c r="H51" s="1192">
        <v>1000</v>
      </c>
      <c r="I51" s="1193">
        <v>960</v>
      </c>
      <c r="J51" s="1194"/>
      <c r="K51" s="1195">
        <f t="shared" si="3"/>
        <v>0</v>
      </c>
      <c r="L51" s="1196">
        <f t="shared" si="4"/>
        <v>960</v>
      </c>
      <c r="M51" s="1244" t="s">
        <v>477</v>
      </c>
      <c r="N51" s="1245" t="s">
        <v>215</v>
      </c>
      <c r="O51" s="1454"/>
    </row>
    <row r="52" spans="1:15" ht="12" customHeight="1">
      <c r="A52" s="1241">
        <f t="shared" si="7"/>
        <v>25</v>
      </c>
      <c r="B52" s="1242" t="s">
        <v>342</v>
      </c>
      <c r="C52" s="1188" t="s">
        <v>545</v>
      </c>
      <c r="D52" s="1189" t="s">
        <v>149</v>
      </c>
      <c r="E52" s="1247">
        <v>3800</v>
      </c>
      <c r="F52" s="1190">
        <v>4500</v>
      </c>
      <c r="G52" s="1191">
        <v>1800</v>
      </c>
      <c r="H52" s="1260">
        <v>1800</v>
      </c>
      <c r="I52" s="1193">
        <v>500</v>
      </c>
      <c r="J52" s="1218">
        <f>$J$5</f>
        <v>0.36</v>
      </c>
      <c r="K52" s="1195">
        <f t="shared" si="3"/>
        <v>180</v>
      </c>
      <c r="L52" s="1196">
        <f t="shared" si="4"/>
        <v>320</v>
      </c>
      <c r="M52" s="1244" t="s">
        <v>478</v>
      </c>
      <c r="N52" s="1245" t="s">
        <v>527</v>
      </c>
      <c r="O52" s="1453" t="s">
        <v>642</v>
      </c>
    </row>
    <row r="53" spans="1:15" ht="12" customHeight="1">
      <c r="A53" s="1241">
        <f t="shared" si="7"/>
        <v>26</v>
      </c>
      <c r="B53" s="1242" t="s">
        <v>342</v>
      </c>
      <c r="C53" s="1188" t="s">
        <v>545</v>
      </c>
      <c r="D53" s="1189" t="s">
        <v>309</v>
      </c>
      <c r="E53" s="1247"/>
      <c r="F53" s="1190">
        <v>2000</v>
      </c>
      <c r="G53" s="1191">
        <v>1000</v>
      </c>
      <c r="H53" s="1192">
        <v>2000</v>
      </c>
      <c r="I53" s="1193">
        <v>2000</v>
      </c>
      <c r="J53" s="1218">
        <f>$J$5*2</f>
        <v>0.72</v>
      </c>
      <c r="K53" s="1195">
        <f t="shared" si="3"/>
        <v>1440</v>
      </c>
      <c r="L53" s="1196">
        <f t="shared" si="4"/>
        <v>560</v>
      </c>
      <c r="M53" s="1244" t="s">
        <v>479</v>
      </c>
      <c r="N53" s="1245" t="s">
        <v>215</v>
      </c>
      <c r="O53" s="1454" t="s">
        <v>653</v>
      </c>
    </row>
    <row r="54" spans="1:15" ht="12" customHeight="1">
      <c r="A54" s="1241">
        <f t="shared" si="7"/>
        <v>27</v>
      </c>
      <c r="B54" s="1242" t="s">
        <v>342</v>
      </c>
      <c r="C54" s="1188" t="s">
        <v>545</v>
      </c>
      <c r="D54" s="1189" t="s">
        <v>181</v>
      </c>
      <c r="E54" s="1247">
        <v>360</v>
      </c>
      <c r="F54" s="1190">
        <v>100</v>
      </c>
      <c r="G54" s="1191">
        <v>100</v>
      </c>
      <c r="H54" s="1192">
        <v>100</v>
      </c>
      <c r="I54" s="1193">
        <v>100</v>
      </c>
      <c r="J54" s="1218">
        <f>$J$5</f>
        <v>0.36</v>
      </c>
      <c r="K54" s="1195">
        <f t="shared" si="3"/>
        <v>36</v>
      </c>
      <c r="L54" s="1196">
        <f t="shared" si="4"/>
        <v>64</v>
      </c>
      <c r="M54" s="1244" t="s">
        <v>500</v>
      </c>
      <c r="N54" s="1245" t="s">
        <v>221</v>
      </c>
      <c r="O54" s="1456"/>
    </row>
    <row r="55" spans="1:15" ht="12" customHeight="1">
      <c r="A55" s="1241">
        <f t="shared" si="7"/>
        <v>28</v>
      </c>
      <c r="B55" s="1242" t="s">
        <v>342</v>
      </c>
      <c r="C55" s="1188" t="s">
        <v>545</v>
      </c>
      <c r="D55" s="1189" t="s">
        <v>150</v>
      </c>
      <c r="E55" s="1247">
        <v>200</v>
      </c>
      <c r="F55" s="1190">
        <v>200</v>
      </c>
      <c r="G55" s="1191">
        <v>200</v>
      </c>
      <c r="H55" s="1192">
        <v>150</v>
      </c>
      <c r="I55" s="1193">
        <v>150</v>
      </c>
      <c r="J55" s="1194"/>
      <c r="K55" s="1195">
        <f t="shared" si="3"/>
        <v>0</v>
      </c>
      <c r="L55" s="1196">
        <f t="shared" si="4"/>
        <v>150</v>
      </c>
      <c r="M55" s="1244" t="s">
        <v>486</v>
      </c>
      <c r="N55" s="1245" t="s">
        <v>525</v>
      </c>
      <c r="O55" s="1455" t="s">
        <v>310</v>
      </c>
    </row>
    <row r="56" spans="1:15" ht="12" customHeight="1">
      <c r="A56" s="1241">
        <f t="shared" si="7"/>
        <v>29</v>
      </c>
      <c r="B56" s="1242" t="s">
        <v>342</v>
      </c>
      <c r="C56" s="1188" t="s">
        <v>545</v>
      </c>
      <c r="D56" s="1189" t="s">
        <v>613</v>
      </c>
      <c r="E56" s="1247"/>
      <c r="F56" s="1190"/>
      <c r="G56" s="1191"/>
      <c r="H56" s="1192"/>
      <c r="I56" s="1193"/>
      <c r="J56" s="1194"/>
      <c r="K56" s="1195"/>
      <c r="L56" s="1196">
        <f t="shared" si="4"/>
        <v>0</v>
      </c>
      <c r="M56" s="1244" t="s">
        <v>612</v>
      </c>
      <c r="N56" s="1245" t="s">
        <v>525</v>
      </c>
      <c r="O56" s="1455" t="s">
        <v>310</v>
      </c>
    </row>
    <row r="57" spans="1:15" ht="12" customHeight="1">
      <c r="A57" s="1241">
        <f t="shared" si="7"/>
        <v>30</v>
      </c>
      <c r="B57" s="1242" t="s">
        <v>342</v>
      </c>
      <c r="C57" s="1188" t="s">
        <v>545</v>
      </c>
      <c r="D57" s="1248" t="s">
        <v>133</v>
      </c>
      <c r="E57" s="1247">
        <v>351</v>
      </c>
      <c r="F57" s="1190">
        <v>380</v>
      </c>
      <c r="G57" s="1191">
        <v>380</v>
      </c>
      <c r="H57" s="1192">
        <v>430</v>
      </c>
      <c r="I57" s="1193">
        <v>310</v>
      </c>
      <c r="J57" s="1194"/>
      <c r="K57" s="1195">
        <f t="shared" si="3"/>
        <v>0</v>
      </c>
      <c r="L57" s="1196">
        <f t="shared" si="4"/>
        <v>310</v>
      </c>
      <c r="M57" s="1244" t="s">
        <v>480</v>
      </c>
      <c r="N57" s="1245" t="s">
        <v>221</v>
      </c>
      <c r="O57" s="1454"/>
    </row>
    <row r="58" spans="1:15" s="1375" customFormat="1" ht="12" customHeight="1">
      <c r="A58" s="1241">
        <f t="shared" si="7"/>
        <v>31</v>
      </c>
      <c r="B58" s="1242" t="s">
        <v>342</v>
      </c>
      <c r="C58" s="1188" t="s">
        <v>545</v>
      </c>
      <c r="D58" s="1246" t="s">
        <v>132</v>
      </c>
      <c r="E58" s="1247">
        <v>225</v>
      </c>
      <c r="F58" s="1247">
        <v>250</v>
      </c>
      <c r="G58" s="1201">
        <v>330</v>
      </c>
      <c r="H58" s="1192">
        <v>250</v>
      </c>
      <c r="I58" s="1193">
        <v>300</v>
      </c>
      <c r="J58" s="1194"/>
      <c r="K58" s="1195">
        <f t="shared" si="3"/>
        <v>0</v>
      </c>
      <c r="L58" s="1196">
        <f t="shared" si="4"/>
        <v>300</v>
      </c>
      <c r="M58" s="1244" t="s">
        <v>481</v>
      </c>
      <c r="N58" s="1245" t="s">
        <v>217</v>
      </c>
      <c r="O58" s="1454"/>
    </row>
    <row r="59" spans="1:15" ht="12" customHeight="1">
      <c r="A59" s="1241">
        <f t="shared" si="7"/>
        <v>32</v>
      </c>
      <c r="B59" s="1242" t="s">
        <v>342</v>
      </c>
      <c r="C59" s="1188" t="s">
        <v>545</v>
      </c>
      <c r="D59" s="1246" t="s">
        <v>162</v>
      </c>
      <c r="E59" s="1247">
        <v>5500</v>
      </c>
      <c r="F59" s="1247">
        <v>6465</v>
      </c>
      <c r="G59" s="1201">
        <v>6465</v>
      </c>
      <c r="H59" s="1192">
        <v>6770</v>
      </c>
      <c r="I59" s="1193">
        <v>6770</v>
      </c>
      <c r="J59" s="1218">
        <f>$J$5</f>
        <v>0.36</v>
      </c>
      <c r="K59" s="1195">
        <f t="shared" si="3"/>
        <v>2437.2</v>
      </c>
      <c r="L59" s="1196">
        <f t="shared" si="4"/>
        <v>4332.8</v>
      </c>
      <c r="M59" s="1244" t="s">
        <v>482</v>
      </c>
      <c r="N59" s="1245" t="s">
        <v>219</v>
      </c>
      <c r="O59" s="1452"/>
    </row>
    <row r="60" spans="1:15" ht="12" customHeight="1">
      <c r="A60" s="1241">
        <f t="shared" si="7"/>
        <v>33</v>
      </c>
      <c r="B60" s="1242" t="s">
        <v>342</v>
      </c>
      <c r="C60" s="1188" t="s">
        <v>545</v>
      </c>
      <c r="D60" s="1248" t="s">
        <v>311</v>
      </c>
      <c r="E60" s="1247">
        <v>9040</v>
      </c>
      <c r="F60" s="1190">
        <v>8820</v>
      </c>
      <c r="G60" s="1191">
        <v>8650</v>
      </c>
      <c r="H60" s="1192">
        <v>8850</v>
      </c>
      <c r="I60" s="1193">
        <v>9050</v>
      </c>
      <c r="J60" s="1194"/>
      <c r="K60" s="1195">
        <f t="shared" si="3"/>
        <v>0</v>
      </c>
      <c r="L60" s="1196">
        <f t="shared" si="4"/>
        <v>9050</v>
      </c>
      <c r="M60" s="1244" t="s">
        <v>483</v>
      </c>
      <c r="N60" s="1245" t="s">
        <v>217</v>
      </c>
      <c r="O60" s="1452"/>
    </row>
    <row r="61" spans="1:15" ht="12" customHeight="1">
      <c r="A61" s="1241">
        <f t="shared" si="7"/>
        <v>34</v>
      </c>
      <c r="B61" s="1242" t="s">
        <v>342</v>
      </c>
      <c r="C61" s="1188" t="s">
        <v>545</v>
      </c>
      <c r="D61" s="1248" t="s">
        <v>151</v>
      </c>
      <c r="E61" s="1247">
        <v>1900</v>
      </c>
      <c r="F61" s="1190">
        <v>1900</v>
      </c>
      <c r="G61" s="1191">
        <v>1900</v>
      </c>
      <c r="H61" s="1192">
        <v>1900</v>
      </c>
      <c r="I61" s="1193">
        <v>1500</v>
      </c>
      <c r="J61" s="1194"/>
      <c r="K61" s="1195">
        <f t="shared" si="3"/>
        <v>0</v>
      </c>
      <c r="L61" s="1196">
        <f t="shared" si="4"/>
        <v>1500</v>
      </c>
      <c r="M61" s="1244" t="s">
        <v>484</v>
      </c>
      <c r="N61" s="1245" t="s">
        <v>217</v>
      </c>
      <c r="O61" s="1454"/>
    </row>
    <row r="62" spans="1:15" ht="12" customHeight="1">
      <c r="A62" s="1241">
        <v>35</v>
      </c>
      <c r="B62" s="1242" t="s">
        <v>342</v>
      </c>
      <c r="C62" s="1188" t="s">
        <v>545</v>
      </c>
      <c r="D62" s="1248" t="s">
        <v>680</v>
      </c>
      <c r="E62" s="1247"/>
      <c r="F62" s="1190"/>
      <c r="G62" s="1191"/>
      <c r="H62" s="1192"/>
      <c r="I62" s="1193">
        <v>220</v>
      </c>
      <c r="J62" s="1194"/>
      <c r="K62" s="1195">
        <f t="shared" si="3"/>
        <v>0</v>
      </c>
      <c r="L62" s="1196">
        <f t="shared" si="4"/>
        <v>220</v>
      </c>
      <c r="M62" s="1244" t="s">
        <v>681</v>
      </c>
      <c r="N62" s="1245" t="s">
        <v>217</v>
      </c>
      <c r="O62" s="1454"/>
    </row>
    <row r="63" spans="1:15" ht="12" customHeight="1">
      <c r="A63" s="1241">
        <f>A62+1</f>
        <v>36</v>
      </c>
      <c r="B63" s="1242" t="s">
        <v>342</v>
      </c>
      <c r="C63" s="1188" t="s">
        <v>545</v>
      </c>
      <c r="D63" s="1248" t="s">
        <v>182</v>
      </c>
      <c r="E63" s="1247">
        <v>1000</v>
      </c>
      <c r="F63" s="1190"/>
      <c r="G63" s="1191"/>
      <c r="H63" s="1192"/>
      <c r="I63" s="1193"/>
      <c r="J63" s="1194"/>
      <c r="K63" s="1195"/>
      <c r="L63" s="1196">
        <f t="shared" si="4"/>
        <v>0</v>
      </c>
      <c r="M63" s="1244" t="s">
        <v>609</v>
      </c>
      <c r="N63" s="1245" t="s">
        <v>525</v>
      </c>
      <c r="O63" s="1455" t="s">
        <v>310</v>
      </c>
    </row>
    <row r="64" spans="1:15" ht="12" customHeight="1">
      <c r="A64" s="1241">
        <f t="shared" si="7"/>
        <v>37</v>
      </c>
      <c r="B64" s="1242" t="s">
        <v>342</v>
      </c>
      <c r="C64" s="1188" t="s">
        <v>545</v>
      </c>
      <c r="D64" s="1189" t="s">
        <v>227</v>
      </c>
      <c r="E64" s="1247">
        <v>1080</v>
      </c>
      <c r="F64" s="1190">
        <v>1500</v>
      </c>
      <c r="G64" s="1191">
        <v>2600</v>
      </c>
      <c r="H64" s="1192">
        <v>1500</v>
      </c>
      <c r="I64" s="1193">
        <v>1500</v>
      </c>
      <c r="J64" s="1194"/>
      <c r="K64" s="1195">
        <f t="shared" si="3"/>
        <v>0</v>
      </c>
      <c r="L64" s="1196">
        <f t="shared" si="4"/>
        <v>1500</v>
      </c>
      <c r="M64" s="1244" t="s">
        <v>485</v>
      </c>
      <c r="N64" s="1245" t="s">
        <v>217</v>
      </c>
      <c r="O64" s="1454"/>
    </row>
    <row r="65" spans="1:15" ht="12" customHeight="1">
      <c r="A65" s="1241">
        <f t="shared" si="7"/>
        <v>38</v>
      </c>
      <c r="B65" s="1242" t="s">
        <v>342</v>
      </c>
      <c r="C65" s="1188" t="s">
        <v>545</v>
      </c>
      <c r="D65" s="1189" t="s">
        <v>594</v>
      </c>
      <c r="E65" s="1247">
        <v>1350</v>
      </c>
      <c r="F65" s="1190">
        <v>2165</v>
      </c>
      <c r="G65" s="1191">
        <v>2300</v>
      </c>
      <c r="H65" s="1192">
        <v>1354</v>
      </c>
      <c r="I65" s="1193">
        <v>1443</v>
      </c>
      <c r="J65" s="1194"/>
      <c r="K65" s="1195">
        <f t="shared" si="3"/>
        <v>0</v>
      </c>
      <c r="L65" s="1196">
        <f t="shared" si="4"/>
        <v>1443</v>
      </c>
      <c r="M65" s="1244" t="s">
        <v>487</v>
      </c>
      <c r="N65" s="1245" t="s">
        <v>528</v>
      </c>
      <c r="O65" s="1454"/>
    </row>
    <row r="66" spans="1:15" ht="12" customHeight="1">
      <c r="A66" s="1241"/>
      <c r="B66" s="1242"/>
      <c r="C66" s="1188"/>
      <c r="D66" s="1189" t="s">
        <v>183</v>
      </c>
      <c r="E66" s="1247">
        <v>30</v>
      </c>
      <c r="F66" s="1190"/>
      <c r="G66" s="1191"/>
      <c r="H66" s="1192"/>
      <c r="I66" s="1193"/>
      <c r="J66" s="1194"/>
      <c r="K66" s="1195"/>
      <c r="L66" s="1196">
        <f t="shared" si="4"/>
        <v>0</v>
      </c>
      <c r="M66" s="1244" t="s">
        <v>623</v>
      </c>
      <c r="N66" s="1245" t="s">
        <v>221</v>
      </c>
      <c r="O66" s="1454"/>
    </row>
    <row r="67" spans="1:15" s="1375" customFormat="1" ht="12" customHeight="1">
      <c r="A67" s="1241">
        <f>A65+1</f>
        <v>39</v>
      </c>
      <c r="B67" s="1242" t="s">
        <v>342</v>
      </c>
      <c r="C67" s="1188" t="s">
        <v>545</v>
      </c>
      <c r="D67" s="1189" t="s">
        <v>224</v>
      </c>
      <c r="E67" s="1247">
        <v>140</v>
      </c>
      <c r="F67" s="1190">
        <v>140</v>
      </c>
      <c r="G67" s="1191">
        <v>140</v>
      </c>
      <c r="H67" s="1192">
        <v>140</v>
      </c>
      <c r="I67" s="1193">
        <v>140</v>
      </c>
      <c r="J67" s="1194"/>
      <c r="K67" s="1195">
        <f t="shared" si="3"/>
        <v>0</v>
      </c>
      <c r="L67" s="1196">
        <f t="shared" si="4"/>
        <v>140</v>
      </c>
      <c r="M67" s="1244" t="s">
        <v>488</v>
      </c>
      <c r="N67" s="1245" t="s">
        <v>222</v>
      </c>
      <c r="O67" s="1454"/>
    </row>
    <row r="68" spans="1:15" s="1375" customFormat="1" ht="12" customHeight="1">
      <c r="A68" s="1241">
        <f t="shared" si="7"/>
        <v>40</v>
      </c>
      <c r="B68" s="1242" t="s">
        <v>342</v>
      </c>
      <c r="C68" s="1188" t="s">
        <v>545</v>
      </c>
      <c r="D68" s="1189" t="s">
        <v>228</v>
      </c>
      <c r="E68" s="1247">
        <v>5000</v>
      </c>
      <c r="F68" s="1247"/>
      <c r="G68" s="1201"/>
      <c r="H68" s="1192"/>
      <c r="I68" s="1193"/>
      <c r="J68" s="1194"/>
      <c r="K68" s="1195"/>
      <c r="L68" s="1196">
        <f t="shared" si="4"/>
        <v>0</v>
      </c>
      <c r="M68" s="1244" t="s">
        <v>608</v>
      </c>
      <c r="N68" s="1245" t="s">
        <v>217</v>
      </c>
      <c r="O68" s="1455" t="s">
        <v>310</v>
      </c>
    </row>
    <row r="69" spans="1:15" s="1375" customFormat="1" ht="12" customHeight="1">
      <c r="A69" s="1241">
        <f>A67+1</f>
        <v>40</v>
      </c>
      <c r="B69" s="1242" t="s">
        <v>342</v>
      </c>
      <c r="C69" s="1188" t="s">
        <v>545</v>
      </c>
      <c r="D69" s="1261" t="s">
        <v>403</v>
      </c>
      <c r="E69" s="1209"/>
      <c r="F69" s="1209">
        <v>1000</v>
      </c>
      <c r="G69" s="1210">
        <v>1000</v>
      </c>
      <c r="H69" s="1211">
        <v>0</v>
      </c>
      <c r="I69" s="1212">
        <v>0</v>
      </c>
      <c r="J69" s="1194"/>
      <c r="K69" s="1195">
        <f t="shared" si="3"/>
        <v>0</v>
      </c>
      <c r="L69" s="1196">
        <f t="shared" si="4"/>
        <v>0</v>
      </c>
      <c r="M69" s="1244" t="s">
        <v>502</v>
      </c>
      <c r="N69" s="1245" t="s">
        <v>525</v>
      </c>
      <c r="O69" s="1454"/>
    </row>
    <row r="70" spans="1:15" s="1375" customFormat="1" ht="12" customHeight="1">
      <c r="A70" s="1241">
        <f t="shared" si="7"/>
        <v>41</v>
      </c>
      <c r="B70" s="1242" t="s">
        <v>342</v>
      </c>
      <c r="C70" s="1188" t="s">
        <v>545</v>
      </c>
      <c r="D70" s="1189" t="s">
        <v>399</v>
      </c>
      <c r="E70" s="1190"/>
      <c r="F70" s="1190">
        <v>235</v>
      </c>
      <c r="G70" s="1191">
        <v>385</v>
      </c>
      <c r="H70" s="1192">
        <v>500</v>
      </c>
      <c r="I70" s="1193">
        <v>495</v>
      </c>
      <c r="J70" s="1218">
        <v>1</v>
      </c>
      <c r="K70" s="1195">
        <f t="shared" si="3"/>
        <v>495</v>
      </c>
      <c r="L70" s="1196">
        <f aca="true" t="shared" si="8" ref="L70:L89">I70-K70</f>
        <v>0</v>
      </c>
      <c r="M70" s="1244" t="s">
        <v>490</v>
      </c>
      <c r="N70" s="1245" t="s">
        <v>222</v>
      </c>
      <c r="O70" s="1453" t="s">
        <v>643</v>
      </c>
    </row>
    <row r="71" spans="1:15" s="1375" customFormat="1" ht="12" customHeight="1">
      <c r="A71" s="1241">
        <f t="shared" si="7"/>
        <v>42</v>
      </c>
      <c r="B71" s="1242" t="s">
        <v>342</v>
      </c>
      <c r="C71" s="1188" t="s">
        <v>545</v>
      </c>
      <c r="D71" s="1189" t="s">
        <v>611</v>
      </c>
      <c r="E71" s="1190"/>
      <c r="F71" s="1190"/>
      <c r="G71" s="1191">
        <v>600</v>
      </c>
      <c r="H71" s="1192"/>
      <c r="I71" s="1193"/>
      <c r="J71" s="1194"/>
      <c r="K71" s="1195">
        <f>I71*J71</f>
        <v>0</v>
      </c>
      <c r="L71" s="1196">
        <f>I71-K71</f>
        <v>0</v>
      </c>
      <c r="M71" s="1244" t="s">
        <v>610</v>
      </c>
      <c r="N71" s="1245" t="s">
        <v>221</v>
      </c>
      <c r="O71" s="1454"/>
    </row>
    <row r="72" spans="1:15" s="1375" customFormat="1" ht="12" customHeight="1">
      <c r="A72" s="1241">
        <f t="shared" si="7"/>
        <v>43</v>
      </c>
      <c r="B72" s="1242" t="s">
        <v>342</v>
      </c>
      <c r="C72" s="1188" t="s">
        <v>545</v>
      </c>
      <c r="D72" s="1189" t="s">
        <v>614</v>
      </c>
      <c r="E72" s="1190"/>
      <c r="F72" s="1190"/>
      <c r="G72" s="1191">
        <v>200</v>
      </c>
      <c r="H72" s="1192"/>
      <c r="I72" s="1193"/>
      <c r="J72" s="1218">
        <v>1</v>
      </c>
      <c r="K72" s="1195"/>
      <c r="L72" s="1196"/>
      <c r="M72" s="1244" t="s">
        <v>615</v>
      </c>
      <c r="N72" s="1245" t="s">
        <v>215</v>
      </c>
      <c r="O72" s="1454" t="s">
        <v>616</v>
      </c>
    </row>
    <row r="73" spans="1:15" s="1375" customFormat="1" ht="12" customHeight="1">
      <c r="A73" s="1241">
        <f t="shared" si="7"/>
        <v>44</v>
      </c>
      <c r="B73" s="1242" t="s">
        <v>342</v>
      </c>
      <c r="C73" s="1188" t="s">
        <v>545</v>
      </c>
      <c r="D73" s="1189" t="s">
        <v>402</v>
      </c>
      <c r="E73" s="1190"/>
      <c r="F73" s="1190"/>
      <c r="G73" s="1191"/>
      <c r="H73" s="1192">
        <v>350</v>
      </c>
      <c r="I73" s="1193">
        <v>300</v>
      </c>
      <c r="J73" s="1194"/>
      <c r="K73" s="1195">
        <f t="shared" si="3"/>
        <v>0</v>
      </c>
      <c r="L73" s="1196">
        <f t="shared" si="8"/>
        <v>300</v>
      </c>
      <c r="M73" s="1244" t="s">
        <v>491</v>
      </c>
      <c r="N73" s="1245" t="s">
        <v>217</v>
      </c>
      <c r="O73" s="1454"/>
    </row>
    <row r="74" spans="1:15" s="1375" customFormat="1" ht="12" customHeight="1">
      <c r="A74" s="1241">
        <f t="shared" si="7"/>
        <v>45</v>
      </c>
      <c r="B74" s="1242" t="s">
        <v>342</v>
      </c>
      <c r="C74" s="1188" t="s">
        <v>545</v>
      </c>
      <c r="D74" s="1248" t="s">
        <v>401</v>
      </c>
      <c r="E74" s="1247"/>
      <c r="F74" s="1190"/>
      <c r="G74" s="1191">
        <v>1000</v>
      </c>
      <c r="H74" s="1192">
        <v>1200</v>
      </c>
      <c r="I74" s="1193">
        <v>1000</v>
      </c>
      <c r="J74" s="1194"/>
      <c r="K74" s="1195">
        <f t="shared" si="3"/>
        <v>0</v>
      </c>
      <c r="L74" s="1196">
        <f t="shared" si="8"/>
        <v>1000</v>
      </c>
      <c r="M74" s="1244" t="s">
        <v>492</v>
      </c>
      <c r="N74" s="1245" t="s">
        <v>217</v>
      </c>
      <c r="O74" s="1452"/>
    </row>
    <row r="75" spans="1:15" s="1375" customFormat="1" ht="12" customHeight="1">
      <c r="A75" s="1241">
        <f t="shared" si="7"/>
        <v>46</v>
      </c>
      <c r="B75" s="1242" t="s">
        <v>342</v>
      </c>
      <c r="C75" s="1188" t="s">
        <v>545</v>
      </c>
      <c r="D75" s="1189" t="s">
        <v>404</v>
      </c>
      <c r="E75" s="1190"/>
      <c r="F75" s="1190"/>
      <c r="G75" s="1191">
        <v>230</v>
      </c>
      <c r="H75" s="1192">
        <v>230</v>
      </c>
      <c r="I75" s="1193">
        <v>210</v>
      </c>
      <c r="J75" s="1194"/>
      <c r="K75" s="1195">
        <f t="shared" si="3"/>
        <v>0</v>
      </c>
      <c r="L75" s="1196">
        <f t="shared" si="8"/>
        <v>210</v>
      </c>
      <c r="M75" s="1244" t="s">
        <v>496</v>
      </c>
      <c r="N75" s="1245" t="s">
        <v>525</v>
      </c>
      <c r="O75" s="1454"/>
    </row>
    <row r="76" spans="1:15" ht="12" customHeight="1">
      <c r="A76" s="1241">
        <f t="shared" si="7"/>
        <v>47</v>
      </c>
      <c r="B76" s="1242" t="s">
        <v>342</v>
      </c>
      <c r="C76" s="1188" t="s">
        <v>545</v>
      </c>
      <c r="D76" s="1262" t="s">
        <v>529</v>
      </c>
      <c r="E76" s="1190"/>
      <c r="F76" s="1190"/>
      <c r="G76" s="1191"/>
      <c r="H76" s="1192">
        <v>450</v>
      </c>
      <c r="I76" s="1193">
        <v>500</v>
      </c>
      <c r="J76" s="1194"/>
      <c r="K76" s="1195">
        <f t="shared" si="3"/>
        <v>0</v>
      </c>
      <c r="L76" s="1196">
        <f t="shared" si="8"/>
        <v>500</v>
      </c>
      <c r="M76" s="1472" t="s">
        <v>600</v>
      </c>
      <c r="N76" s="1245" t="s">
        <v>220</v>
      </c>
      <c r="O76" s="1457" t="s">
        <v>494</v>
      </c>
    </row>
    <row r="77" spans="1:15" s="1375" customFormat="1" ht="12" customHeight="1">
      <c r="A77" s="1241">
        <f t="shared" si="7"/>
        <v>48</v>
      </c>
      <c r="B77" s="1242" t="s">
        <v>342</v>
      </c>
      <c r="C77" s="1188" t="s">
        <v>545</v>
      </c>
      <c r="D77" s="1189" t="s">
        <v>312</v>
      </c>
      <c r="E77" s="1190"/>
      <c r="F77" s="1190">
        <v>1000</v>
      </c>
      <c r="G77" s="1191">
        <v>1500</v>
      </c>
      <c r="H77" s="1192">
        <v>1100</v>
      </c>
      <c r="I77" s="1193">
        <v>700</v>
      </c>
      <c r="J77" s="1194"/>
      <c r="K77" s="1195">
        <f t="shared" si="3"/>
        <v>0</v>
      </c>
      <c r="L77" s="1196">
        <f t="shared" si="8"/>
        <v>700</v>
      </c>
      <c r="M77" s="1244" t="s">
        <v>497</v>
      </c>
      <c r="N77" s="1245" t="s">
        <v>221</v>
      </c>
      <c r="O77" s="1454"/>
    </row>
    <row r="78" spans="1:15" s="1376" customFormat="1" ht="12" customHeight="1">
      <c r="A78" s="1241">
        <f t="shared" si="7"/>
        <v>49</v>
      </c>
      <c r="B78" s="1264" t="s">
        <v>342</v>
      </c>
      <c r="C78" s="1188" t="s">
        <v>545</v>
      </c>
      <c r="D78" s="1265" t="s">
        <v>599</v>
      </c>
      <c r="E78" s="1266"/>
      <c r="F78" s="1266"/>
      <c r="G78" s="1267"/>
      <c r="H78" s="1268">
        <v>160</v>
      </c>
      <c r="I78" s="1269">
        <v>200</v>
      </c>
      <c r="J78" s="1194"/>
      <c r="K78" s="1195">
        <f t="shared" si="3"/>
        <v>0</v>
      </c>
      <c r="L78" s="1196">
        <f t="shared" si="8"/>
        <v>200</v>
      </c>
      <c r="M78" s="1472" t="s">
        <v>601</v>
      </c>
      <c r="N78" s="1245" t="s">
        <v>217</v>
      </c>
      <c r="O78" s="1457" t="s">
        <v>494</v>
      </c>
    </row>
    <row r="79" spans="1:15" s="1376" customFormat="1" ht="12" customHeight="1">
      <c r="A79" s="1241">
        <f t="shared" si="7"/>
        <v>50</v>
      </c>
      <c r="B79" s="1264" t="s">
        <v>342</v>
      </c>
      <c r="C79" s="1188" t="s">
        <v>545</v>
      </c>
      <c r="D79" s="1265" t="s">
        <v>682</v>
      </c>
      <c r="E79" s="1266"/>
      <c r="F79" s="1266"/>
      <c r="G79" s="1267"/>
      <c r="H79" s="1268">
        <v>2000</v>
      </c>
      <c r="I79" s="1269">
        <v>3800</v>
      </c>
      <c r="J79" s="1194"/>
      <c r="K79" s="1195">
        <f t="shared" si="3"/>
        <v>0</v>
      </c>
      <c r="L79" s="1196">
        <f t="shared" si="8"/>
        <v>3800</v>
      </c>
      <c r="M79" s="1472" t="s">
        <v>683</v>
      </c>
      <c r="N79" s="1245" t="s">
        <v>684</v>
      </c>
      <c r="O79" s="1457" t="s">
        <v>494</v>
      </c>
    </row>
    <row r="80" spans="1:15" s="1376" customFormat="1" ht="12" customHeight="1">
      <c r="A80" s="1241">
        <f t="shared" si="7"/>
        <v>51</v>
      </c>
      <c r="B80" s="1264" t="s">
        <v>342</v>
      </c>
      <c r="C80" s="1188" t="s">
        <v>545</v>
      </c>
      <c r="D80" s="1265" t="s">
        <v>686</v>
      </c>
      <c r="E80" s="1266"/>
      <c r="F80" s="1266"/>
      <c r="G80" s="1267"/>
      <c r="H80" s="1268"/>
      <c r="I80" s="1269">
        <v>100</v>
      </c>
      <c r="J80" s="1194"/>
      <c r="K80" s="1195">
        <f t="shared" si="3"/>
        <v>0</v>
      </c>
      <c r="L80" s="1196">
        <f t="shared" si="8"/>
        <v>100</v>
      </c>
      <c r="M80" s="1472" t="s">
        <v>685</v>
      </c>
      <c r="N80" s="1245" t="s">
        <v>217</v>
      </c>
      <c r="O80" s="1457" t="s">
        <v>494</v>
      </c>
    </row>
    <row r="81" spans="1:15" s="1375" customFormat="1" ht="12" customHeight="1">
      <c r="A81" s="1241">
        <f>A79+1</f>
        <v>51</v>
      </c>
      <c r="B81" s="1242" t="s">
        <v>342</v>
      </c>
      <c r="C81" s="1188" t="s">
        <v>545</v>
      </c>
      <c r="D81" s="1189" t="s">
        <v>223</v>
      </c>
      <c r="E81" s="1247">
        <v>891</v>
      </c>
      <c r="F81" s="1190">
        <v>891</v>
      </c>
      <c r="G81" s="1191">
        <v>891</v>
      </c>
      <c r="H81" s="1192">
        <v>350</v>
      </c>
      <c r="I81" s="1193">
        <v>350</v>
      </c>
      <c r="J81" s="1194"/>
      <c r="K81" s="1195">
        <f t="shared" si="3"/>
        <v>0</v>
      </c>
      <c r="L81" s="1196">
        <f t="shared" si="8"/>
        <v>350</v>
      </c>
      <c r="M81" s="1244" t="s">
        <v>498</v>
      </c>
      <c r="N81" s="1245" t="s">
        <v>222</v>
      </c>
      <c r="O81" s="1454"/>
    </row>
    <row r="82" spans="1:15" s="1375" customFormat="1" ht="12" customHeight="1">
      <c r="A82" s="1241">
        <f t="shared" si="7"/>
        <v>52</v>
      </c>
      <c r="B82" s="1242" t="s">
        <v>342</v>
      </c>
      <c r="C82" s="1188" t="s">
        <v>545</v>
      </c>
      <c r="D82" s="1189" t="s">
        <v>134</v>
      </c>
      <c r="E82" s="1247">
        <v>1366</v>
      </c>
      <c r="F82" s="1247">
        <v>1366</v>
      </c>
      <c r="G82" s="1201">
        <v>1700</v>
      </c>
      <c r="H82" s="1192">
        <v>1900</v>
      </c>
      <c r="I82" s="1193">
        <v>2000</v>
      </c>
      <c r="J82" s="1194"/>
      <c r="K82" s="1195">
        <f t="shared" si="3"/>
        <v>0</v>
      </c>
      <c r="L82" s="1196">
        <f t="shared" si="8"/>
        <v>2000</v>
      </c>
      <c r="M82" s="1244" t="s">
        <v>499</v>
      </c>
      <c r="N82" s="1245" t="s">
        <v>226</v>
      </c>
      <c r="O82" s="1457"/>
    </row>
    <row r="83" spans="1:15" ht="12" customHeight="1">
      <c r="A83" s="1241">
        <f t="shared" si="7"/>
        <v>53</v>
      </c>
      <c r="B83" s="1242" t="s">
        <v>342</v>
      </c>
      <c r="C83" s="1188" t="s">
        <v>545</v>
      </c>
      <c r="D83" s="1189" t="s">
        <v>400</v>
      </c>
      <c r="E83" s="1247"/>
      <c r="F83" s="1247"/>
      <c r="G83" s="1201">
        <v>200</v>
      </c>
      <c r="H83" s="1192"/>
      <c r="I83" s="1193"/>
      <c r="J83" s="1194"/>
      <c r="K83" s="1195">
        <f t="shared" si="3"/>
        <v>0</v>
      </c>
      <c r="L83" s="1196">
        <f t="shared" si="8"/>
        <v>0</v>
      </c>
      <c r="M83" s="1244" t="s">
        <v>225</v>
      </c>
      <c r="N83" s="1245" t="s">
        <v>226</v>
      </c>
      <c r="O83" s="1454"/>
    </row>
    <row r="84" spans="1:15" ht="12" customHeight="1">
      <c r="A84" s="1241">
        <f t="shared" si="7"/>
        <v>54</v>
      </c>
      <c r="B84" s="1242" t="s">
        <v>342</v>
      </c>
      <c r="C84" s="1188" t="s">
        <v>545</v>
      </c>
      <c r="D84" s="1262" t="s">
        <v>652</v>
      </c>
      <c r="E84" s="1247"/>
      <c r="F84" s="1247"/>
      <c r="G84" s="1201"/>
      <c r="H84" s="1192">
        <v>1000</v>
      </c>
      <c r="I84" s="1193"/>
      <c r="J84" s="1194"/>
      <c r="K84" s="1195">
        <f>I84*J84</f>
        <v>0</v>
      </c>
      <c r="L84" s="1196">
        <f t="shared" si="8"/>
        <v>0</v>
      </c>
      <c r="M84" s="1270"/>
      <c r="N84" s="1245" t="s">
        <v>226</v>
      </c>
      <c r="O84" s="1457"/>
    </row>
    <row r="85" spans="1:15" ht="12" customHeight="1">
      <c r="A85" s="1241">
        <f t="shared" si="7"/>
        <v>55</v>
      </c>
      <c r="B85" s="1264" t="s">
        <v>342</v>
      </c>
      <c r="C85" s="1188" t="s">
        <v>545</v>
      </c>
      <c r="D85" s="1265" t="s">
        <v>493</v>
      </c>
      <c r="E85" s="1271"/>
      <c r="F85" s="1271"/>
      <c r="G85" s="1272"/>
      <c r="H85" s="1268">
        <v>400</v>
      </c>
      <c r="I85" s="1269"/>
      <c r="J85" s="1194"/>
      <c r="K85" s="1195">
        <f>I85*J85</f>
        <v>0</v>
      </c>
      <c r="L85" s="1196">
        <f t="shared" si="8"/>
        <v>0</v>
      </c>
      <c r="M85" s="1263"/>
      <c r="N85" s="1245" t="s">
        <v>217</v>
      </c>
      <c r="O85" s="1457"/>
    </row>
    <row r="86" spans="1:15" ht="12" customHeight="1">
      <c r="A86" s="1241">
        <f t="shared" si="7"/>
        <v>56</v>
      </c>
      <c r="B86" s="1264" t="s">
        <v>342</v>
      </c>
      <c r="C86" s="1188" t="s">
        <v>545</v>
      </c>
      <c r="D86" s="1265" t="s">
        <v>495</v>
      </c>
      <c r="E86" s="1266"/>
      <c r="F86" s="1266"/>
      <c r="G86" s="1267"/>
      <c r="H86" s="1268">
        <v>660</v>
      </c>
      <c r="I86" s="1269"/>
      <c r="J86" s="1194"/>
      <c r="K86" s="1195">
        <f>I86*J86</f>
        <v>0</v>
      </c>
      <c r="L86" s="1196">
        <f t="shared" si="8"/>
        <v>0</v>
      </c>
      <c r="M86" s="1263"/>
      <c r="N86" s="1273" t="s">
        <v>217</v>
      </c>
      <c r="O86" s="1457"/>
    </row>
    <row r="87" spans="1:15" ht="12" customHeight="1">
      <c r="A87" s="1241">
        <f t="shared" si="7"/>
        <v>57</v>
      </c>
      <c r="B87" s="1264" t="s">
        <v>342</v>
      </c>
      <c r="C87" s="1188" t="s">
        <v>545</v>
      </c>
      <c r="D87" s="1265" t="s">
        <v>688</v>
      </c>
      <c r="E87" s="1266"/>
      <c r="F87" s="1266"/>
      <c r="G87" s="1267"/>
      <c r="H87" s="1268"/>
      <c r="I87" s="1269">
        <v>2000</v>
      </c>
      <c r="J87" s="1194"/>
      <c r="K87" s="1195">
        <f>I87*J87</f>
        <v>0</v>
      </c>
      <c r="L87" s="1196">
        <f>I87-K87</f>
        <v>2000</v>
      </c>
      <c r="M87" s="1244" t="s">
        <v>689</v>
      </c>
      <c r="N87" s="1273" t="s">
        <v>528</v>
      </c>
      <c r="O87" s="1457"/>
    </row>
    <row r="88" spans="1:15" ht="12" customHeight="1" thickBot="1">
      <c r="A88" s="1241">
        <f>A86+1</f>
        <v>57</v>
      </c>
      <c r="B88" s="1242" t="s">
        <v>342</v>
      </c>
      <c r="C88" s="1188" t="s">
        <v>545</v>
      </c>
      <c r="D88" s="1262" t="s">
        <v>595</v>
      </c>
      <c r="E88" s="1190"/>
      <c r="F88" s="1190"/>
      <c r="G88" s="1191"/>
      <c r="H88" s="1192">
        <v>200</v>
      </c>
      <c r="I88" s="1193">
        <v>180</v>
      </c>
      <c r="J88" s="1194"/>
      <c r="K88" s="1195">
        <f>I88*J88</f>
        <v>0</v>
      </c>
      <c r="L88" s="1196">
        <f t="shared" si="8"/>
        <v>180</v>
      </c>
      <c r="M88" s="1244" t="s">
        <v>687</v>
      </c>
      <c r="N88" s="1245" t="s">
        <v>525</v>
      </c>
      <c r="O88" s="1457" t="s">
        <v>494</v>
      </c>
    </row>
    <row r="89" spans="1:15" ht="12" customHeight="1" thickBot="1">
      <c r="A89" s="1275">
        <f>A88+1</f>
        <v>58</v>
      </c>
      <c r="B89" s="1462" t="s">
        <v>342</v>
      </c>
      <c r="C89" s="1463" t="s">
        <v>545</v>
      </c>
      <c r="D89" s="1464" t="s">
        <v>656</v>
      </c>
      <c r="E89" s="1465">
        <v>16000</v>
      </c>
      <c r="F89" s="1465">
        <v>17500</v>
      </c>
      <c r="G89" s="1274">
        <v>17500</v>
      </c>
      <c r="H89" s="1466">
        <v>17500</v>
      </c>
      <c r="I89" s="1469">
        <v>17500</v>
      </c>
      <c r="J89" s="1470"/>
      <c r="K89" s="1471">
        <v>0</v>
      </c>
      <c r="L89" s="1469">
        <f t="shared" si="8"/>
        <v>17500</v>
      </c>
      <c r="M89" s="1275"/>
      <c r="N89" s="1467" t="s">
        <v>525</v>
      </c>
      <c r="O89" s="1468" t="s">
        <v>690</v>
      </c>
    </row>
    <row r="90" spans="1:15" ht="12" customHeight="1">
      <c r="A90" s="1276"/>
      <c r="B90" s="1277"/>
      <c r="C90" s="1278"/>
      <c r="D90" s="1279" t="s">
        <v>29</v>
      </c>
      <c r="E90" s="1280">
        <f>SUM(E28:E89)</f>
        <v>118267</v>
      </c>
      <c r="F90" s="1280">
        <f>SUM(F28:F89)</f>
        <v>98892</v>
      </c>
      <c r="G90" s="1281">
        <f>SUM(G28:G89)</f>
        <v>101859</v>
      </c>
      <c r="H90" s="1282">
        <f>SUM(H28:H89)</f>
        <v>97326</v>
      </c>
      <c r="I90" s="1281">
        <f>SUM(I28:I89)</f>
        <v>96349</v>
      </c>
      <c r="J90" s="1283"/>
      <c r="K90" s="1284">
        <f>SUM(K28:K89)</f>
        <v>8692.2</v>
      </c>
      <c r="L90" s="1285">
        <f>SUM(L28:L89)</f>
        <v>87656.8</v>
      </c>
      <c r="M90" s="1276"/>
      <c r="N90" s="1286"/>
      <c r="O90" s="1454"/>
    </row>
    <row r="91" spans="1:15" ht="12" customHeight="1">
      <c r="A91" s="1241">
        <f>A89+1</f>
        <v>59</v>
      </c>
      <c r="B91" s="1242"/>
      <c r="C91" s="1287"/>
      <c r="D91" s="1246" t="s">
        <v>691</v>
      </c>
      <c r="E91" s="1288"/>
      <c r="F91" s="1288"/>
      <c r="G91" s="1289"/>
      <c r="H91" s="1290"/>
      <c r="I91" s="1291">
        <v>380</v>
      </c>
      <c r="J91" s="1292"/>
      <c r="K91" s="1195">
        <f>I91*J91</f>
        <v>0</v>
      </c>
      <c r="L91" s="1196">
        <f>I91-K91</f>
        <v>380</v>
      </c>
      <c r="M91" s="1241"/>
      <c r="N91" s="1245"/>
      <c r="O91" s="1454"/>
    </row>
    <row r="92" spans="1:15" ht="12" customHeight="1">
      <c r="A92" s="1241">
        <f>A91+1</f>
        <v>60</v>
      </c>
      <c r="B92" s="1242" t="s">
        <v>342</v>
      </c>
      <c r="C92" s="1287" t="s">
        <v>563</v>
      </c>
      <c r="D92" s="1246" t="s">
        <v>416</v>
      </c>
      <c r="E92" s="1288"/>
      <c r="F92" s="1288"/>
      <c r="G92" s="1289">
        <v>100</v>
      </c>
      <c r="H92" s="1290">
        <v>100</v>
      </c>
      <c r="I92" s="1291">
        <v>100</v>
      </c>
      <c r="J92" s="1292"/>
      <c r="K92" s="1195">
        <f>I92*J92</f>
        <v>0</v>
      </c>
      <c r="L92" s="1196">
        <f>I92-K92</f>
        <v>100</v>
      </c>
      <c r="M92" s="1241"/>
      <c r="N92" s="1245"/>
      <c r="O92" s="1452"/>
    </row>
    <row r="93" spans="1:15" ht="12" customHeight="1">
      <c r="A93" s="1293"/>
      <c r="B93" s="1294"/>
      <c r="C93" s="1295"/>
      <c r="D93" s="1296" t="s">
        <v>417</v>
      </c>
      <c r="E93" s="1297">
        <f>SUM(E92:E92)</f>
        <v>0</v>
      </c>
      <c r="F93" s="1297">
        <f>SUM(F92:F92)</f>
        <v>0</v>
      </c>
      <c r="G93" s="1298">
        <f>SUM(G92:G92)</f>
        <v>100</v>
      </c>
      <c r="H93" s="1299">
        <f>SUM(H92:H92)</f>
        <v>100</v>
      </c>
      <c r="I93" s="1298">
        <f>SUM(I91:I92)</f>
        <v>480</v>
      </c>
      <c r="J93" s="1283"/>
      <c r="K93" s="1300">
        <f>SUM(K92)</f>
        <v>0</v>
      </c>
      <c r="L93" s="1301">
        <f>SUM(L91:L92)</f>
        <v>480</v>
      </c>
      <c r="M93" s="1302"/>
      <c r="N93" s="1303"/>
      <c r="O93" s="1454"/>
    </row>
    <row r="94" spans="1:15" ht="12" customHeight="1">
      <c r="A94" s="1304">
        <f>A92+1</f>
        <v>61</v>
      </c>
      <c r="B94" s="1305" t="s">
        <v>342</v>
      </c>
      <c r="C94" s="1306" t="s">
        <v>559</v>
      </c>
      <c r="D94" s="1307" t="s">
        <v>229</v>
      </c>
      <c r="E94" s="1308">
        <v>95</v>
      </c>
      <c r="F94" s="1308"/>
      <c r="G94" s="1309"/>
      <c r="H94" s="1310"/>
      <c r="I94" s="1311"/>
      <c r="J94" s="1312"/>
      <c r="K94" s="1313">
        <f>I94*J94</f>
        <v>0</v>
      </c>
      <c r="L94" s="1314">
        <f>I94-K94</f>
        <v>0</v>
      </c>
      <c r="M94" s="1304"/>
      <c r="N94" s="1315"/>
      <c r="O94" s="1457"/>
    </row>
    <row r="95" spans="1:15" ht="12" customHeight="1">
      <c r="A95" s="1304">
        <f>A94+1</f>
        <v>62</v>
      </c>
      <c r="B95" s="1305" t="s">
        <v>342</v>
      </c>
      <c r="C95" s="1306" t="s">
        <v>559</v>
      </c>
      <c r="D95" s="1373" t="s">
        <v>504</v>
      </c>
      <c r="E95" s="1308"/>
      <c r="F95" s="1308"/>
      <c r="G95" s="1309"/>
      <c r="H95" s="1310">
        <v>200</v>
      </c>
      <c r="I95" s="1311">
        <v>200</v>
      </c>
      <c r="J95" s="1312"/>
      <c r="K95" s="1313">
        <f>I95*J95</f>
        <v>0</v>
      </c>
      <c r="L95" s="1314">
        <f>I95-K95</f>
        <v>200</v>
      </c>
      <c r="M95" s="1304"/>
      <c r="N95" s="1315"/>
      <c r="O95" s="1457" t="s">
        <v>501</v>
      </c>
    </row>
    <row r="96" spans="1:15" ht="12" customHeight="1">
      <c r="A96" s="1293"/>
      <c r="B96" s="1294"/>
      <c r="C96" s="1295"/>
      <c r="D96" s="1296" t="s">
        <v>503</v>
      </c>
      <c r="E96" s="1280">
        <f>SUM(E94:E95)</f>
        <v>95</v>
      </c>
      <c r="F96" s="1280">
        <f aca="true" t="shared" si="9" ref="F96:K96">SUM(F94:F95)</f>
        <v>0</v>
      </c>
      <c r="G96" s="1316">
        <f t="shared" si="9"/>
        <v>0</v>
      </c>
      <c r="H96" s="1282">
        <f t="shared" si="9"/>
        <v>200</v>
      </c>
      <c r="I96" s="1316">
        <f t="shared" si="9"/>
        <v>200</v>
      </c>
      <c r="J96" s="1283">
        <f t="shared" si="9"/>
        <v>0</v>
      </c>
      <c r="K96" s="1317">
        <f t="shared" si="9"/>
        <v>0</v>
      </c>
      <c r="L96" s="1285">
        <f>SUM(L94:L95)</f>
        <v>200</v>
      </c>
      <c r="M96" s="1302"/>
      <c r="N96" s="1318"/>
      <c r="O96" s="1454"/>
    </row>
    <row r="97" spans="1:15" ht="12" customHeight="1">
      <c r="A97" s="1241">
        <f>A95+1</f>
        <v>63</v>
      </c>
      <c r="B97" s="1242" t="s">
        <v>342</v>
      </c>
      <c r="C97" s="1287" t="s">
        <v>560</v>
      </c>
      <c r="D97" s="1189" t="s">
        <v>163</v>
      </c>
      <c r="E97" s="1190">
        <v>2430</v>
      </c>
      <c r="F97" s="1190">
        <v>2700</v>
      </c>
      <c r="G97" s="1191">
        <v>2700</v>
      </c>
      <c r="H97" s="1192">
        <v>2700</v>
      </c>
      <c r="I97" s="1193">
        <v>2700</v>
      </c>
      <c r="J97" s="1194"/>
      <c r="K97" s="1195">
        <f>I97*J97</f>
        <v>0</v>
      </c>
      <c r="L97" s="1196">
        <f>I97-K97</f>
        <v>2700</v>
      </c>
      <c r="M97" s="1241"/>
      <c r="N97" s="1245"/>
      <c r="O97" s="1454"/>
    </row>
    <row r="98" spans="1:15" ht="12" customHeight="1">
      <c r="A98" s="1241">
        <f>A97+1</f>
        <v>64</v>
      </c>
      <c r="B98" s="1242" t="s">
        <v>342</v>
      </c>
      <c r="C98" s="1287" t="s">
        <v>560</v>
      </c>
      <c r="D98" s="1189" t="s">
        <v>407</v>
      </c>
      <c r="E98" s="1190"/>
      <c r="F98" s="1190"/>
      <c r="G98" s="1191">
        <v>1500</v>
      </c>
      <c r="H98" s="1192"/>
      <c r="I98" s="1193"/>
      <c r="J98" s="1194"/>
      <c r="K98" s="1195">
        <f>I98*J98</f>
        <v>0</v>
      </c>
      <c r="L98" s="1196">
        <f>I98-K98</f>
        <v>0</v>
      </c>
      <c r="M98" s="1241"/>
      <c r="N98" s="1245"/>
      <c r="O98" s="1454"/>
    </row>
    <row r="99" spans="1:15" ht="12" customHeight="1">
      <c r="A99" s="1241">
        <f>A98+1</f>
        <v>65</v>
      </c>
      <c r="B99" s="1242" t="s">
        <v>342</v>
      </c>
      <c r="C99" s="1287" t="s">
        <v>560</v>
      </c>
      <c r="D99" s="1189" t="s">
        <v>182</v>
      </c>
      <c r="E99" s="1319"/>
      <c r="F99" s="1319">
        <v>1000</v>
      </c>
      <c r="G99" s="1191">
        <v>1000</v>
      </c>
      <c r="H99" s="1192">
        <v>1000</v>
      </c>
      <c r="I99" s="1193">
        <v>1000</v>
      </c>
      <c r="J99" s="1194"/>
      <c r="K99" s="1195">
        <f>I99*J99</f>
        <v>0</v>
      </c>
      <c r="L99" s="1196">
        <f>I99-K99</f>
        <v>1000</v>
      </c>
      <c r="M99" s="1241"/>
      <c r="N99" s="1245"/>
      <c r="O99" s="1454"/>
    </row>
    <row r="100" spans="1:15" ht="12" customHeight="1">
      <c r="A100" s="1302"/>
      <c r="B100" s="1294"/>
      <c r="C100" s="1295"/>
      <c r="D100" s="1296" t="s">
        <v>176</v>
      </c>
      <c r="E100" s="1280">
        <f>SUM(E97:E99)</f>
        <v>2430</v>
      </c>
      <c r="F100" s="1280">
        <f>SUM(F97:F99)</f>
        <v>3700</v>
      </c>
      <c r="G100" s="1281">
        <f>SUM(G97:G99)</f>
        <v>5200</v>
      </c>
      <c r="H100" s="1282">
        <f>SUM(H97:H99)</f>
        <v>3700</v>
      </c>
      <c r="I100" s="1281">
        <f>SUM(I97:I99)</f>
        <v>3700</v>
      </c>
      <c r="J100" s="1283"/>
      <c r="K100" s="1317">
        <f>SUM(K97:K99)</f>
        <v>0</v>
      </c>
      <c r="L100" s="1285">
        <f>SUM(L97:L99)</f>
        <v>3700</v>
      </c>
      <c r="M100" s="1302"/>
      <c r="N100" s="1318"/>
      <c r="O100" s="1320"/>
    </row>
    <row r="101" spans="1:15" ht="12" customHeight="1">
      <c r="A101" s="1241">
        <f>A99+1</f>
        <v>66</v>
      </c>
      <c r="B101" s="1242" t="s">
        <v>342</v>
      </c>
      <c r="C101" s="1287" t="s">
        <v>561</v>
      </c>
      <c r="D101" s="1246" t="s">
        <v>152</v>
      </c>
      <c r="E101" s="1190">
        <v>5400</v>
      </c>
      <c r="F101" s="1190">
        <v>5400</v>
      </c>
      <c r="G101" s="1191">
        <v>1400</v>
      </c>
      <c r="H101" s="1192">
        <v>36000</v>
      </c>
      <c r="I101" s="1193">
        <v>36000</v>
      </c>
      <c r="J101" s="1194"/>
      <c r="K101" s="1195">
        <f>I101*J101</f>
        <v>0</v>
      </c>
      <c r="L101" s="1196">
        <f>I101-K101</f>
        <v>36000</v>
      </c>
      <c r="M101" s="1241"/>
      <c r="N101" s="1245"/>
      <c r="O101" s="1320"/>
    </row>
    <row r="102" spans="1:15" ht="12" customHeight="1">
      <c r="A102" s="1241">
        <f>A101+1</f>
        <v>67</v>
      </c>
      <c r="B102" s="1242" t="s">
        <v>342</v>
      </c>
      <c r="C102" s="1287" t="s">
        <v>561</v>
      </c>
      <c r="D102" s="1246" t="s">
        <v>228</v>
      </c>
      <c r="E102" s="1319"/>
      <c r="F102" s="1319">
        <v>5000</v>
      </c>
      <c r="G102" s="1191">
        <v>3000</v>
      </c>
      <c r="H102" s="1192"/>
      <c r="I102" s="1193"/>
      <c r="J102" s="1194"/>
      <c r="K102" s="1195">
        <f>I102*J102</f>
        <v>0</v>
      </c>
      <c r="L102" s="1196">
        <f>I102-K102</f>
        <v>0</v>
      </c>
      <c r="M102" s="1241"/>
      <c r="N102" s="1245"/>
      <c r="O102" s="1454"/>
    </row>
    <row r="103" spans="1:15" ht="12" customHeight="1">
      <c r="A103" s="1293"/>
      <c r="B103" s="1294"/>
      <c r="C103" s="1295"/>
      <c r="D103" s="1296" t="s">
        <v>30</v>
      </c>
      <c r="E103" s="1280">
        <f>SUM(E101:E102)</f>
        <v>5400</v>
      </c>
      <c r="F103" s="1280">
        <f>SUM(F101:F102)</f>
        <v>10400</v>
      </c>
      <c r="G103" s="1316">
        <f>SUM(G101:G102)</f>
        <v>4400</v>
      </c>
      <c r="H103" s="1282">
        <f>SUM(H101:H102)</f>
        <v>36000</v>
      </c>
      <c r="I103" s="1316">
        <f>SUM(I101:I102)</f>
        <v>36000</v>
      </c>
      <c r="J103" s="1283"/>
      <c r="K103" s="1317">
        <f>SUM(K101:K102)</f>
        <v>0</v>
      </c>
      <c r="L103" s="1285">
        <f>SUM(L101:L102)</f>
        <v>36000</v>
      </c>
      <c r="M103" s="1302"/>
      <c r="N103" s="1318"/>
      <c r="O103" s="1454"/>
    </row>
    <row r="104" spans="1:15" ht="12" customHeight="1">
      <c r="A104" s="1241">
        <f>A102+1</f>
        <v>68</v>
      </c>
      <c r="B104" s="1242" t="s">
        <v>342</v>
      </c>
      <c r="C104" s="1287" t="s">
        <v>558</v>
      </c>
      <c r="D104" s="1189" t="s">
        <v>93</v>
      </c>
      <c r="E104" s="1247">
        <v>250</v>
      </c>
      <c r="F104" s="1247">
        <v>250</v>
      </c>
      <c r="G104" s="1201">
        <v>250</v>
      </c>
      <c r="H104" s="1192">
        <v>250</v>
      </c>
      <c r="I104" s="1193">
        <v>250</v>
      </c>
      <c r="J104" s="1194"/>
      <c r="K104" s="1195">
        <f>I104*J104</f>
        <v>0</v>
      </c>
      <c r="L104" s="1196">
        <f>I104-K104</f>
        <v>250</v>
      </c>
      <c r="M104" s="1241"/>
      <c r="N104" s="1245"/>
      <c r="O104" s="1454"/>
    </row>
    <row r="105" spans="1:15" ht="12" customHeight="1">
      <c r="A105" s="1241">
        <f>A104+1</f>
        <v>69</v>
      </c>
      <c r="B105" s="1242" t="s">
        <v>342</v>
      </c>
      <c r="C105" s="1287" t="s">
        <v>558</v>
      </c>
      <c r="D105" s="1262" t="s">
        <v>651</v>
      </c>
      <c r="E105" s="1247"/>
      <c r="F105" s="1247"/>
      <c r="G105" s="1201"/>
      <c r="H105" s="1192">
        <v>300</v>
      </c>
      <c r="I105" s="1193">
        <v>300</v>
      </c>
      <c r="J105" s="1194"/>
      <c r="K105" s="1195">
        <f>I105*J105</f>
        <v>0</v>
      </c>
      <c r="L105" s="1196">
        <f>I105-K105</f>
        <v>300</v>
      </c>
      <c r="M105" s="1241"/>
      <c r="N105" s="1245"/>
      <c r="O105" s="1457" t="s">
        <v>501</v>
      </c>
    </row>
    <row r="106" spans="1:15" ht="12" customHeight="1">
      <c r="A106" s="1241">
        <f>A105+1</f>
        <v>70</v>
      </c>
      <c r="B106" s="1242" t="s">
        <v>342</v>
      </c>
      <c r="C106" s="1287" t="s">
        <v>558</v>
      </c>
      <c r="D106" s="1189" t="s">
        <v>406</v>
      </c>
      <c r="E106" s="1190"/>
      <c r="F106" s="1190"/>
      <c r="G106" s="1191">
        <v>250</v>
      </c>
      <c r="H106" s="1192">
        <v>250</v>
      </c>
      <c r="I106" s="1193">
        <v>250</v>
      </c>
      <c r="J106" s="1194"/>
      <c r="K106" s="1195">
        <f>I106*J106</f>
        <v>0</v>
      </c>
      <c r="L106" s="1196">
        <f>I106-K106</f>
        <v>250</v>
      </c>
      <c r="M106" s="1241"/>
      <c r="N106" s="1245"/>
      <c r="O106" s="1454"/>
    </row>
    <row r="107" spans="1:15" ht="12" customHeight="1">
      <c r="A107" s="1293"/>
      <c r="B107" s="1294"/>
      <c r="C107" s="1295"/>
      <c r="D107" s="1296" t="s">
        <v>175</v>
      </c>
      <c r="E107" s="1280">
        <f>SUM(E104:E106)</f>
        <v>250</v>
      </c>
      <c r="F107" s="1280">
        <f>SUM(F104:F106)</f>
        <v>250</v>
      </c>
      <c r="G107" s="1281">
        <f>SUM(G104:G106)</f>
        <v>500</v>
      </c>
      <c r="H107" s="1282">
        <f>SUM(H104:H106)</f>
        <v>800</v>
      </c>
      <c r="I107" s="1281">
        <f>SUM(I104:I106)</f>
        <v>800</v>
      </c>
      <c r="J107" s="1283"/>
      <c r="K107" s="1317">
        <f>SUM(K104:K106)</f>
        <v>0</v>
      </c>
      <c r="L107" s="1285">
        <f>SUM(L104:L106)</f>
        <v>800</v>
      </c>
      <c r="M107" s="1302"/>
      <c r="N107" s="1318"/>
      <c r="O107" s="1454"/>
    </row>
    <row r="108" spans="1:15" ht="12" customHeight="1">
      <c r="A108" s="1241">
        <f>A106+1</f>
        <v>71</v>
      </c>
      <c r="B108" s="1242" t="s">
        <v>342</v>
      </c>
      <c r="C108" s="1287" t="s">
        <v>562</v>
      </c>
      <c r="D108" s="1246" t="s">
        <v>153</v>
      </c>
      <c r="E108" s="1209">
        <v>270</v>
      </c>
      <c r="F108" s="1209">
        <v>300</v>
      </c>
      <c r="G108" s="1210">
        <v>300</v>
      </c>
      <c r="H108" s="1211">
        <v>300</v>
      </c>
      <c r="I108" s="1212">
        <v>300</v>
      </c>
      <c r="J108" s="1194"/>
      <c r="K108" s="1195">
        <f>I108*J108</f>
        <v>0</v>
      </c>
      <c r="L108" s="1196">
        <f>I108-K108</f>
        <v>300</v>
      </c>
      <c r="M108" s="1241"/>
      <c r="N108" s="1245"/>
      <c r="O108" s="1454"/>
    </row>
    <row r="109" spans="1:15" ht="12" customHeight="1">
      <c r="A109" s="1293"/>
      <c r="B109" s="1294"/>
      <c r="C109" s="1295"/>
      <c r="D109" s="1296" t="s">
        <v>97</v>
      </c>
      <c r="E109" s="1280">
        <f>SUM(E108)</f>
        <v>270</v>
      </c>
      <c r="F109" s="1280">
        <f>SUM(F108)</f>
        <v>300</v>
      </c>
      <c r="G109" s="1316">
        <f>SUM(G108:G108)</f>
        <v>300</v>
      </c>
      <c r="H109" s="1282">
        <f>SUM(H108:H108)</f>
        <v>300</v>
      </c>
      <c r="I109" s="1316">
        <f>SUM(I108:I108)</f>
        <v>300</v>
      </c>
      <c r="J109" s="1283"/>
      <c r="K109" s="1317">
        <f>SUM(K108:K108)</f>
        <v>0</v>
      </c>
      <c r="L109" s="1285">
        <f>SUM(L108:L108)</f>
        <v>300</v>
      </c>
      <c r="M109" s="1302"/>
      <c r="N109" s="1318"/>
      <c r="O109" s="1454"/>
    </row>
    <row r="110" spans="1:15" ht="12" customHeight="1">
      <c r="A110" s="1241">
        <f>A108+1</f>
        <v>72</v>
      </c>
      <c r="B110" s="1242" t="s">
        <v>342</v>
      </c>
      <c r="C110" s="1287" t="s">
        <v>547</v>
      </c>
      <c r="D110" s="1189" t="s">
        <v>506</v>
      </c>
      <c r="E110" s="1190"/>
      <c r="F110" s="1190"/>
      <c r="G110" s="1191"/>
      <c r="H110" s="1192">
        <v>2000</v>
      </c>
      <c r="I110" s="1193">
        <v>2000</v>
      </c>
      <c r="J110" s="1194"/>
      <c r="K110" s="1195">
        <f>I110*J110</f>
        <v>0</v>
      </c>
      <c r="L110" s="1196">
        <f>I110-K110</f>
        <v>2000</v>
      </c>
      <c r="M110" s="1241"/>
      <c r="N110" s="1245"/>
      <c r="O110" s="1372" t="s">
        <v>647</v>
      </c>
    </row>
    <row r="111" spans="1:15" ht="12" customHeight="1">
      <c r="A111" s="1241">
        <f>A110+1</f>
        <v>73</v>
      </c>
      <c r="B111" s="1242" t="s">
        <v>342</v>
      </c>
      <c r="C111" s="1287" t="s">
        <v>547</v>
      </c>
      <c r="D111" s="1246" t="s">
        <v>507</v>
      </c>
      <c r="E111" s="1219"/>
      <c r="F111" s="1219"/>
      <c r="G111" s="1220"/>
      <c r="H111" s="1211"/>
      <c r="I111" s="1212"/>
      <c r="J111" s="1194"/>
      <c r="K111" s="1195">
        <f>I111*J111</f>
        <v>0</v>
      </c>
      <c r="L111" s="1196">
        <f>I111-K111</f>
        <v>0</v>
      </c>
      <c r="M111" s="1241"/>
      <c r="N111" s="1245"/>
      <c r="O111" s="1458"/>
    </row>
    <row r="112" spans="1:15" ht="12" customHeight="1">
      <c r="A112" s="1293"/>
      <c r="B112" s="1294"/>
      <c r="C112" s="1295"/>
      <c r="D112" s="1296" t="s">
        <v>505</v>
      </c>
      <c r="E112" s="1316">
        <f>SUM(E110:E111)</f>
        <v>0</v>
      </c>
      <c r="F112" s="1316">
        <f>SUM(F110:F111)</f>
        <v>0</v>
      </c>
      <c r="G112" s="1316">
        <f>SUM(G110:G111)</f>
        <v>0</v>
      </c>
      <c r="H112" s="1299">
        <f>SUM(H110:H111)</f>
        <v>2000</v>
      </c>
      <c r="I112" s="1298">
        <f>SUM(I110:I111)</f>
        <v>2000</v>
      </c>
      <c r="J112" s="1283"/>
      <c r="K112" s="1300">
        <f>SUM(K110:K111)</f>
        <v>0</v>
      </c>
      <c r="L112" s="1301">
        <f>SUM(L110:L111)</f>
        <v>2000</v>
      </c>
      <c r="M112" s="1302"/>
      <c r="N112" s="1318"/>
      <c r="O112" s="1458"/>
    </row>
    <row r="113" spans="1:15" ht="12" customHeight="1">
      <c r="A113" s="1241">
        <f>A111+1</f>
        <v>74</v>
      </c>
      <c r="B113" s="1242" t="s">
        <v>342</v>
      </c>
      <c r="C113" s="1287" t="s">
        <v>556</v>
      </c>
      <c r="D113" s="1189" t="s">
        <v>231</v>
      </c>
      <c r="E113" s="1190"/>
      <c r="F113" s="1190"/>
      <c r="G113" s="1191">
        <v>1500</v>
      </c>
      <c r="H113" s="1192">
        <v>1800</v>
      </c>
      <c r="I113" s="1193">
        <v>1800</v>
      </c>
      <c r="J113" s="1194"/>
      <c r="K113" s="1195">
        <f>I113*J113</f>
        <v>0</v>
      </c>
      <c r="L113" s="1196">
        <f>I113-K113</f>
        <v>1800</v>
      </c>
      <c r="M113" s="1241"/>
      <c r="N113" s="1245"/>
      <c r="O113" s="1454"/>
    </row>
    <row r="114" spans="1:15" ht="12" customHeight="1">
      <c r="A114" s="1293"/>
      <c r="B114" s="1294"/>
      <c r="C114" s="1295"/>
      <c r="D114" s="1296" t="s">
        <v>413</v>
      </c>
      <c r="E114" s="1316">
        <f>SUM(E113)</f>
        <v>0</v>
      </c>
      <c r="F114" s="1316">
        <f>SUM(F113)</f>
        <v>0</v>
      </c>
      <c r="G114" s="1316">
        <f>SUM(G113)</f>
        <v>1500</v>
      </c>
      <c r="H114" s="1282">
        <f>SUM(H113)</f>
        <v>1800</v>
      </c>
      <c r="I114" s="1316">
        <f>SUM(I113)</f>
        <v>1800</v>
      </c>
      <c r="J114" s="1283"/>
      <c r="K114" s="1317">
        <f>SUM(K113)</f>
        <v>0</v>
      </c>
      <c r="L114" s="1285">
        <f>SUM(L113)</f>
        <v>1800</v>
      </c>
      <c r="M114" s="1302"/>
      <c r="N114" s="1318"/>
      <c r="O114" s="1454"/>
    </row>
    <row r="115" spans="1:15" ht="12" customHeight="1">
      <c r="A115" s="1241">
        <f>A113+1</f>
        <v>75</v>
      </c>
      <c r="B115" s="1242" t="s">
        <v>342</v>
      </c>
      <c r="C115" s="1287" t="s">
        <v>548</v>
      </c>
      <c r="D115" s="1189"/>
      <c r="E115" s="1190"/>
      <c r="F115" s="1190"/>
      <c r="G115" s="1191"/>
      <c r="H115" s="1192"/>
      <c r="I115" s="1193"/>
      <c r="J115" s="1194"/>
      <c r="K115" s="1195">
        <f>I115*J115</f>
        <v>0</v>
      </c>
      <c r="L115" s="1196">
        <f>I115-K115</f>
        <v>0</v>
      </c>
      <c r="M115" s="1241"/>
      <c r="N115" s="1245"/>
      <c r="O115" s="1452"/>
    </row>
    <row r="116" spans="1:15" ht="12" customHeight="1">
      <c r="A116" s="1293"/>
      <c r="B116" s="1294"/>
      <c r="C116" s="1295"/>
      <c r="D116" s="1296" t="s">
        <v>508</v>
      </c>
      <c r="E116" s="1316">
        <f>SUM(E115)</f>
        <v>0</v>
      </c>
      <c r="F116" s="1316">
        <f>SUM(F115)</f>
        <v>0</v>
      </c>
      <c r="G116" s="1316">
        <f>SUM(G115)</f>
        <v>0</v>
      </c>
      <c r="H116" s="1282">
        <f>SUM(H115)</f>
        <v>0</v>
      </c>
      <c r="I116" s="1316">
        <f>SUM(I115)</f>
        <v>0</v>
      </c>
      <c r="J116" s="1283"/>
      <c r="K116" s="1317">
        <f>SUM(K115)</f>
        <v>0</v>
      </c>
      <c r="L116" s="1285">
        <f>SUM(L115)</f>
        <v>0</v>
      </c>
      <c r="M116" s="1302"/>
      <c r="N116" s="1318"/>
      <c r="O116" s="1454"/>
    </row>
    <row r="117" spans="1:15" ht="12" customHeight="1">
      <c r="A117" s="1241">
        <f>A115+1</f>
        <v>76</v>
      </c>
      <c r="B117" s="1242" t="s">
        <v>342</v>
      </c>
      <c r="C117" s="1287" t="s">
        <v>557</v>
      </c>
      <c r="D117" s="1189" t="s">
        <v>326</v>
      </c>
      <c r="E117" s="1247"/>
      <c r="F117" s="1247"/>
      <c r="G117" s="1201">
        <v>7516</v>
      </c>
      <c r="H117" s="1192">
        <v>9598</v>
      </c>
      <c r="I117" s="1193">
        <v>9598</v>
      </c>
      <c r="J117" s="1194"/>
      <c r="K117" s="1195">
        <f aca="true" t="shared" si="10" ref="K117:K122">I117*J117</f>
        <v>0</v>
      </c>
      <c r="L117" s="1196">
        <f aca="true" t="shared" si="11" ref="L117:L122">I117-K117</f>
        <v>9598</v>
      </c>
      <c r="M117" s="1241"/>
      <c r="N117" s="1245"/>
      <c r="O117" s="1454"/>
    </row>
    <row r="118" spans="1:15" ht="12" customHeight="1">
      <c r="A118" s="1241">
        <f>A117+1</f>
        <v>77</v>
      </c>
      <c r="B118" s="1242" t="s">
        <v>342</v>
      </c>
      <c r="C118" s="1287" t="s">
        <v>557</v>
      </c>
      <c r="D118" s="1189" t="s">
        <v>409</v>
      </c>
      <c r="E118" s="1247"/>
      <c r="F118" s="1247"/>
      <c r="G118" s="1201">
        <v>500</v>
      </c>
      <c r="H118" s="1192">
        <v>250</v>
      </c>
      <c r="I118" s="1193">
        <v>250</v>
      </c>
      <c r="J118" s="1194"/>
      <c r="K118" s="1195">
        <f t="shared" si="10"/>
        <v>0</v>
      </c>
      <c r="L118" s="1196">
        <f t="shared" si="11"/>
        <v>250</v>
      </c>
      <c r="M118" s="1241"/>
      <c r="N118" s="1245"/>
      <c r="O118" s="1454"/>
    </row>
    <row r="119" spans="1:15" ht="12" customHeight="1">
      <c r="A119" s="1241">
        <f>A118+1</f>
        <v>78</v>
      </c>
      <c r="B119" s="1242" t="s">
        <v>342</v>
      </c>
      <c r="C119" s="1287" t="s">
        <v>557</v>
      </c>
      <c r="D119" s="1189" t="s">
        <v>410</v>
      </c>
      <c r="E119" s="1247"/>
      <c r="F119" s="1247"/>
      <c r="G119" s="1201">
        <v>1100</v>
      </c>
      <c r="H119" s="1192">
        <v>800</v>
      </c>
      <c r="I119" s="1193">
        <v>800</v>
      </c>
      <c r="J119" s="1194"/>
      <c r="K119" s="1195">
        <f t="shared" si="10"/>
        <v>0</v>
      </c>
      <c r="L119" s="1196">
        <f t="shared" si="11"/>
        <v>800</v>
      </c>
      <c r="M119" s="1241"/>
      <c r="N119" s="1245"/>
      <c r="O119" s="1454"/>
    </row>
    <row r="120" spans="1:15" ht="12" customHeight="1">
      <c r="A120" s="1241">
        <f>A119+1</f>
        <v>79</v>
      </c>
      <c r="B120" s="1242" t="s">
        <v>342</v>
      </c>
      <c r="C120" s="1287" t="s">
        <v>557</v>
      </c>
      <c r="D120" s="1189" t="s">
        <v>107</v>
      </c>
      <c r="E120" s="1247"/>
      <c r="F120" s="1247"/>
      <c r="G120" s="1201">
        <v>1000</v>
      </c>
      <c r="H120" s="1192"/>
      <c r="I120" s="1193"/>
      <c r="J120" s="1194"/>
      <c r="K120" s="1195">
        <f t="shared" si="10"/>
        <v>0</v>
      </c>
      <c r="L120" s="1196">
        <f t="shared" si="11"/>
        <v>0</v>
      </c>
      <c r="M120" s="1241"/>
      <c r="N120" s="1245"/>
      <c r="O120" s="1454"/>
    </row>
    <row r="121" spans="1:15" ht="12" customHeight="1">
      <c r="A121" s="1241">
        <f>A120+1</f>
        <v>80</v>
      </c>
      <c r="B121" s="1242" t="s">
        <v>342</v>
      </c>
      <c r="C121" s="1287" t="s">
        <v>557</v>
      </c>
      <c r="D121" s="1189" t="s">
        <v>411</v>
      </c>
      <c r="E121" s="1247"/>
      <c r="F121" s="1247"/>
      <c r="G121" s="1201">
        <v>600</v>
      </c>
      <c r="H121" s="1192"/>
      <c r="I121" s="1193"/>
      <c r="J121" s="1194"/>
      <c r="K121" s="1195">
        <f t="shared" si="10"/>
        <v>0</v>
      </c>
      <c r="L121" s="1196">
        <f t="shared" si="11"/>
        <v>0</v>
      </c>
      <c r="M121" s="1241"/>
      <c r="N121" s="1245"/>
      <c r="O121" s="1454"/>
    </row>
    <row r="122" spans="1:15" ht="12" customHeight="1">
      <c r="A122" s="1241">
        <f>A121+1</f>
        <v>81</v>
      </c>
      <c r="B122" s="1242" t="s">
        <v>342</v>
      </c>
      <c r="C122" s="1321" t="s">
        <v>557</v>
      </c>
      <c r="D122" s="1322" t="s">
        <v>412</v>
      </c>
      <c r="E122" s="1247"/>
      <c r="F122" s="1247"/>
      <c r="G122" s="1201">
        <v>250</v>
      </c>
      <c r="H122" s="1192"/>
      <c r="I122" s="1193"/>
      <c r="J122" s="1194"/>
      <c r="K122" s="1195">
        <f t="shared" si="10"/>
        <v>0</v>
      </c>
      <c r="L122" s="1196">
        <f t="shared" si="11"/>
        <v>0</v>
      </c>
      <c r="M122" s="1323"/>
      <c r="N122" s="1273"/>
      <c r="O122" s="1454"/>
    </row>
    <row r="123" spans="1:15" ht="12" customHeight="1">
      <c r="A123" s="1293"/>
      <c r="B123" s="1294"/>
      <c r="C123" s="1295"/>
      <c r="D123" s="1296" t="s">
        <v>327</v>
      </c>
      <c r="E123" s="1280">
        <v>0</v>
      </c>
      <c r="F123" s="1280">
        <v>11366</v>
      </c>
      <c r="G123" s="1316">
        <f>SUM(G117:G122)</f>
        <v>10966</v>
      </c>
      <c r="H123" s="1282">
        <f>SUM(H117:H122)</f>
        <v>10648</v>
      </c>
      <c r="I123" s="1316">
        <f>SUM(I117:I122)</f>
        <v>10648</v>
      </c>
      <c r="J123" s="1283"/>
      <c r="K123" s="1317">
        <f>SUM(K117:K122)</f>
        <v>0</v>
      </c>
      <c r="L123" s="1285">
        <f>SUM(L117:L122)</f>
        <v>10648</v>
      </c>
      <c r="M123" s="1302"/>
      <c r="N123" s="1318"/>
      <c r="O123" s="1454"/>
    </row>
    <row r="124" spans="1:15" ht="12" customHeight="1">
      <c r="A124" s="1241">
        <f>A122+1</f>
        <v>82</v>
      </c>
      <c r="B124" s="1242" t="s">
        <v>342</v>
      </c>
      <c r="C124" s="1287" t="s">
        <v>549</v>
      </c>
      <c r="D124" s="1189" t="s">
        <v>418</v>
      </c>
      <c r="E124" s="1247">
        <v>1400</v>
      </c>
      <c r="F124" s="1247">
        <v>1400</v>
      </c>
      <c r="G124" s="1201">
        <v>1400</v>
      </c>
      <c r="H124" s="1260">
        <v>1400</v>
      </c>
      <c r="I124" s="1193">
        <v>1400</v>
      </c>
      <c r="J124" s="1324"/>
      <c r="K124" s="1195">
        <f>I124*J124</f>
        <v>0</v>
      </c>
      <c r="L124" s="1196">
        <f>I124-K124</f>
        <v>1400</v>
      </c>
      <c r="M124" s="1241"/>
      <c r="N124" s="1245"/>
      <c r="O124" s="1452"/>
    </row>
    <row r="125" spans="1:15" ht="12" customHeight="1">
      <c r="A125" s="1293"/>
      <c r="B125" s="1294"/>
      <c r="C125" s="1295"/>
      <c r="D125" s="1296" t="s">
        <v>230</v>
      </c>
      <c r="E125" s="1280">
        <f>SUM(E124)</f>
        <v>1400</v>
      </c>
      <c r="F125" s="1280">
        <f>SUM(F124)</f>
        <v>1400</v>
      </c>
      <c r="G125" s="1316">
        <f>SUM(G124)</f>
        <v>1400</v>
      </c>
      <c r="H125" s="1282">
        <f>SUM(H124)</f>
        <v>1400</v>
      </c>
      <c r="I125" s="1316">
        <f>SUM(I124)</f>
        <v>1400</v>
      </c>
      <c r="J125" s="1283"/>
      <c r="K125" s="1317">
        <f>SUM(K124)</f>
        <v>0</v>
      </c>
      <c r="L125" s="1285">
        <f>SUM(L124)</f>
        <v>1400</v>
      </c>
      <c r="M125" s="1302"/>
      <c r="N125" s="1318"/>
      <c r="O125" s="1454"/>
    </row>
    <row r="126" spans="1:15" ht="12" customHeight="1">
      <c r="A126" s="1241">
        <f>A124+1</f>
        <v>83</v>
      </c>
      <c r="B126" s="1242" t="s">
        <v>342</v>
      </c>
      <c r="C126" s="1287" t="s">
        <v>550</v>
      </c>
      <c r="D126" s="1246" t="s">
        <v>104</v>
      </c>
      <c r="E126" s="1219">
        <v>1250</v>
      </c>
      <c r="F126" s="1219">
        <v>1000</v>
      </c>
      <c r="G126" s="1220">
        <v>1000</v>
      </c>
      <c r="H126" s="1211">
        <v>0</v>
      </c>
      <c r="I126" s="1212">
        <v>0</v>
      </c>
      <c r="J126" s="1194"/>
      <c r="K126" s="1195">
        <f>I126*J126</f>
        <v>0</v>
      </c>
      <c r="L126" s="1196">
        <f>I126-K126</f>
        <v>0</v>
      </c>
      <c r="M126" s="1241"/>
      <c r="N126" s="1245"/>
      <c r="O126" s="1454"/>
    </row>
    <row r="127" spans="1:15" ht="12" customHeight="1">
      <c r="A127" s="1293"/>
      <c r="B127" s="1294"/>
      <c r="C127" s="1295"/>
      <c r="D127" s="1296" t="s">
        <v>105</v>
      </c>
      <c r="E127" s="1297">
        <f>SUM(E126)</f>
        <v>1250</v>
      </c>
      <c r="F127" s="1297">
        <f>SUM(F126)</f>
        <v>1000</v>
      </c>
      <c r="G127" s="1298">
        <f>SUM(G126)</f>
        <v>1000</v>
      </c>
      <c r="H127" s="1299">
        <f>SUM(H126:H126)</f>
        <v>0</v>
      </c>
      <c r="I127" s="1298">
        <f>SUM(I126:I126)</f>
        <v>0</v>
      </c>
      <c r="J127" s="1283"/>
      <c r="K127" s="1317">
        <f>SUM(K126)</f>
        <v>0</v>
      </c>
      <c r="L127" s="1301">
        <f>SUM(L126:L126)</f>
        <v>0</v>
      </c>
      <c r="M127" s="1302"/>
      <c r="N127" s="1318"/>
      <c r="O127" s="1454"/>
    </row>
    <row r="128" spans="1:15" ht="12" customHeight="1">
      <c r="A128" s="1241">
        <f>A126+1</f>
        <v>84</v>
      </c>
      <c r="B128" s="1242" t="s">
        <v>342</v>
      </c>
      <c r="C128" s="1188" t="s">
        <v>552</v>
      </c>
      <c r="D128" s="1189" t="s">
        <v>405</v>
      </c>
      <c r="E128" s="1325">
        <v>450</v>
      </c>
      <c r="F128" s="1325">
        <v>300</v>
      </c>
      <c r="G128" s="1326">
        <v>1100</v>
      </c>
      <c r="H128" s="1327">
        <v>1270</v>
      </c>
      <c r="I128" s="1328">
        <v>1270</v>
      </c>
      <c r="J128" s="1218">
        <v>1</v>
      </c>
      <c r="K128" s="1195">
        <f>I128*J128</f>
        <v>1270</v>
      </c>
      <c r="L128" s="1196">
        <f>I128-K128</f>
        <v>0</v>
      </c>
      <c r="M128" s="1241"/>
      <c r="N128" s="1245"/>
      <c r="O128" s="1372" t="s">
        <v>648</v>
      </c>
    </row>
    <row r="129" spans="1:15" ht="12" customHeight="1">
      <c r="A129" s="1302"/>
      <c r="B129" s="1294"/>
      <c r="C129" s="1295"/>
      <c r="D129" s="1296" t="s">
        <v>136</v>
      </c>
      <c r="E129" s="1280">
        <f>SUM(E128)</f>
        <v>450</v>
      </c>
      <c r="F129" s="1280">
        <f>SUM(F128)</f>
        <v>300</v>
      </c>
      <c r="G129" s="1281">
        <f>SUM(G128:G128)</f>
        <v>1100</v>
      </c>
      <c r="H129" s="1282">
        <f>SUM(H128:H128)</f>
        <v>1270</v>
      </c>
      <c r="I129" s="1281">
        <f>SUM(I128:I128)</f>
        <v>1270</v>
      </c>
      <c r="J129" s="1283"/>
      <c r="K129" s="1317">
        <f>SUM(K128:K128)</f>
        <v>1270</v>
      </c>
      <c r="L129" s="1285">
        <f>SUM(L128:L128)</f>
        <v>0</v>
      </c>
      <c r="M129" s="1302"/>
      <c r="N129" s="1318"/>
      <c r="O129" s="1454"/>
    </row>
    <row r="130" spans="1:15" ht="12" customHeight="1">
      <c r="A130" s="1241">
        <f>A128+1</f>
        <v>85</v>
      </c>
      <c r="B130" s="1242" t="s">
        <v>342</v>
      </c>
      <c r="C130" s="1287" t="s">
        <v>553</v>
      </c>
      <c r="D130" s="1189" t="s">
        <v>69</v>
      </c>
      <c r="E130" s="1219"/>
      <c r="F130" s="1219">
        <v>7250</v>
      </c>
      <c r="G130" s="1220">
        <v>7250</v>
      </c>
      <c r="H130" s="1211">
        <v>7250</v>
      </c>
      <c r="I130" s="1212">
        <v>7250</v>
      </c>
      <c r="J130" s="1218">
        <f>$J$5</f>
        <v>0.36</v>
      </c>
      <c r="K130" s="1195">
        <f aca="true" t="shared" si="12" ref="K130:K150">I130*J130</f>
        <v>2610</v>
      </c>
      <c r="L130" s="1196">
        <f aca="true" t="shared" si="13" ref="L130:L150">I130-K130</f>
        <v>4640</v>
      </c>
      <c r="M130" s="1241"/>
      <c r="N130" s="1245"/>
      <c r="O130" s="1454"/>
    </row>
    <row r="131" spans="1:15" ht="12" customHeight="1">
      <c r="A131" s="1241">
        <f>A130+1</f>
        <v>86</v>
      </c>
      <c r="B131" s="1242" t="s">
        <v>342</v>
      </c>
      <c r="C131" s="1287" t="s">
        <v>553</v>
      </c>
      <c r="D131" s="1189" t="s">
        <v>313</v>
      </c>
      <c r="E131" s="1209"/>
      <c r="F131" s="1209">
        <v>1000</v>
      </c>
      <c r="G131" s="1210">
        <v>1000</v>
      </c>
      <c r="H131" s="1211">
        <v>1000</v>
      </c>
      <c r="I131" s="1212">
        <v>1150</v>
      </c>
      <c r="J131" s="1218">
        <f>$J$5</f>
        <v>0.36</v>
      </c>
      <c r="K131" s="1195">
        <f t="shared" si="12"/>
        <v>414</v>
      </c>
      <c r="L131" s="1196">
        <f t="shared" si="13"/>
        <v>736</v>
      </c>
      <c r="M131" s="1241"/>
      <c r="N131" s="1245"/>
      <c r="O131" s="1454"/>
    </row>
    <row r="132" spans="1:15" ht="12" customHeight="1">
      <c r="A132" s="1241">
        <f aca="true" t="shared" si="14" ref="A132:A150">A131+1</f>
        <v>87</v>
      </c>
      <c r="B132" s="1242" t="s">
        <v>342</v>
      </c>
      <c r="C132" s="1287" t="s">
        <v>553</v>
      </c>
      <c r="D132" s="1189" t="s">
        <v>314</v>
      </c>
      <c r="E132" s="1329"/>
      <c r="F132" s="1329">
        <v>200</v>
      </c>
      <c r="G132" s="1330">
        <v>650</v>
      </c>
      <c r="H132" s="1331">
        <v>650</v>
      </c>
      <c r="I132" s="1332">
        <v>650</v>
      </c>
      <c r="J132" s="1218">
        <f>$J$5</f>
        <v>0.36</v>
      </c>
      <c r="K132" s="1195">
        <f t="shared" si="12"/>
        <v>234</v>
      </c>
      <c r="L132" s="1196">
        <f t="shared" si="13"/>
        <v>416</v>
      </c>
      <c r="M132" s="1241"/>
      <c r="N132" s="1245"/>
      <c r="O132" s="1454"/>
    </row>
    <row r="133" spans="1:15" ht="12" customHeight="1">
      <c r="A133" s="1241">
        <f t="shared" si="14"/>
        <v>88</v>
      </c>
      <c r="B133" s="1242" t="s">
        <v>342</v>
      </c>
      <c r="C133" s="1287" t="s">
        <v>553</v>
      </c>
      <c r="D133" s="1189" t="s">
        <v>96</v>
      </c>
      <c r="E133" s="1333"/>
      <c r="F133" s="1333">
        <v>570</v>
      </c>
      <c r="G133" s="1334">
        <v>570</v>
      </c>
      <c r="H133" s="1331">
        <v>570</v>
      </c>
      <c r="I133" s="1332">
        <v>300</v>
      </c>
      <c r="J133" s="1218"/>
      <c r="K133" s="1195">
        <f t="shared" si="12"/>
        <v>0</v>
      </c>
      <c r="L133" s="1196">
        <f t="shared" si="13"/>
        <v>300</v>
      </c>
      <c r="M133" s="1241"/>
      <c r="N133" s="1245"/>
      <c r="O133" s="1454"/>
    </row>
    <row r="134" spans="1:15" ht="12" customHeight="1">
      <c r="A134" s="1241">
        <f t="shared" si="14"/>
        <v>89</v>
      </c>
      <c r="B134" s="1242" t="s">
        <v>342</v>
      </c>
      <c r="C134" s="1287" t="s">
        <v>553</v>
      </c>
      <c r="D134" s="1189" t="s">
        <v>315</v>
      </c>
      <c r="E134" s="1209"/>
      <c r="F134" s="1209">
        <v>700</v>
      </c>
      <c r="G134" s="1210">
        <v>700</v>
      </c>
      <c r="H134" s="1211">
        <v>700</v>
      </c>
      <c r="I134" s="1212">
        <v>600</v>
      </c>
      <c r="J134" s="1218">
        <f>$J$5</f>
        <v>0.36</v>
      </c>
      <c r="K134" s="1195">
        <f t="shared" si="12"/>
        <v>216</v>
      </c>
      <c r="L134" s="1196">
        <f t="shared" si="13"/>
        <v>384</v>
      </c>
      <c r="M134" s="1241"/>
      <c r="N134" s="1245"/>
      <c r="O134" s="1454"/>
    </row>
    <row r="135" spans="1:15" ht="12" customHeight="1">
      <c r="A135" s="1241">
        <f t="shared" si="14"/>
        <v>90</v>
      </c>
      <c r="B135" s="1242" t="s">
        <v>342</v>
      </c>
      <c r="C135" s="1287" t="s">
        <v>553</v>
      </c>
      <c r="D135" s="1189" t="s">
        <v>316</v>
      </c>
      <c r="E135" s="1209"/>
      <c r="F135" s="1209">
        <v>750</v>
      </c>
      <c r="G135" s="1210">
        <v>780</v>
      </c>
      <c r="H135" s="1211">
        <v>830</v>
      </c>
      <c r="I135" s="1212">
        <v>845</v>
      </c>
      <c r="J135" s="1218">
        <f>$J$5</f>
        <v>0.36</v>
      </c>
      <c r="K135" s="1195">
        <f t="shared" si="12"/>
        <v>304.2</v>
      </c>
      <c r="L135" s="1196">
        <f t="shared" si="13"/>
        <v>540.8</v>
      </c>
      <c r="M135" s="1241"/>
      <c r="N135" s="1245"/>
      <c r="O135" s="1454"/>
    </row>
    <row r="136" spans="1:15" ht="12" customHeight="1">
      <c r="A136" s="1241">
        <f t="shared" si="14"/>
        <v>91</v>
      </c>
      <c r="B136" s="1242" t="s">
        <v>342</v>
      </c>
      <c r="C136" s="1287" t="s">
        <v>553</v>
      </c>
      <c r="D136" s="1189" t="s">
        <v>317</v>
      </c>
      <c r="E136" s="1209"/>
      <c r="F136" s="1209">
        <v>2900</v>
      </c>
      <c r="G136" s="1210">
        <v>1500</v>
      </c>
      <c r="H136" s="1211">
        <v>2270</v>
      </c>
      <c r="I136" s="1212">
        <v>250</v>
      </c>
      <c r="J136" s="1218"/>
      <c r="K136" s="1195">
        <f t="shared" si="12"/>
        <v>0</v>
      </c>
      <c r="L136" s="1196">
        <f t="shared" si="13"/>
        <v>250</v>
      </c>
      <c r="M136" s="1241"/>
      <c r="N136" s="1245"/>
      <c r="O136" s="1454"/>
    </row>
    <row r="137" spans="1:15" ht="12" customHeight="1">
      <c r="A137" s="1241">
        <f t="shared" si="14"/>
        <v>92</v>
      </c>
      <c r="B137" s="1242" t="s">
        <v>342</v>
      </c>
      <c r="C137" s="1287" t="s">
        <v>553</v>
      </c>
      <c r="D137" s="1189" t="s">
        <v>318</v>
      </c>
      <c r="E137" s="1209"/>
      <c r="F137" s="1209">
        <v>1750</v>
      </c>
      <c r="G137" s="1210">
        <v>6035</v>
      </c>
      <c r="H137" s="1211">
        <v>6800</v>
      </c>
      <c r="I137" s="1212">
        <v>7300</v>
      </c>
      <c r="J137" s="1218">
        <f>$J$5</f>
        <v>0.36</v>
      </c>
      <c r="K137" s="1195">
        <f t="shared" si="12"/>
        <v>2628</v>
      </c>
      <c r="L137" s="1196">
        <f t="shared" si="13"/>
        <v>4672</v>
      </c>
      <c r="M137" s="1241"/>
      <c r="N137" s="1245"/>
      <c r="O137" s="1454"/>
    </row>
    <row r="138" spans="1:15" ht="12" customHeight="1">
      <c r="A138" s="1241">
        <f t="shared" si="14"/>
        <v>93</v>
      </c>
      <c r="B138" s="1242" t="s">
        <v>342</v>
      </c>
      <c r="C138" s="1287" t="s">
        <v>553</v>
      </c>
      <c r="D138" s="1335" t="s">
        <v>319</v>
      </c>
      <c r="E138" s="1209"/>
      <c r="F138" s="1209">
        <v>7500</v>
      </c>
      <c r="G138" s="1210">
        <v>8520</v>
      </c>
      <c r="H138" s="1211">
        <v>9070</v>
      </c>
      <c r="I138" s="1212">
        <v>9600</v>
      </c>
      <c r="J138" s="1218">
        <f>$J$5</f>
        <v>0.36</v>
      </c>
      <c r="K138" s="1195">
        <f t="shared" si="12"/>
        <v>3456</v>
      </c>
      <c r="L138" s="1196">
        <f t="shared" si="13"/>
        <v>6144</v>
      </c>
      <c r="M138" s="1241"/>
      <c r="N138" s="1245"/>
      <c r="O138" s="1454"/>
    </row>
    <row r="139" spans="1:15" ht="12" customHeight="1">
      <c r="A139" s="1241">
        <f t="shared" si="14"/>
        <v>94</v>
      </c>
      <c r="B139" s="1242" t="s">
        <v>342</v>
      </c>
      <c r="C139" s="1287" t="s">
        <v>553</v>
      </c>
      <c r="D139" s="1246" t="s">
        <v>320</v>
      </c>
      <c r="E139" s="1209"/>
      <c r="F139" s="1209">
        <v>2250</v>
      </c>
      <c r="G139" s="1210">
        <v>900</v>
      </c>
      <c r="H139" s="1211">
        <v>225</v>
      </c>
      <c r="I139" s="1212">
        <v>0</v>
      </c>
      <c r="J139" s="1218">
        <f>$J$5</f>
        <v>0.36</v>
      </c>
      <c r="K139" s="1195">
        <f t="shared" si="12"/>
        <v>0</v>
      </c>
      <c r="L139" s="1196">
        <f t="shared" si="13"/>
        <v>0</v>
      </c>
      <c r="M139" s="1241"/>
      <c r="N139" s="1245"/>
      <c r="O139" s="1454"/>
    </row>
    <row r="140" spans="1:15" ht="12" customHeight="1">
      <c r="A140" s="1241">
        <f t="shared" si="14"/>
        <v>95</v>
      </c>
      <c r="B140" s="1242" t="s">
        <v>342</v>
      </c>
      <c r="C140" s="1287" t="s">
        <v>553</v>
      </c>
      <c r="D140" s="1246" t="s">
        <v>321</v>
      </c>
      <c r="E140" s="1209"/>
      <c r="F140" s="1209">
        <v>2430</v>
      </c>
      <c r="G140" s="1210">
        <v>3500</v>
      </c>
      <c r="H140" s="1211">
        <v>3200</v>
      </c>
      <c r="I140" s="1212">
        <v>3200</v>
      </c>
      <c r="J140" s="1218"/>
      <c r="K140" s="1195">
        <f t="shared" si="12"/>
        <v>0</v>
      </c>
      <c r="L140" s="1196">
        <f t="shared" si="13"/>
        <v>3200</v>
      </c>
      <c r="M140" s="1241"/>
      <c r="N140" s="1245"/>
      <c r="O140" s="1454"/>
    </row>
    <row r="141" spans="1:15" ht="12" customHeight="1">
      <c r="A141" s="1241">
        <f t="shared" si="14"/>
        <v>96</v>
      </c>
      <c r="B141" s="1242" t="s">
        <v>342</v>
      </c>
      <c r="C141" s="1287" t="s">
        <v>553</v>
      </c>
      <c r="D141" s="1246" t="s">
        <v>322</v>
      </c>
      <c r="E141" s="1209"/>
      <c r="F141" s="1209">
        <v>250</v>
      </c>
      <c r="G141" s="1210">
        <v>250</v>
      </c>
      <c r="H141" s="1211">
        <v>150</v>
      </c>
      <c r="I141" s="1212">
        <v>150</v>
      </c>
      <c r="J141" s="1218"/>
      <c r="K141" s="1195">
        <f t="shared" si="12"/>
        <v>0</v>
      </c>
      <c r="L141" s="1196">
        <f t="shared" si="13"/>
        <v>150</v>
      </c>
      <c r="M141" s="1241"/>
      <c r="N141" s="1245"/>
      <c r="O141" s="1454"/>
    </row>
    <row r="142" spans="1:15" ht="12" customHeight="1">
      <c r="A142" s="1241">
        <f t="shared" si="14"/>
        <v>97</v>
      </c>
      <c r="B142" s="1242" t="s">
        <v>342</v>
      </c>
      <c r="C142" s="1287" t="s">
        <v>553</v>
      </c>
      <c r="D142" s="1246" t="s">
        <v>323</v>
      </c>
      <c r="E142" s="1209"/>
      <c r="F142" s="1209">
        <v>1000</v>
      </c>
      <c r="G142" s="1210">
        <v>1000</v>
      </c>
      <c r="H142" s="1211">
        <v>1000</v>
      </c>
      <c r="I142" s="1212">
        <v>800</v>
      </c>
      <c r="J142" s="1218">
        <f>$J$5</f>
        <v>0.36</v>
      </c>
      <c r="K142" s="1195">
        <f t="shared" si="12"/>
        <v>288</v>
      </c>
      <c r="L142" s="1196">
        <f t="shared" si="13"/>
        <v>512</v>
      </c>
      <c r="M142" s="1241"/>
      <c r="N142" s="1245"/>
      <c r="O142" s="1454"/>
    </row>
    <row r="143" spans="1:15" ht="12" customHeight="1">
      <c r="A143" s="1241">
        <f t="shared" si="14"/>
        <v>98</v>
      </c>
      <c r="B143" s="1242" t="s">
        <v>342</v>
      </c>
      <c r="C143" s="1287" t="s">
        <v>553</v>
      </c>
      <c r="D143" s="1246" t="s">
        <v>324</v>
      </c>
      <c r="E143" s="1209"/>
      <c r="F143" s="1209">
        <v>250</v>
      </c>
      <c r="G143" s="1210">
        <v>50</v>
      </c>
      <c r="H143" s="1211">
        <v>50</v>
      </c>
      <c r="I143" s="1212">
        <v>50</v>
      </c>
      <c r="J143" s="1218"/>
      <c r="K143" s="1195">
        <f t="shared" si="12"/>
        <v>0</v>
      </c>
      <c r="L143" s="1196">
        <f t="shared" si="13"/>
        <v>50</v>
      </c>
      <c r="M143" s="1241"/>
      <c r="N143" s="1245"/>
      <c r="O143" s="1454"/>
    </row>
    <row r="144" spans="1:15" ht="12" customHeight="1">
      <c r="A144" s="1241">
        <f t="shared" si="14"/>
        <v>99</v>
      </c>
      <c r="B144" s="1242" t="s">
        <v>342</v>
      </c>
      <c r="C144" s="1287" t="s">
        <v>553</v>
      </c>
      <c r="D144" s="1246" t="s">
        <v>325</v>
      </c>
      <c r="E144" s="1209"/>
      <c r="F144" s="1209">
        <v>1130</v>
      </c>
      <c r="G144" s="1210">
        <v>1000</v>
      </c>
      <c r="H144" s="1211">
        <v>500</v>
      </c>
      <c r="I144" s="1212">
        <v>650</v>
      </c>
      <c r="J144" s="1218"/>
      <c r="K144" s="1195">
        <f t="shared" si="12"/>
        <v>0</v>
      </c>
      <c r="L144" s="1196">
        <f t="shared" si="13"/>
        <v>650</v>
      </c>
      <c r="M144" s="1241"/>
      <c r="N144" s="1245"/>
      <c r="O144" s="1454"/>
    </row>
    <row r="145" spans="1:15" ht="12" customHeight="1">
      <c r="A145" s="1241">
        <f t="shared" si="14"/>
        <v>100</v>
      </c>
      <c r="B145" s="1242" t="s">
        <v>342</v>
      </c>
      <c r="C145" s="1287" t="s">
        <v>553</v>
      </c>
      <c r="D145" s="1246" t="s">
        <v>408</v>
      </c>
      <c r="E145" s="1209"/>
      <c r="F145" s="1209"/>
      <c r="G145" s="1210">
        <v>-1300</v>
      </c>
      <c r="H145" s="1211"/>
      <c r="I145" s="1212"/>
      <c r="J145" s="1218"/>
      <c r="K145" s="1195">
        <f t="shared" si="12"/>
        <v>0</v>
      </c>
      <c r="L145" s="1196">
        <f t="shared" si="13"/>
        <v>0</v>
      </c>
      <c r="M145" s="1241"/>
      <c r="N145" s="1245"/>
      <c r="O145" s="1454"/>
    </row>
    <row r="146" spans="1:15" ht="12" customHeight="1">
      <c r="A146" s="1241">
        <f t="shared" si="14"/>
        <v>101</v>
      </c>
      <c r="B146" s="1242" t="s">
        <v>305</v>
      </c>
      <c r="C146" s="1287" t="s">
        <v>692</v>
      </c>
      <c r="D146" s="1246" t="s">
        <v>699</v>
      </c>
      <c r="E146" s="1209"/>
      <c r="F146" s="1209"/>
      <c r="G146" s="1210"/>
      <c r="H146" s="1211"/>
      <c r="I146" s="1212">
        <v>200</v>
      </c>
      <c r="J146" s="1218"/>
      <c r="K146" s="1195">
        <f>I146*J146</f>
        <v>0</v>
      </c>
      <c r="L146" s="1196">
        <f>I146-K146</f>
        <v>200</v>
      </c>
      <c r="M146" s="1241"/>
      <c r="N146" s="1245"/>
      <c r="O146" s="1454"/>
    </row>
    <row r="147" spans="1:15" ht="12" customHeight="1">
      <c r="A147" s="1241">
        <f t="shared" si="14"/>
        <v>102</v>
      </c>
      <c r="B147" s="1242" t="s">
        <v>693</v>
      </c>
      <c r="C147" s="1287" t="s">
        <v>694</v>
      </c>
      <c r="D147" s="1246" t="s">
        <v>700</v>
      </c>
      <c r="E147" s="1209"/>
      <c r="F147" s="1209"/>
      <c r="G147" s="1210"/>
      <c r="H147" s="1211"/>
      <c r="I147" s="1212">
        <v>160</v>
      </c>
      <c r="J147" s="1218"/>
      <c r="K147" s="1195">
        <f>I147*J147</f>
        <v>0</v>
      </c>
      <c r="L147" s="1196">
        <f>I147-K147</f>
        <v>160</v>
      </c>
      <c r="M147" s="1241"/>
      <c r="N147" s="1245"/>
      <c r="O147" s="1454"/>
    </row>
    <row r="148" spans="1:15" ht="12" customHeight="1">
      <c r="A148" s="1241">
        <f t="shared" si="14"/>
        <v>103</v>
      </c>
      <c r="B148" s="1242" t="s">
        <v>695</v>
      </c>
      <c r="C148" s="1287" t="s">
        <v>696</v>
      </c>
      <c r="D148" s="1246" t="s">
        <v>701</v>
      </c>
      <c r="E148" s="1209"/>
      <c r="F148" s="1209"/>
      <c r="G148" s="1210"/>
      <c r="H148" s="1211"/>
      <c r="I148" s="1212">
        <v>1000</v>
      </c>
      <c r="J148" s="1218"/>
      <c r="K148" s="1195">
        <f>I148*J148</f>
        <v>0</v>
      </c>
      <c r="L148" s="1196">
        <f>I148-K148</f>
        <v>1000</v>
      </c>
      <c r="M148" s="1241"/>
      <c r="N148" s="1245"/>
      <c r="O148" s="1454"/>
    </row>
    <row r="149" spans="1:15" ht="12" customHeight="1">
      <c r="A149" s="1241">
        <f t="shared" si="14"/>
        <v>104</v>
      </c>
      <c r="B149" s="1242" t="s">
        <v>697</v>
      </c>
      <c r="C149" s="1287" t="s">
        <v>698</v>
      </c>
      <c r="D149" s="1246" t="s">
        <v>702</v>
      </c>
      <c r="E149" s="1209"/>
      <c r="F149" s="1209"/>
      <c r="G149" s="1210"/>
      <c r="H149" s="1211"/>
      <c r="I149" s="1212"/>
      <c r="J149" s="1218"/>
      <c r="K149" s="1195">
        <f>I149*J149</f>
        <v>0</v>
      </c>
      <c r="L149" s="1196">
        <f>I149-K149</f>
        <v>0</v>
      </c>
      <c r="M149" s="1241"/>
      <c r="N149" s="1245"/>
      <c r="O149" s="1454"/>
    </row>
    <row r="150" spans="1:15" ht="12" customHeight="1">
      <c r="A150" s="1241">
        <f t="shared" si="14"/>
        <v>105</v>
      </c>
      <c r="B150" s="1242" t="s">
        <v>342</v>
      </c>
      <c r="C150" s="1287" t="s">
        <v>553</v>
      </c>
      <c r="D150" s="1246" t="s">
        <v>489</v>
      </c>
      <c r="E150" s="1209"/>
      <c r="F150" s="1209"/>
      <c r="G150" s="1210"/>
      <c r="H150" s="1211">
        <v>3400</v>
      </c>
      <c r="I150" s="1212">
        <v>3500</v>
      </c>
      <c r="J150" s="1194"/>
      <c r="K150" s="1195">
        <f t="shared" si="12"/>
        <v>0</v>
      </c>
      <c r="L150" s="1196">
        <f t="shared" si="13"/>
        <v>3500</v>
      </c>
      <c r="M150" s="1241"/>
      <c r="N150" s="1245"/>
      <c r="O150" s="1372" t="s">
        <v>649</v>
      </c>
    </row>
    <row r="151" spans="1:15" ht="12" customHeight="1">
      <c r="A151" s="1293"/>
      <c r="B151" s="1294"/>
      <c r="C151" s="1295"/>
      <c r="D151" s="1296" t="s">
        <v>80</v>
      </c>
      <c r="E151" s="1280">
        <v>13383</v>
      </c>
      <c r="F151" s="1280">
        <f>SUM(F130:F150)</f>
        <v>29930</v>
      </c>
      <c r="G151" s="1316">
        <f>SUM(G130:G150)</f>
        <v>32405</v>
      </c>
      <c r="H151" s="1282">
        <f>SUM(H130:H150)</f>
        <v>37665</v>
      </c>
      <c r="I151" s="1316">
        <f>SUM(I130:I150)</f>
        <v>37655</v>
      </c>
      <c r="J151" s="1283"/>
      <c r="K151" s="1317">
        <f>SUM(K130:K150)</f>
        <v>10150.2</v>
      </c>
      <c r="L151" s="1285">
        <f>SUM(L130:L150)</f>
        <v>27504.8</v>
      </c>
      <c r="M151" s="1302"/>
      <c r="N151" s="1318"/>
      <c r="O151" s="1454"/>
    </row>
    <row r="152" spans="1:15" ht="12" customHeight="1">
      <c r="A152" s="1241">
        <f>A150+1</f>
        <v>106</v>
      </c>
      <c r="B152" s="1242" t="s">
        <v>342</v>
      </c>
      <c r="C152" s="1287" t="s">
        <v>555</v>
      </c>
      <c r="D152" s="1189" t="s">
        <v>414</v>
      </c>
      <c r="E152" s="1319">
        <v>0</v>
      </c>
      <c r="F152" s="1319">
        <v>300</v>
      </c>
      <c r="G152" s="1191">
        <v>200</v>
      </c>
      <c r="H152" s="1211">
        <v>200</v>
      </c>
      <c r="I152" s="1212">
        <v>230</v>
      </c>
      <c r="J152" s="1194"/>
      <c r="K152" s="1195">
        <f>I152*J152</f>
        <v>0</v>
      </c>
      <c r="L152" s="1196">
        <f>I152-K152</f>
        <v>230</v>
      </c>
      <c r="M152" s="1241"/>
      <c r="N152" s="1245"/>
      <c r="O152" s="1452"/>
    </row>
    <row r="153" spans="1:15" s="1375" customFormat="1" ht="12" customHeight="1" thickBot="1">
      <c r="A153" s="1293"/>
      <c r="B153" s="1294"/>
      <c r="C153" s="1295"/>
      <c r="D153" s="1296" t="s">
        <v>415</v>
      </c>
      <c r="E153" s="1280">
        <f>E152</f>
        <v>0</v>
      </c>
      <c r="F153" s="1280">
        <f>F152</f>
        <v>300</v>
      </c>
      <c r="G153" s="1316">
        <f>G152</f>
        <v>200</v>
      </c>
      <c r="H153" s="1282">
        <f>H152</f>
        <v>200</v>
      </c>
      <c r="I153" s="1316">
        <f>I152</f>
        <v>230</v>
      </c>
      <c r="J153" s="1283"/>
      <c r="K153" s="1317">
        <f>SUM(K152)</f>
        <v>0</v>
      </c>
      <c r="L153" s="1285">
        <f>L152</f>
        <v>230</v>
      </c>
      <c r="M153" s="1302"/>
      <c r="N153" s="1318"/>
      <c r="O153" s="1454"/>
    </row>
    <row r="154" spans="1:15" ht="12" customHeight="1" thickBot="1">
      <c r="A154" s="1229" t="s">
        <v>546</v>
      </c>
      <c r="B154" s="1230" t="s">
        <v>305</v>
      </c>
      <c r="C154" s="1231" t="s">
        <v>16</v>
      </c>
      <c r="D154" s="1336" t="s">
        <v>646</v>
      </c>
      <c r="E154" s="1337">
        <f>SUM(E155:E166)</f>
        <v>185221</v>
      </c>
      <c r="F154" s="1337">
        <f>SUM(F155:F166)</f>
        <v>189078</v>
      </c>
      <c r="G154" s="1338">
        <f>SUM(G155:G166)</f>
        <v>202047</v>
      </c>
      <c r="H154" s="1339">
        <f>SUM(H155:H166)</f>
        <v>211471</v>
      </c>
      <c r="I154" s="1338">
        <f>SUM(I155:I166)</f>
        <v>210974</v>
      </c>
      <c r="J154" s="1340"/>
      <c r="K154" s="1341">
        <f>SUM(K155:K166)</f>
        <v>71837.28</v>
      </c>
      <c r="L154" s="1342">
        <f>SUM(L155:L166)</f>
        <v>139136.72</v>
      </c>
      <c r="M154" s="1343"/>
      <c r="N154" s="1342"/>
      <c r="O154" s="1474">
        <v>1</v>
      </c>
    </row>
    <row r="155" spans="1:15" ht="12" customHeight="1">
      <c r="A155" s="1241">
        <f>A152+1</f>
        <v>107</v>
      </c>
      <c r="B155" s="1344" t="s">
        <v>305</v>
      </c>
      <c r="C155" s="1345" t="s">
        <v>547</v>
      </c>
      <c r="D155" s="1307" t="s">
        <v>566</v>
      </c>
      <c r="E155" s="1346"/>
      <c r="F155" s="1346"/>
      <c r="G155" s="1347"/>
      <c r="H155" s="1348"/>
      <c r="I155" s="1349"/>
      <c r="J155" s="1194"/>
      <c r="K155" s="1195">
        <f aca="true" t="shared" si="15" ref="K155:K166">I155*J155</f>
        <v>0</v>
      </c>
      <c r="L155" s="1196">
        <f aca="true" t="shared" si="16" ref="L155:L166">I155-K155</f>
        <v>0</v>
      </c>
      <c r="M155" s="1350"/>
      <c r="N155" s="1196"/>
      <c r="O155" s="1475"/>
    </row>
    <row r="156" spans="1:15" ht="12" customHeight="1">
      <c r="A156" s="1351">
        <f>A155+1</f>
        <v>108</v>
      </c>
      <c r="B156" s="1344" t="s">
        <v>305</v>
      </c>
      <c r="C156" s="1287" t="s">
        <v>556</v>
      </c>
      <c r="D156" s="1307" t="s">
        <v>567</v>
      </c>
      <c r="E156" s="1346"/>
      <c r="F156" s="1346"/>
      <c r="G156" s="1347"/>
      <c r="H156" s="1348"/>
      <c r="I156" s="1349"/>
      <c r="J156" s="1194"/>
      <c r="K156" s="1195">
        <f t="shared" si="15"/>
        <v>0</v>
      </c>
      <c r="L156" s="1196">
        <f t="shared" si="16"/>
        <v>0</v>
      </c>
      <c r="M156" s="1350"/>
      <c r="N156" s="1196"/>
      <c r="O156" s="1475"/>
    </row>
    <row r="157" spans="1:15" ht="12" customHeight="1">
      <c r="A157" s="1351">
        <f aca="true" t="shared" si="17" ref="A157:A166">A156+1</f>
        <v>109</v>
      </c>
      <c r="B157" s="1344" t="s">
        <v>305</v>
      </c>
      <c r="C157" s="1287" t="s">
        <v>548</v>
      </c>
      <c r="D157" s="1307" t="s">
        <v>568</v>
      </c>
      <c r="E157" s="1346"/>
      <c r="F157" s="1346"/>
      <c r="G157" s="1347"/>
      <c r="H157" s="1348"/>
      <c r="I157" s="1349"/>
      <c r="J157" s="1194"/>
      <c r="K157" s="1195">
        <f t="shared" si="15"/>
        <v>0</v>
      </c>
      <c r="L157" s="1196">
        <f t="shared" si="16"/>
        <v>0</v>
      </c>
      <c r="M157" s="1350"/>
      <c r="N157" s="1196"/>
      <c r="O157" s="1475"/>
    </row>
    <row r="158" spans="1:15" ht="12" customHeight="1">
      <c r="A158" s="1351">
        <f t="shared" si="17"/>
        <v>110</v>
      </c>
      <c r="B158" s="1352" t="s">
        <v>305</v>
      </c>
      <c r="C158" s="1321" t="s">
        <v>557</v>
      </c>
      <c r="D158" s="1246" t="s">
        <v>569</v>
      </c>
      <c r="E158" s="1353"/>
      <c r="F158" s="1353"/>
      <c r="G158" s="1354"/>
      <c r="H158" s="1355"/>
      <c r="I158" s="1356"/>
      <c r="J158" s="1194"/>
      <c r="K158" s="1195">
        <f t="shared" si="15"/>
        <v>0</v>
      </c>
      <c r="L158" s="1196">
        <f t="shared" si="16"/>
        <v>0</v>
      </c>
      <c r="M158" s="1357"/>
      <c r="N158" s="1196"/>
      <c r="O158" s="1475"/>
    </row>
    <row r="159" spans="1:15" ht="12" customHeight="1">
      <c r="A159" s="1351">
        <f t="shared" si="17"/>
        <v>111</v>
      </c>
      <c r="B159" s="1352" t="s">
        <v>305</v>
      </c>
      <c r="C159" s="1358" t="s">
        <v>549</v>
      </c>
      <c r="D159" s="1246" t="s">
        <v>565</v>
      </c>
      <c r="E159" s="1200">
        <v>7340</v>
      </c>
      <c r="F159" s="1200">
        <v>8006</v>
      </c>
      <c r="G159" s="1201">
        <v>6700</v>
      </c>
      <c r="H159" s="1260">
        <v>6700</v>
      </c>
      <c r="I159" s="1359">
        <v>6700</v>
      </c>
      <c r="J159" s="1194"/>
      <c r="K159" s="1195">
        <f>I159*J159</f>
        <v>0</v>
      </c>
      <c r="L159" s="1196">
        <f t="shared" si="16"/>
        <v>6700</v>
      </c>
      <c r="M159" s="1360"/>
      <c r="N159" s="1196"/>
      <c r="O159" s="1474">
        <f>I159/G159-1</f>
        <v>0</v>
      </c>
    </row>
    <row r="160" spans="1:15" ht="12" customHeight="1">
      <c r="A160" s="1351">
        <f t="shared" si="17"/>
        <v>112</v>
      </c>
      <c r="B160" s="1352" t="s">
        <v>305</v>
      </c>
      <c r="C160" s="1287" t="s">
        <v>550</v>
      </c>
      <c r="D160" s="1246" t="s">
        <v>570</v>
      </c>
      <c r="E160" s="1200">
        <v>1687</v>
      </c>
      <c r="F160" s="1200">
        <v>1300</v>
      </c>
      <c r="G160" s="1191">
        <v>1300</v>
      </c>
      <c r="H160" s="1260">
        <v>3000</v>
      </c>
      <c r="I160" s="1359">
        <v>3000</v>
      </c>
      <c r="J160" s="1194"/>
      <c r="K160" s="1195">
        <f t="shared" si="15"/>
        <v>0</v>
      </c>
      <c r="L160" s="1196">
        <f t="shared" si="16"/>
        <v>3000</v>
      </c>
      <c r="M160" s="1360"/>
      <c r="N160" s="1196"/>
      <c r="O160" s="1474">
        <f>I160/G160-1</f>
        <v>1.3076923076923075</v>
      </c>
    </row>
    <row r="161" spans="1:15" ht="12" customHeight="1">
      <c r="A161" s="1351">
        <f t="shared" si="17"/>
        <v>113</v>
      </c>
      <c r="B161" s="1352" t="s">
        <v>305</v>
      </c>
      <c r="C161" s="1358" t="s">
        <v>551</v>
      </c>
      <c r="D161" s="1246" t="s">
        <v>571</v>
      </c>
      <c r="E161" s="1200"/>
      <c r="F161" s="1200"/>
      <c r="G161" s="1201"/>
      <c r="H161" s="1192"/>
      <c r="I161" s="1193"/>
      <c r="J161" s="1194"/>
      <c r="K161" s="1195">
        <f t="shared" si="15"/>
        <v>0</v>
      </c>
      <c r="L161" s="1196">
        <f t="shared" si="16"/>
        <v>0</v>
      </c>
      <c r="M161" s="1357"/>
      <c r="N161" s="1196"/>
      <c r="O161" s="1475"/>
    </row>
    <row r="162" spans="1:15" ht="12" customHeight="1">
      <c r="A162" s="1351">
        <f t="shared" si="17"/>
        <v>114</v>
      </c>
      <c r="B162" s="1352" t="s">
        <v>305</v>
      </c>
      <c r="C162" s="1358" t="s">
        <v>552</v>
      </c>
      <c r="D162" s="1246" t="s">
        <v>572</v>
      </c>
      <c r="E162" s="1200">
        <v>2700</v>
      </c>
      <c r="F162" s="1200">
        <v>800</v>
      </c>
      <c r="G162" s="1201">
        <v>800</v>
      </c>
      <c r="H162" s="1260">
        <f>7724</f>
        <v>7724</v>
      </c>
      <c r="I162" s="1359">
        <f>7724</f>
        <v>7724</v>
      </c>
      <c r="J162" s="1218">
        <f>$J$5*2</f>
        <v>0.72</v>
      </c>
      <c r="K162" s="1195">
        <f>I162*J162</f>
        <v>5561.28</v>
      </c>
      <c r="L162" s="1196">
        <f t="shared" si="16"/>
        <v>2162.7200000000003</v>
      </c>
      <c r="M162" s="1357"/>
      <c r="N162" s="1196"/>
      <c r="O162" s="1474">
        <f>I162/G162-1</f>
        <v>8.655</v>
      </c>
    </row>
    <row r="163" spans="1:15" ht="12" customHeight="1">
      <c r="A163" s="1351">
        <f t="shared" si="17"/>
        <v>115</v>
      </c>
      <c r="B163" s="1352" t="s">
        <v>305</v>
      </c>
      <c r="C163" s="1287" t="s">
        <v>553</v>
      </c>
      <c r="D163" s="1246" t="s">
        <v>573</v>
      </c>
      <c r="E163" s="1200">
        <v>93350</v>
      </c>
      <c r="F163" s="1200">
        <v>96197</v>
      </c>
      <c r="G163" s="1191">
        <v>96197</v>
      </c>
      <c r="H163" s="1192">
        <v>96997</v>
      </c>
      <c r="I163" s="1193">
        <v>96500</v>
      </c>
      <c r="J163" s="1218">
        <f>$J$5</f>
        <v>0.36</v>
      </c>
      <c r="K163" s="1195">
        <f>I163*J163</f>
        <v>34740</v>
      </c>
      <c r="L163" s="1196">
        <f>I163-K163</f>
        <v>61760</v>
      </c>
      <c r="M163" s="1357"/>
      <c r="N163" s="1196"/>
      <c r="O163" s="1474">
        <f>I163/G163-1</f>
        <v>0.003149786375874486</v>
      </c>
    </row>
    <row r="164" spans="1:15" ht="12" customHeight="1">
      <c r="A164" s="1351">
        <f t="shared" si="17"/>
        <v>116</v>
      </c>
      <c r="B164" s="1352" t="s">
        <v>305</v>
      </c>
      <c r="C164" s="1358" t="s">
        <v>554</v>
      </c>
      <c r="D164" s="1246" t="s">
        <v>574</v>
      </c>
      <c r="E164" s="1200"/>
      <c r="F164" s="1200"/>
      <c r="G164" s="1201"/>
      <c r="H164" s="1260"/>
      <c r="I164" s="1359"/>
      <c r="J164" s="1194"/>
      <c r="K164" s="1195">
        <f t="shared" si="15"/>
        <v>0</v>
      </c>
      <c r="L164" s="1196">
        <f t="shared" si="16"/>
        <v>0</v>
      </c>
      <c r="M164" s="1357"/>
      <c r="N164" s="1196"/>
      <c r="O164" s="1475"/>
    </row>
    <row r="165" spans="1:15" ht="12" customHeight="1">
      <c r="A165" s="1351">
        <f t="shared" si="17"/>
        <v>117</v>
      </c>
      <c r="B165" s="1352" t="s">
        <v>305</v>
      </c>
      <c r="C165" s="1287" t="s">
        <v>555</v>
      </c>
      <c r="D165" s="1246" t="s">
        <v>575</v>
      </c>
      <c r="E165" s="1200">
        <v>7278</v>
      </c>
      <c r="F165" s="1200">
        <v>8000</v>
      </c>
      <c r="G165" s="1191">
        <v>9450</v>
      </c>
      <c r="H165" s="1192">
        <f>G165*$O$154</f>
        <v>9450</v>
      </c>
      <c r="I165" s="1193">
        <f>H165*$O$154</f>
        <v>9450</v>
      </c>
      <c r="J165" s="1194"/>
      <c r="K165" s="1195">
        <f>I165*J165</f>
        <v>0</v>
      </c>
      <c r="L165" s="1196">
        <f>I165-K165</f>
        <v>9450</v>
      </c>
      <c r="M165" s="1360"/>
      <c r="N165" s="1196"/>
      <c r="O165" s="1474">
        <f>I165/G165-1</f>
        <v>0</v>
      </c>
    </row>
    <row r="166" spans="1:15" ht="12" customHeight="1" thickBot="1">
      <c r="A166" s="1351">
        <f t="shared" si="17"/>
        <v>118</v>
      </c>
      <c r="B166" s="1362" t="s">
        <v>305</v>
      </c>
      <c r="C166" s="1363" t="s">
        <v>545</v>
      </c>
      <c r="D166" s="1364" t="s">
        <v>576</v>
      </c>
      <c r="E166" s="1365">
        <v>72866</v>
      </c>
      <c r="F166" s="1365">
        <v>74775</v>
      </c>
      <c r="G166" s="1366">
        <v>87600</v>
      </c>
      <c r="H166" s="1367">
        <f>G166*$O$154</f>
        <v>87600</v>
      </c>
      <c r="I166" s="1368">
        <v>87600</v>
      </c>
      <c r="J166" s="1218">
        <f>$J$5</f>
        <v>0.36</v>
      </c>
      <c r="K166" s="1369">
        <f t="shared" si="15"/>
        <v>31536</v>
      </c>
      <c r="L166" s="1370">
        <f t="shared" si="16"/>
        <v>56064</v>
      </c>
      <c r="M166" s="1371"/>
      <c r="N166" s="1370"/>
      <c r="O166" s="1474">
        <f>I166/G166-1</f>
        <v>0</v>
      </c>
    </row>
    <row r="167" spans="1:15" ht="12" customHeight="1" thickBot="1">
      <c r="A167" s="1377"/>
      <c r="B167" s="1377"/>
      <c r="C167" s="1378"/>
      <c r="D167" s="1379"/>
      <c r="E167" s="1380"/>
      <c r="F167" s="1380"/>
      <c r="G167" s="1380"/>
      <c r="H167" s="1380"/>
      <c r="I167" s="1380"/>
      <c r="J167" s="1381"/>
      <c r="K167" s="1382"/>
      <c r="L167" s="1382"/>
      <c r="M167" s="1383"/>
      <c r="N167" s="1384"/>
      <c r="O167" s="1361"/>
    </row>
    <row r="168" spans="1:15" ht="12" customHeight="1" thickBot="1">
      <c r="A168" s="1459"/>
      <c r="B168" s="1460"/>
      <c r="C168" s="1461" t="s">
        <v>16</v>
      </c>
      <c r="D168" s="1461" t="s">
        <v>624</v>
      </c>
      <c r="E168" s="1440">
        <f>E27+E6</f>
        <v>388882</v>
      </c>
      <c r="F168" s="1440">
        <f>F27+F6</f>
        <v>366803</v>
      </c>
      <c r="G168" s="1440">
        <f>G27+G6</f>
        <v>345940</v>
      </c>
      <c r="H168" s="1440">
        <f>H27+H6</f>
        <v>346303</v>
      </c>
      <c r="I168" s="1440">
        <f>I27+I6</f>
        <v>287888</v>
      </c>
      <c r="J168" s="1441"/>
      <c r="K168" s="1440">
        <f>K27+K6</f>
        <v>22024</v>
      </c>
      <c r="L168" s="1440">
        <f>L27+L6</f>
        <v>265864</v>
      </c>
      <c r="M168" s="1386"/>
      <c r="N168" s="1127"/>
      <c r="O168" s="1127"/>
    </row>
    <row r="169" spans="1:15" ht="12" customHeight="1" thickBot="1">
      <c r="A169" s="1388"/>
      <c r="B169" s="1388"/>
      <c r="C169" s="1389"/>
      <c r="D169" s="1390"/>
      <c r="E169" s="1391"/>
      <c r="F169" s="1391"/>
      <c r="G169" s="1391"/>
      <c r="H169" s="1391"/>
      <c r="I169" s="1391"/>
      <c r="J169" s="1392"/>
      <c r="K169" s="1393"/>
      <c r="L169" s="1393"/>
      <c r="M169" s="1386"/>
      <c r="N169" s="1127"/>
      <c r="O169" s="1127"/>
    </row>
    <row r="170" spans="1:15" ht="12" customHeight="1" thickBot="1">
      <c r="A170" s="1459"/>
      <c r="B170" s="1460"/>
      <c r="C170" s="1461" t="s">
        <v>16</v>
      </c>
      <c r="D170" s="1461" t="s">
        <v>193</v>
      </c>
      <c r="E170" s="1385">
        <f>E154+E27</f>
        <v>328416</v>
      </c>
      <c r="F170" s="1385">
        <f>F154+F27</f>
        <v>346916</v>
      </c>
      <c r="G170" s="1385">
        <f>G154+G27</f>
        <v>362977</v>
      </c>
      <c r="H170" s="1385">
        <f>H154+H27</f>
        <v>404880</v>
      </c>
      <c r="I170" s="1440">
        <f>I154+I27</f>
        <v>403806</v>
      </c>
      <c r="J170" s="1441"/>
      <c r="K170" s="1440">
        <f>K154+K27</f>
        <v>91949.68</v>
      </c>
      <c r="L170" s="1440">
        <f>L154+L27</f>
        <v>311856.31999999995</v>
      </c>
      <c r="M170" s="1386"/>
      <c r="N170" s="1127"/>
      <c r="O170" s="1127"/>
    </row>
    <row r="171" spans="1:15" ht="12" customHeight="1" thickBot="1">
      <c r="A171" s="1388"/>
      <c r="B171" s="1388"/>
      <c r="C171" s="1389"/>
      <c r="D171" s="1390"/>
      <c r="E171" s="1391"/>
      <c r="F171" s="1391"/>
      <c r="G171" s="1391"/>
      <c r="H171" s="1391"/>
      <c r="I171" s="1391"/>
      <c r="J171" s="1392"/>
      <c r="K171" s="1393"/>
      <c r="L171" s="1393"/>
      <c r="M171" s="1386"/>
      <c r="N171" s="1127"/>
      <c r="O171" s="1127"/>
    </row>
    <row r="172" spans="1:15" ht="12" customHeight="1" thickBot="1">
      <c r="A172" s="1459"/>
      <c r="B172" s="1460"/>
      <c r="C172" s="1461" t="s">
        <v>16</v>
      </c>
      <c r="D172" s="1461" t="s">
        <v>194</v>
      </c>
      <c r="E172" s="1385">
        <f>E6+E27+E154</f>
        <v>574103</v>
      </c>
      <c r="F172" s="1385">
        <f>F6+F27+F154</f>
        <v>555881</v>
      </c>
      <c r="G172" s="1385">
        <f>G6+G27+G154</f>
        <v>547987</v>
      </c>
      <c r="H172" s="1385">
        <f>H6+H27+H154</f>
        <v>557774</v>
      </c>
      <c r="I172" s="1440">
        <f>I6+I27+I154</f>
        <v>498862</v>
      </c>
      <c r="J172" s="1441"/>
      <c r="K172" s="1440">
        <f>K6+K27+K154</f>
        <v>93861.28</v>
      </c>
      <c r="L172" s="1440">
        <f>L6+L27+L154</f>
        <v>405000.72</v>
      </c>
      <c r="M172" s="1386"/>
      <c r="N172" s="1127"/>
      <c r="O172" s="1127"/>
    </row>
    <row r="173" spans="1:14" ht="12" customHeight="1">
      <c r="A173" s="1394"/>
      <c r="B173" s="1394"/>
      <c r="C173" s="1395"/>
      <c r="D173" s="1396" t="s">
        <v>541</v>
      </c>
      <c r="E173" s="1397"/>
      <c r="F173" s="1397">
        <f>F172/E172-100%</f>
        <v>-0.03173994910320965</v>
      </c>
      <c r="G173" s="1397">
        <f>G172/F172-100%</f>
        <v>-0.014200881123837661</v>
      </c>
      <c r="I173" s="1397">
        <f>I172/H172-100%</f>
        <v>-0.10561983885946635</v>
      </c>
      <c r="J173" s="1399"/>
      <c r="K173" s="1400"/>
      <c r="L173" s="1400">
        <f>I172-K172-L172</f>
        <v>0</v>
      </c>
      <c r="M173" s="1386"/>
      <c r="N173" s="1387"/>
    </row>
    <row r="174" spans="1:15" s="1141" customFormat="1" ht="12" customHeight="1">
      <c r="A174" s="1394"/>
      <c r="B174" s="1394"/>
      <c r="C174" s="1395"/>
      <c r="D174" s="1401"/>
      <c r="E174" s="1402"/>
      <c r="F174" s="1402">
        <f>F172-E172</f>
        <v>-18222</v>
      </c>
      <c r="G174" s="1402">
        <f>G172-F172</f>
        <v>-7894</v>
      </c>
      <c r="H174" s="1403"/>
      <c r="I174" s="1402">
        <f>I172-H172</f>
        <v>-58912</v>
      </c>
      <c r="J174" s="1392"/>
      <c r="L174" s="1393"/>
      <c r="M174" s="1394"/>
      <c r="N174" s="1404"/>
      <c r="O174" s="1133"/>
    </row>
    <row r="175" spans="1:14" ht="12" customHeight="1" thickBot="1">
      <c r="A175" s="1394"/>
      <c r="B175" s="1405" t="s">
        <v>597</v>
      </c>
      <c r="C175" s="1395"/>
      <c r="D175" s="1406"/>
      <c r="H175" s="1391"/>
      <c r="I175" s="1391"/>
      <c r="J175" s="1392"/>
      <c r="K175" s="1393"/>
      <c r="L175" s="1393"/>
      <c r="M175" s="1394"/>
      <c r="N175" s="1404"/>
    </row>
    <row r="176" spans="1:15" ht="12" customHeight="1" thickBot="1">
      <c r="A176" s="1407"/>
      <c r="B176" s="1408"/>
      <c r="C176" s="1409"/>
      <c r="D176" s="1410" t="s">
        <v>580</v>
      </c>
      <c r="E176" s="1411">
        <f>SUBTOTAL(9,E8:E11,E12,E14:E25)</f>
        <v>244687</v>
      </c>
      <c r="F176" s="1411">
        <f>SUBTOTAL(9,F8:F11,F12,F14:F25)</f>
        <v>208965</v>
      </c>
      <c r="G176" s="1411">
        <f>SUBTOTAL(9,G8:G11,G12,G14:G25)</f>
        <v>185010</v>
      </c>
      <c r="H176" s="1412">
        <f>SUBTOTAL(9,H8:H11,H12,H14:H25)</f>
        <v>149294</v>
      </c>
      <c r="I176" s="1413">
        <f>SUBTOTAL(9,I8:I11,I12,I14:I25)</f>
        <v>95056</v>
      </c>
      <c r="J176" s="1414"/>
      <c r="K176" s="1415">
        <f>SUBTOTAL(9,K8:K11,K12,K14:K25)</f>
        <v>1911.6</v>
      </c>
      <c r="L176" s="1416">
        <f>SUBTOTAL(9,L8:L11,L12,L14:L25)</f>
        <v>93144.4</v>
      </c>
      <c r="M176" s="1386"/>
      <c r="N176" s="1387"/>
      <c r="O176" s="1361"/>
    </row>
    <row r="177" spans="1:15" ht="12" customHeight="1" thickBot="1">
      <c r="A177" s="1407"/>
      <c r="B177" s="1408"/>
      <c r="C177" s="1409"/>
      <c r="D177" s="1410" t="s">
        <v>577</v>
      </c>
      <c r="E177" s="1411">
        <f>SUBTOTAL(9,E28:E153)</f>
        <v>273007</v>
      </c>
      <c r="F177" s="1411">
        <f>SUBTOTAL(9,F28:F153)</f>
        <v>304310</v>
      </c>
      <c r="G177" s="1411">
        <f>SUBTOTAL(9,G28:G153)</f>
        <v>321860</v>
      </c>
      <c r="H177" s="1412">
        <f>SUBTOTAL(9,H28:H153)</f>
        <v>386818</v>
      </c>
      <c r="I177" s="1413">
        <f>SUBTOTAL(9,I28:I153)</f>
        <v>385664</v>
      </c>
      <c r="J177" s="1414"/>
      <c r="K177" s="1415">
        <f>SUBTOTAL(9,K28:K153)</f>
        <v>40224.8</v>
      </c>
      <c r="L177" s="1416">
        <f>SUBTOTAL(9,L28:L153)</f>
        <v>345439.19999999995</v>
      </c>
      <c r="M177" s="1386"/>
      <c r="N177" s="1387"/>
      <c r="O177" s="1361"/>
    </row>
    <row r="178" spans="1:15" ht="12" customHeight="1" thickBot="1">
      <c r="A178" s="1407"/>
      <c r="B178" s="1408"/>
      <c r="C178" s="1409"/>
      <c r="D178" s="1410" t="s">
        <v>578</v>
      </c>
      <c r="E178" s="1411">
        <f>SUBTOTAL(9,E155:E166)</f>
        <v>185221</v>
      </c>
      <c r="F178" s="1411">
        <f>SUBTOTAL(9,F155:F166)</f>
        <v>189078</v>
      </c>
      <c r="G178" s="1411">
        <f>SUBTOTAL(9,G155:G166)</f>
        <v>202047</v>
      </c>
      <c r="H178" s="1412">
        <f>SUBTOTAL(9,H155:H166)</f>
        <v>211471</v>
      </c>
      <c r="I178" s="1413">
        <f>SUBTOTAL(9,I155:I166)</f>
        <v>210974</v>
      </c>
      <c r="J178" s="1414"/>
      <c r="K178" s="1415">
        <f>SUBTOTAL(9,K155:K166)</f>
        <v>71837.28</v>
      </c>
      <c r="L178" s="1416">
        <f>SUBTOTAL(9,L155:L166)</f>
        <v>139136.72</v>
      </c>
      <c r="M178" s="1386"/>
      <c r="N178" s="1387"/>
      <c r="O178" s="1361"/>
    </row>
    <row r="179" spans="1:14" ht="12" customHeight="1" thickBot="1">
      <c r="A179" s="1417"/>
      <c r="B179" s="1418"/>
      <c r="C179" s="1419"/>
      <c r="D179" s="1420" t="s">
        <v>596</v>
      </c>
      <c r="E179" s="1421">
        <f>E176+E177+E178</f>
        <v>702915</v>
      </c>
      <c r="F179" s="1421">
        <f>F176+F177+F178</f>
        <v>702353</v>
      </c>
      <c r="G179" s="1421">
        <f>G176+G177+G178</f>
        <v>708917</v>
      </c>
      <c r="H179" s="1422">
        <f>H176+H177+H178</f>
        <v>747583</v>
      </c>
      <c r="I179" s="1423">
        <f>I176+I177+I178</f>
        <v>691694</v>
      </c>
      <c r="J179" s="1424"/>
      <c r="K179" s="1425">
        <f>K176+K177+K178</f>
        <v>113973.68</v>
      </c>
      <c r="L179" s="1423">
        <f>L176+L177+L178</f>
        <v>577720.32</v>
      </c>
      <c r="M179" s="1394"/>
      <c r="N179" s="1404"/>
    </row>
    <row r="180" spans="1:14" ht="12" customHeight="1">
      <c r="A180" s="1394"/>
      <c r="B180" s="1394"/>
      <c r="C180" s="1395"/>
      <c r="E180" s="1426"/>
      <c r="F180" s="1426" t="s">
        <v>305</v>
      </c>
      <c r="G180" s="1391">
        <v>74775</v>
      </c>
      <c r="H180" s="1391">
        <v>74775</v>
      </c>
      <c r="I180" s="1391"/>
      <c r="J180" s="1427"/>
      <c r="K180" s="1428"/>
      <c r="L180" s="1428"/>
      <c r="M180" s="1394"/>
      <c r="N180" s="1404"/>
    </row>
    <row r="181" spans="1:14" ht="12" customHeight="1">
      <c r="A181" s="1394"/>
      <c r="B181" s="1394"/>
      <c r="C181" s="1395"/>
      <c r="E181" s="1426"/>
      <c r="F181" s="1426" t="s">
        <v>421</v>
      </c>
      <c r="G181" s="1391">
        <v>12825</v>
      </c>
      <c r="H181" s="1391">
        <v>21100</v>
      </c>
      <c r="I181" s="1391"/>
      <c r="J181" s="1427"/>
      <c r="K181" s="1428"/>
      <c r="L181" s="1428"/>
      <c r="M181" s="1394"/>
      <c r="N181" s="1404"/>
    </row>
    <row r="182" spans="1:14" ht="12" customHeight="1">
      <c r="A182" s="1394"/>
      <c r="B182" s="1394"/>
      <c r="C182" s="1395"/>
      <c r="D182" s="1406"/>
      <c r="E182" s="1406"/>
      <c r="F182" s="1406"/>
      <c r="G182" s="1429">
        <f>SUM(G180:G181)</f>
        <v>87600</v>
      </c>
      <c r="H182" s="1429">
        <f>SUM(H180:H181)</f>
        <v>95875</v>
      </c>
      <c r="I182" s="1391"/>
      <c r="J182" s="1427"/>
      <c r="K182" s="1428"/>
      <c r="L182" s="1428"/>
      <c r="M182" s="1394"/>
      <c r="N182" s="1404"/>
    </row>
    <row r="183" spans="1:14" ht="12" customHeight="1">
      <c r="A183" s="1394"/>
      <c r="B183" s="1394"/>
      <c r="C183" s="1395"/>
      <c r="D183" s="1430"/>
      <c r="E183" s="1428"/>
      <c r="F183" s="1428"/>
      <c r="G183" s="1428"/>
      <c r="H183" s="1428"/>
      <c r="I183" s="1391"/>
      <c r="J183" s="1427"/>
      <c r="K183" s="1428"/>
      <c r="L183" s="1428"/>
      <c r="M183" s="1394"/>
      <c r="N183" s="1404"/>
    </row>
    <row r="184" spans="1:14" ht="12" customHeight="1">
      <c r="A184" s="1394"/>
      <c r="B184" s="1394"/>
      <c r="C184" s="1395"/>
      <c r="D184" s="1406"/>
      <c r="E184" s="1428"/>
      <c r="F184" s="1428"/>
      <c r="G184" s="1428"/>
      <c r="H184" s="1428"/>
      <c r="I184" s="1428"/>
      <c r="J184" s="1427"/>
      <c r="K184" s="1428"/>
      <c r="L184" s="1428"/>
      <c r="M184" s="1394"/>
      <c r="N184" s="1404"/>
    </row>
    <row r="185" spans="1:14" ht="12" customHeight="1">
      <c r="A185" s="1430"/>
      <c r="B185" s="1430"/>
      <c r="C185" s="1431"/>
      <c r="D185" s="1432"/>
      <c r="E185" s="1428"/>
      <c r="F185" s="1428"/>
      <c r="G185" s="1428"/>
      <c r="H185" s="1428"/>
      <c r="I185" s="1428"/>
      <c r="J185" s="1427"/>
      <c r="K185" s="1428"/>
      <c r="L185" s="1428"/>
      <c r="M185" s="1394"/>
      <c r="N185" s="1433"/>
    </row>
    <row r="186" spans="1:14" ht="12" customHeight="1">
      <c r="A186" s="1394"/>
      <c r="B186" s="1394"/>
      <c r="C186" s="1395"/>
      <c r="D186" s="1406"/>
      <c r="E186" s="1428"/>
      <c r="F186" s="1428"/>
      <c r="G186" s="1428"/>
      <c r="H186" s="1428"/>
      <c r="I186" s="1428"/>
      <c r="J186" s="1427"/>
      <c r="K186" s="1428"/>
      <c r="L186" s="1428"/>
      <c r="M186" s="1394"/>
      <c r="N186" s="1404"/>
    </row>
    <row r="187" spans="1:14" ht="12" customHeight="1">
      <c r="A187" s="1394"/>
      <c r="B187" s="1394"/>
      <c r="C187" s="1395"/>
      <c r="D187" s="1406"/>
      <c r="E187" s="1428"/>
      <c r="F187" s="1428"/>
      <c r="G187" s="1428"/>
      <c r="H187" s="1428"/>
      <c r="I187" s="1428"/>
      <c r="J187" s="1427"/>
      <c r="K187" s="1428"/>
      <c r="L187" s="1428"/>
      <c r="M187" s="1394"/>
      <c r="N187" s="1404"/>
    </row>
    <row r="188" spans="1:15" ht="12" customHeight="1">
      <c r="A188" s="1394"/>
      <c r="B188" s="1394"/>
      <c r="C188" s="1395"/>
      <c r="D188" s="1406"/>
      <c r="E188" s="1428"/>
      <c r="F188" s="1428"/>
      <c r="G188" s="1428"/>
      <c r="H188" s="1428"/>
      <c r="I188" s="1428"/>
      <c r="J188" s="1427"/>
      <c r="K188" s="1428"/>
      <c r="L188" s="1428"/>
      <c r="M188" s="1394"/>
      <c r="N188" s="1404"/>
      <c r="O188" s="1434"/>
    </row>
    <row r="189" spans="1:15" ht="12" customHeight="1">
      <c r="A189" s="1394"/>
      <c r="B189" s="1394"/>
      <c r="C189" s="1395"/>
      <c r="D189" s="1406"/>
      <c r="E189" s="1428"/>
      <c r="F189" s="1428"/>
      <c r="G189" s="1428"/>
      <c r="H189" s="1428"/>
      <c r="I189" s="1428"/>
      <c r="J189" s="1427"/>
      <c r="K189" s="1428"/>
      <c r="L189" s="1428"/>
      <c r="M189" s="1394"/>
      <c r="N189" s="1404"/>
      <c r="O189" s="1434"/>
    </row>
    <row r="190" spans="5:15" ht="12" customHeight="1">
      <c r="E190" s="1435"/>
      <c r="F190" s="1435"/>
      <c r="G190" s="1435"/>
      <c r="H190" s="1435"/>
      <c r="I190" s="1435"/>
      <c r="J190" s="1436"/>
      <c r="K190" s="1128"/>
      <c r="L190" s="1128"/>
      <c r="O190" s="1434"/>
    </row>
    <row r="191" spans="5:15" ht="12" customHeight="1">
      <c r="E191" s="1435"/>
      <c r="F191" s="1435"/>
      <c r="G191" s="1435"/>
      <c r="H191" s="1435"/>
      <c r="I191" s="1435"/>
      <c r="J191" s="1436"/>
      <c r="K191" s="1128"/>
      <c r="L191" s="1128"/>
      <c r="O191" s="1434"/>
    </row>
    <row r="192" spans="5:15" ht="12" customHeight="1">
      <c r="E192" s="1435"/>
      <c r="F192" s="1435"/>
      <c r="G192" s="1435"/>
      <c r="H192" s="1435"/>
      <c r="I192" s="1435"/>
      <c r="J192" s="1436"/>
      <c r="K192" s="1128"/>
      <c r="L192" s="1128"/>
      <c r="O192" s="1434"/>
    </row>
    <row r="193" spans="1:15" s="1141" customFormat="1" ht="12" customHeight="1">
      <c r="A193" s="1139"/>
      <c r="B193" s="1139"/>
      <c r="C193" s="1140"/>
      <c r="D193" s="1127"/>
      <c r="E193" s="1435"/>
      <c r="F193" s="1435"/>
      <c r="G193" s="1435"/>
      <c r="H193" s="1435"/>
      <c r="I193" s="1435"/>
      <c r="J193" s="1436"/>
      <c r="K193" s="1128"/>
      <c r="L193" s="1128"/>
      <c r="M193" s="1139"/>
      <c r="N193" s="1437"/>
      <c r="O193" s="1434"/>
    </row>
    <row r="194" ht="12" customHeight="1">
      <c r="O194" s="1434"/>
    </row>
    <row r="195" spans="1:15" ht="12" customHeight="1">
      <c r="A195" s="1127"/>
      <c r="B195" s="1127"/>
      <c r="C195" s="1127"/>
      <c r="E195" s="1127"/>
      <c r="F195" s="1127"/>
      <c r="G195" s="1127"/>
      <c r="H195" s="1127"/>
      <c r="I195" s="1127"/>
      <c r="J195" s="1139"/>
      <c r="K195" s="1127"/>
      <c r="L195" s="1127"/>
      <c r="M195" s="1127"/>
      <c r="N195" s="1127"/>
      <c r="O195" s="1434"/>
    </row>
    <row r="196" spans="1:15" ht="12" customHeight="1">
      <c r="A196" s="1127"/>
      <c r="B196" s="1127"/>
      <c r="C196" s="1127"/>
      <c r="E196" s="1127"/>
      <c r="F196" s="1127"/>
      <c r="G196" s="1127"/>
      <c r="H196" s="1127"/>
      <c r="I196" s="1127"/>
      <c r="J196" s="1139"/>
      <c r="K196" s="1127"/>
      <c r="L196" s="1127"/>
      <c r="M196" s="1127"/>
      <c r="N196" s="1127"/>
      <c r="O196" s="1434"/>
    </row>
    <row r="197" spans="1:15" ht="12" customHeight="1">
      <c r="A197" s="1127"/>
      <c r="B197" s="1127"/>
      <c r="C197" s="1127"/>
      <c r="E197" s="1127"/>
      <c r="F197" s="1127"/>
      <c r="G197" s="1127"/>
      <c r="H197" s="1127"/>
      <c r="I197" s="1127"/>
      <c r="J197" s="1139"/>
      <c r="K197" s="1127"/>
      <c r="L197" s="1127"/>
      <c r="M197" s="1127"/>
      <c r="N197" s="1127"/>
      <c r="O197" s="1434"/>
    </row>
  </sheetData>
  <sheetProtection/>
  <autoFilter ref="A5:N166"/>
  <printOptions horizontalCentered="1"/>
  <pageMargins left="0.3937007874015748" right="0.2755905511811024" top="0.31496062992125984" bottom="0.2362204724409449" header="0.1968503937007874" footer="0.11811023622047245"/>
  <pageSetup horizontalDpi="600" verticalDpi="600" orientation="portrait" paperSize="8" scale="80" r:id="rId1"/>
  <headerFooter alignWithMargins="0">
    <oddFooter>&amp;C&amp;A&amp;RStránka &amp;P</oddFooter>
  </headerFooter>
  <rowBreaks count="1" manualBreakCount="1">
    <brk id="116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Q44"/>
  <sheetViews>
    <sheetView showGridLines="0" zoomScale="75" zoomScaleNormal="75" zoomScaleSheetLayoutView="75" zoomScalePageLayoutView="0" workbookViewId="0" topLeftCell="A1">
      <selection activeCell="G4" sqref="G4"/>
    </sheetView>
  </sheetViews>
  <sheetFormatPr defaultColWidth="11.375" defaultRowHeight="33" customHeight="1"/>
  <cols>
    <col min="1" max="1" width="4.625" style="1" customWidth="1"/>
    <col min="2" max="2" width="91.125" style="845" customWidth="1"/>
    <col min="3" max="6" width="15.75390625" style="845" hidden="1" customWidth="1"/>
    <col min="7" max="7" width="15.75390625" style="845" customWidth="1"/>
    <col min="8" max="8" width="30.375" style="1004" customWidth="1"/>
    <col min="9" max="17" width="11.375" style="2" customWidth="1"/>
    <col min="18" max="16384" width="11.375" style="1" customWidth="1"/>
  </cols>
  <sheetData>
    <row r="1" spans="2:8" s="26" customFormat="1" ht="21.75" customHeight="1">
      <c r="B1" s="826"/>
      <c r="C1" s="827"/>
      <c r="D1" s="827"/>
      <c r="E1" s="827"/>
      <c r="F1" s="828"/>
      <c r="G1" s="828"/>
      <c r="H1" s="1003"/>
    </row>
    <row r="2" spans="1:17" s="5" customFormat="1" ht="18.75" customHeight="1">
      <c r="A2" s="11"/>
      <c r="B2" s="827"/>
      <c r="C2" s="827"/>
      <c r="D2" s="827"/>
      <c r="E2" s="827"/>
      <c r="F2" s="829"/>
      <c r="G2" s="829"/>
      <c r="H2" s="1003"/>
      <c r="I2" s="4"/>
      <c r="J2" s="4"/>
      <c r="K2" s="4"/>
      <c r="L2" s="4"/>
      <c r="M2" s="4"/>
      <c r="N2" s="4"/>
      <c r="O2" s="4"/>
      <c r="P2" s="4"/>
      <c r="Q2" s="4"/>
    </row>
    <row r="3" spans="1:8" s="7" customFormat="1" ht="27.75" customHeight="1">
      <c r="A3" s="6"/>
      <c r="B3" s="830" t="s">
        <v>430</v>
      </c>
      <c r="C3" s="832">
        <v>2012</v>
      </c>
      <c r="D3" s="832">
        <v>2013</v>
      </c>
      <c r="E3" s="832">
        <v>2014</v>
      </c>
      <c r="F3" s="832">
        <v>2015</v>
      </c>
      <c r="G3" s="831">
        <v>2016</v>
      </c>
      <c r="H3" s="1003"/>
    </row>
    <row r="4" spans="1:17" s="8" customFormat="1" ht="23.25" customHeight="1">
      <c r="A4" s="746"/>
      <c r="B4" s="833" t="s">
        <v>205</v>
      </c>
      <c r="C4" s="834">
        <f>SUM(C23,C21,C25,C13,C19,C11,C15,C17,C9,C7,C5)</f>
        <v>10000</v>
      </c>
      <c r="D4" s="834">
        <f>SUM(D23,D21,D25,D13,D19,D11,D15,D17,D9,D7,D5)</f>
        <v>10000</v>
      </c>
      <c r="E4" s="834">
        <f>SUM(E23,E21,E25,E13,E19,E11,E15,E17,E9,E7,E5)</f>
        <v>10000</v>
      </c>
      <c r="F4" s="834">
        <f>SUM(F23,F21,F25,F13,F19,F11,F15,F17,F9,F7,F5)</f>
        <v>6400</v>
      </c>
      <c r="G4" s="834">
        <f>SUM(G23,G21,G25,G13,G19,G11,G15,G17,G9,G7,G5)</f>
        <v>6000</v>
      </c>
      <c r="H4" s="1003"/>
      <c r="I4" s="3"/>
      <c r="J4" s="3"/>
      <c r="K4" s="3"/>
      <c r="L4" s="3"/>
      <c r="M4" s="3"/>
      <c r="N4" s="3"/>
      <c r="O4" s="3"/>
      <c r="P4" s="3"/>
      <c r="Q4" s="3"/>
    </row>
    <row r="5" spans="1:17" s="9" customFormat="1" ht="18.75" customHeight="1" hidden="1">
      <c r="A5" s="747"/>
      <c r="B5" s="835" t="s">
        <v>8</v>
      </c>
      <c r="C5" s="837">
        <v>150</v>
      </c>
      <c r="D5" s="837">
        <v>2500</v>
      </c>
      <c r="E5" s="838">
        <v>3340</v>
      </c>
      <c r="F5" s="838">
        <f>SUM(F6)</f>
        <v>1865</v>
      </c>
      <c r="G5" s="838"/>
      <c r="H5" s="1003"/>
      <c r="I5" s="2"/>
      <c r="J5" s="2"/>
      <c r="K5" s="2"/>
      <c r="L5" s="2"/>
      <c r="M5" s="2"/>
      <c r="N5" s="2"/>
      <c r="O5" s="2"/>
      <c r="P5" s="2"/>
      <c r="Q5" s="2"/>
    </row>
    <row r="6" spans="1:17" s="9" customFormat="1" ht="21" customHeight="1" hidden="1">
      <c r="A6" s="747"/>
      <c r="B6" s="839" t="s">
        <v>509</v>
      </c>
      <c r="C6" s="841"/>
      <c r="D6" s="841"/>
      <c r="E6" s="841"/>
      <c r="F6" s="842">
        <v>1865</v>
      </c>
      <c r="G6" s="842"/>
      <c r="H6" s="1003"/>
      <c r="I6" s="2"/>
      <c r="J6" s="2"/>
      <c r="K6" s="2"/>
      <c r="L6" s="2"/>
      <c r="M6" s="2"/>
      <c r="N6" s="2"/>
      <c r="O6" s="2"/>
      <c r="P6" s="2"/>
      <c r="Q6" s="2"/>
    </row>
    <row r="7" spans="1:17" s="9" customFormat="1" ht="21" customHeight="1" hidden="1">
      <c r="A7" s="747"/>
      <c r="B7" s="843" t="s">
        <v>12</v>
      </c>
      <c r="C7" s="837">
        <f>SUM(C8)</f>
        <v>0</v>
      </c>
      <c r="D7" s="837">
        <f>SUM(D8)</f>
        <v>0</v>
      </c>
      <c r="E7" s="837">
        <v>1100</v>
      </c>
      <c r="F7" s="838">
        <f>SUM(F8)</f>
        <v>1000</v>
      </c>
      <c r="G7" s="838"/>
      <c r="H7" s="1003"/>
      <c r="I7" s="2"/>
      <c r="J7" s="2"/>
      <c r="K7" s="2"/>
      <c r="L7" s="2"/>
      <c r="M7" s="2"/>
      <c r="N7" s="2"/>
      <c r="O7" s="2"/>
      <c r="P7" s="2"/>
      <c r="Q7" s="2"/>
    </row>
    <row r="8" spans="1:17" s="10" customFormat="1" ht="21" customHeight="1" hidden="1">
      <c r="A8" s="748"/>
      <c r="B8" s="839" t="s">
        <v>510</v>
      </c>
      <c r="C8" s="841"/>
      <c r="D8" s="841"/>
      <c r="E8" s="841"/>
      <c r="F8" s="842">
        <v>1000</v>
      </c>
      <c r="G8" s="842"/>
      <c r="H8" s="1003"/>
      <c r="I8" s="4"/>
      <c r="J8" s="4"/>
      <c r="K8" s="4"/>
      <c r="L8" s="4"/>
      <c r="M8" s="4"/>
      <c r="N8" s="4"/>
      <c r="O8" s="4"/>
      <c r="P8" s="4"/>
      <c r="Q8" s="4"/>
    </row>
    <row r="9" spans="1:8" ht="21" customHeight="1" hidden="1">
      <c r="A9" s="749"/>
      <c r="B9" s="1005" t="s">
        <v>9</v>
      </c>
      <c r="C9" s="837"/>
      <c r="D9" s="837"/>
      <c r="E9" s="837">
        <v>940</v>
      </c>
      <c r="F9" s="838">
        <f>SUM(F10:F10)</f>
        <v>0</v>
      </c>
      <c r="G9" s="838"/>
      <c r="H9" s="1003"/>
    </row>
    <row r="10" spans="1:8" ht="21" customHeight="1" hidden="1">
      <c r="A10" s="749"/>
      <c r="B10" s="1006"/>
      <c r="C10" s="841"/>
      <c r="D10" s="841"/>
      <c r="E10" s="841"/>
      <c r="F10" s="842"/>
      <c r="G10" s="842"/>
      <c r="H10" s="1003"/>
    </row>
    <row r="11" spans="1:8" ht="21" customHeight="1" hidden="1">
      <c r="A11" s="749"/>
      <c r="B11" s="1005" t="s">
        <v>11</v>
      </c>
      <c r="C11" s="837"/>
      <c r="D11" s="837"/>
      <c r="E11" s="837"/>
      <c r="F11" s="838">
        <f>SUM(F12:F12)</f>
        <v>775</v>
      </c>
      <c r="G11" s="838"/>
      <c r="H11" s="1003"/>
    </row>
    <row r="12" spans="1:8" ht="21" customHeight="1" hidden="1">
      <c r="A12" s="749"/>
      <c r="B12" s="1006" t="s">
        <v>515</v>
      </c>
      <c r="C12" s="841"/>
      <c r="D12" s="841"/>
      <c r="E12" s="841"/>
      <c r="F12" s="842">
        <v>775</v>
      </c>
      <c r="G12" s="842"/>
      <c r="H12" s="1003"/>
    </row>
    <row r="13" spans="1:8" ht="21" customHeight="1">
      <c r="A13" s="749"/>
      <c r="B13" s="1005" t="s">
        <v>13</v>
      </c>
      <c r="C13" s="837">
        <v>1750</v>
      </c>
      <c r="D13" s="837">
        <v>450</v>
      </c>
      <c r="E13" s="837">
        <v>800</v>
      </c>
      <c r="F13" s="838">
        <f>SUM(F14)</f>
        <v>500</v>
      </c>
      <c r="G13" s="838">
        <f>SUM(G14)</f>
        <v>1573</v>
      </c>
      <c r="H13" s="1003"/>
    </row>
    <row r="14" spans="1:8" ht="21" customHeight="1">
      <c r="A14" s="749"/>
      <c r="B14" s="1006" t="s">
        <v>514</v>
      </c>
      <c r="C14" s="841"/>
      <c r="D14" s="841"/>
      <c r="E14" s="841"/>
      <c r="F14" s="842">
        <v>500</v>
      </c>
      <c r="G14" s="842">
        <v>1573</v>
      </c>
      <c r="H14" s="1003"/>
    </row>
    <row r="15" spans="1:8" ht="21" customHeight="1">
      <c r="A15" s="749"/>
      <c r="B15" s="843" t="s">
        <v>14</v>
      </c>
      <c r="C15" s="837">
        <v>2568</v>
      </c>
      <c r="D15" s="837">
        <v>2500</v>
      </c>
      <c r="E15" s="837">
        <v>790</v>
      </c>
      <c r="F15" s="838">
        <f>SUM(F16)</f>
        <v>100</v>
      </c>
      <c r="G15" s="838"/>
      <c r="H15" s="1003"/>
    </row>
    <row r="16" spans="1:17" s="10" customFormat="1" ht="21" customHeight="1" hidden="1">
      <c r="A16" s="748"/>
      <c r="B16" s="839" t="s">
        <v>512</v>
      </c>
      <c r="C16" s="841"/>
      <c r="D16" s="841"/>
      <c r="E16" s="841"/>
      <c r="F16" s="842">
        <v>100</v>
      </c>
      <c r="G16" s="842"/>
      <c r="H16" s="1003"/>
      <c r="I16" s="4"/>
      <c r="J16" s="4"/>
      <c r="K16" s="4"/>
      <c r="L16" s="4"/>
      <c r="M16" s="4"/>
      <c r="N16" s="4"/>
      <c r="O16" s="4"/>
      <c r="P16" s="4"/>
      <c r="Q16" s="4"/>
    </row>
    <row r="17" spans="1:8" ht="21" customHeight="1">
      <c r="A17" s="749"/>
      <c r="B17" s="843" t="s">
        <v>15</v>
      </c>
      <c r="C17" s="837">
        <f>SUM(C18)</f>
        <v>0</v>
      </c>
      <c r="D17" s="837">
        <f>SUM(D18)</f>
        <v>0</v>
      </c>
      <c r="E17" s="837">
        <v>120</v>
      </c>
      <c r="F17" s="838">
        <f>SUM(F18)</f>
        <v>485</v>
      </c>
      <c r="G17" s="838">
        <f>SUM(G18)</f>
        <v>400</v>
      </c>
      <c r="H17" s="1003"/>
    </row>
    <row r="18" spans="1:8" ht="21" customHeight="1">
      <c r="A18" s="749"/>
      <c r="B18" s="839" t="s">
        <v>511</v>
      </c>
      <c r="C18" s="841"/>
      <c r="D18" s="841"/>
      <c r="E18" s="841"/>
      <c r="F18" s="842">
        <v>485</v>
      </c>
      <c r="G18" s="842">
        <v>400</v>
      </c>
      <c r="H18" s="1003"/>
    </row>
    <row r="19" spans="1:8" ht="21" customHeight="1" hidden="1">
      <c r="A19" s="749"/>
      <c r="B19" s="1005" t="s">
        <v>83</v>
      </c>
      <c r="C19" s="837"/>
      <c r="D19" s="837"/>
      <c r="E19" s="837"/>
      <c r="F19" s="838">
        <f>SUM(F20)</f>
        <v>250</v>
      </c>
      <c r="G19" s="838"/>
      <c r="H19" s="1003"/>
    </row>
    <row r="20" spans="1:8" ht="21" customHeight="1" hidden="1">
      <c r="A20" s="749"/>
      <c r="B20" s="1006" t="s">
        <v>513</v>
      </c>
      <c r="C20" s="841"/>
      <c r="D20" s="841"/>
      <c r="E20" s="841"/>
      <c r="F20" s="842">
        <v>250</v>
      </c>
      <c r="G20" s="842"/>
      <c r="H20" s="1003"/>
    </row>
    <row r="21" spans="1:8" ht="21" customHeight="1" hidden="1">
      <c r="A21" s="749"/>
      <c r="B21" s="1005" t="s">
        <v>71</v>
      </c>
      <c r="C21" s="837">
        <v>2200</v>
      </c>
      <c r="D21" s="837">
        <v>3000</v>
      </c>
      <c r="E21" s="837"/>
      <c r="F21" s="838">
        <f>SUM(F22)</f>
        <v>0</v>
      </c>
      <c r="G21" s="838"/>
      <c r="H21" s="1003"/>
    </row>
    <row r="22" spans="1:17" s="10" customFormat="1" ht="21" customHeight="1" hidden="1">
      <c r="A22" s="748"/>
      <c r="B22" s="1006" t="s">
        <v>431</v>
      </c>
      <c r="C22" s="841"/>
      <c r="D22" s="841"/>
      <c r="E22" s="841"/>
      <c r="F22" s="842" t="s">
        <v>432</v>
      </c>
      <c r="G22" s="842"/>
      <c r="H22" s="1003"/>
      <c r="I22" s="4"/>
      <c r="J22" s="4"/>
      <c r="K22" s="4"/>
      <c r="L22" s="4"/>
      <c r="M22" s="4"/>
      <c r="N22" s="4"/>
      <c r="O22" s="4"/>
      <c r="P22" s="4"/>
      <c r="Q22" s="4"/>
    </row>
    <row r="23" spans="1:8" ht="21" customHeight="1" hidden="1">
      <c r="A23" s="749"/>
      <c r="B23" s="1005" t="s">
        <v>1</v>
      </c>
      <c r="C23" s="837">
        <v>694</v>
      </c>
      <c r="D23" s="837"/>
      <c r="E23" s="837"/>
      <c r="F23" s="838">
        <f>SUM(F24)</f>
        <v>0</v>
      </c>
      <c r="G23" s="838"/>
      <c r="H23" s="1003"/>
    </row>
    <row r="24" spans="1:17" s="10" customFormat="1" ht="21" customHeight="1" hidden="1">
      <c r="A24" s="748"/>
      <c r="B24" s="1006" t="s">
        <v>431</v>
      </c>
      <c r="C24" s="841"/>
      <c r="D24" s="841"/>
      <c r="E24" s="841"/>
      <c r="F24" s="842"/>
      <c r="G24" s="842"/>
      <c r="H24" s="1003"/>
      <c r="I24" s="4"/>
      <c r="J24" s="4"/>
      <c r="K24" s="4"/>
      <c r="L24" s="4"/>
      <c r="M24" s="4"/>
      <c r="N24" s="4"/>
      <c r="O24" s="4"/>
      <c r="P24" s="4"/>
      <c r="Q24" s="4"/>
    </row>
    <row r="25" spans="1:8" ht="21" customHeight="1">
      <c r="A25" s="749"/>
      <c r="B25" s="1005" t="s">
        <v>18</v>
      </c>
      <c r="C25" s="837">
        <f>2368+C34</f>
        <v>2638</v>
      </c>
      <c r="D25" s="837">
        <v>1550</v>
      </c>
      <c r="E25" s="837">
        <v>2910</v>
      </c>
      <c r="F25" s="838">
        <f>SUM(F26:F34)</f>
        <v>1425</v>
      </c>
      <c r="G25" s="838">
        <f>SUM(G26:G34)</f>
        <v>4027</v>
      </c>
      <c r="H25" s="1003"/>
    </row>
    <row r="26" spans="1:17" s="10" customFormat="1" ht="21" customHeight="1">
      <c r="A26" s="748"/>
      <c r="B26" s="1006" t="s">
        <v>516</v>
      </c>
      <c r="C26" s="841"/>
      <c r="D26" s="841"/>
      <c r="E26" s="841"/>
      <c r="F26" s="842">
        <v>500</v>
      </c>
      <c r="G26" s="842"/>
      <c r="H26" s="1003"/>
      <c r="I26" s="4"/>
      <c r="J26" s="4"/>
      <c r="K26" s="4"/>
      <c r="L26" s="4"/>
      <c r="M26" s="4"/>
      <c r="N26" s="4"/>
      <c r="O26" s="4"/>
      <c r="P26" s="4"/>
      <c r="Q26" s="4"/>
    </row>
    <row r="27" spans="1:17" s="10" customFormat="1" ht="21" customHeight="1">
      <c r="A27" s="748"/>
      <c r="B27" s="1006" t="s">
        <v>517</v>
      </c>
      <c r="C27" s="841"/>
      <c r="D27" s="841"/>
      <c r="E27" s="841"/>
      <c r="F27" s="842">
        <v>350</v>
      </c>
      <c r="G27" s="842"/>
      <c r="H27" s="1003"/>
      <c r="I27" s="4"/>
      <c r="J27" s="4"/>
      <c r="K27" s="4"/>
      <c r="L27" s="4"/>
      <c r="M27" s="4"/>
      <c r="N27" s="4"/>
      <c r="O27" s="4"/>
      <c r="P27" s="4"/>
      <c r="Q27" s="4"/>
    </row>
    <row r="28" spans="1:17" s="10" customFormat="1" ht="21" customHeight="1">
      <c r="A28" s="748"/>
      <c r="B28" s="1007" t="s">
        <v>518</v>
      </c>
      <c r="C28" s="841"/>
      <c r="D28" s="841"/>
      <c r="E28" s="841"/>
      <c r="F28" s="842">
        <v>270</v>
      </c>
      <c r="G28" s="842"/>
      <c r="H28" s="1003"/>
      <c r="I28" s="4"/>
      <c r="J28" s="4"/>
      <c r="K28" s="4"/>
      <c r="L28" s="4"/>
      <c r="M28" s="4"/>
      <c r="N28" s="4"/>
      <c r="O28" s="4"/>
      <c r="P28" s="4"/>
      <c r="Q28" s="4"/>
    </row>
    <row r="29" spans="1:17" s="10" customFormat="1" ht="21" customHeight="1">
      <c r="A29" s="748"/>
      <c r="B29" s="1007" t="s">
        <v>704</v>
      </c>
      <c r="C29" s="841"/>
      <c r="D29" s="841"/>
      <c r="E29" s="841"/>
      <c r="F29" s="842"/>
      <c r="G29" s="842">
        <v>250</v>
      </c>
      <c r="H29" s="1003"/>
      <c r="I29" s="4"/>
      <c r="J29" s="4"/>
      <c r="K29" s="4"/>
      <c r="L29" s="4"/>
      <c r="M29" s="4"/>
      <c r="N29" s="4"/>
      <c r="O29" s="4"/>
      <c r="P29" s="4"/>
      <c r="Q29" s="4"/>
    </row>
    <row r="30" spans="1:17" s="10" customFormat="1" ht="21" customHeight="1">
      <c r="A30" s="748"/>
      <c r="B30" s="1007" t="s">
        <v>705</v>
      </c>
      <c r="C30" s="841"/>
      <c r="D30" s="841"/>
      <c r="E30" s="841"/>
      <c r="F30" s="842"/>
      <c r="G30" s="842">
        <v>500</v>
      </c>
      <c r="H30" s="1003"/>
      <c r="I30" s="4"/>
      <c r="J30" s="4"/>
      <c r="K30" s="4"/>
      <c r="L30" s="4"/>
      <c r="M30" s="4"/>
      <c r="N30" s="4"/>
      <c r="O30" s="4"/>
      <c r="P30" s="4"/>
      <c r="Q30" s="4"/>
    </row>
    <row r="31" spans="1:17" s="10" customFormat="1" ht="21" customHeight="1">
      <c r="A31" s="748"/>
      <c r="B31" s="1007" t="s">
        <v>706</v>
      </c>
      <c r="C31" s="841"/>
      <c r="D31" s="841"/>
      <c r="E31" s="841"/>
      <c r="F31" s="842"/>
      <c r="G31" s="842">
        <v>400</v>
      </c>
      <c r="H31" s="1003"/>
      <c r="I31" s="4"/>
      <c r="J31" s="4"/>
      <c r="K31" s="4"/>
      <c r="L31" s="4"/>
      <c r="M31" s="4"/>
      <c r="N31" s="4"/>
      <c r="O31" s="4"/>
      <c r="P31" s="4"/>
      <c r="Q31" s="4"/>
    </row>
    <row r="32" spans="1:17" s="10" customFormat="1" ht="21" customHeight="1">
      <c r="A32" s="748"/>
      <c r="B32" s="1007" t="s">
        <v>707</v>
      </c>
      <c r="C32" s="841"/>
      <c r="D32" s="841"/>
      <c r="E32" s="841"/>
      <c r="F32" s="842"/>
      <c r="G32" s="842">
        <v>200</v>
      </c>
      <c r="H32" s="1003"/>
      <c r="I32" s="4"/>
      <c r="J32" s="4"/>
      <c r="K32" s="4"/>
      <c r="L32" s="4"/>
      <c r="M32" s="4"/>
      <c r="N32" s="4"/>
      <c r="O32" s="4"/>
      <c r="P32" s="4"/>
      <c r="Q32" s="4"/>
    </row>
    <row r="33" spans="1:17" s="10" customFormat="1" ht="21" customHeight="1">
      <c r="A33" s="748"/>
      <c r="B33" s="1007" t="s">
        <v>708</v>
      </c>
      <c r="C33" s="841"/>
      <c r="D33" s="841"/>
      <c r="E33" s="841"/>
      <c r="F33" s="842"/>
      <c r="G33" s="842">
        <v>400</v>
      </c>
      <c r="H33" s="1003"/>
      <c r="I33" s="4"/>
      <c r="J33" s="4"/>
      <c r="K33" s="4"/>
      <c r="L33" s="4"/>
      <c r="M33" s="4"/>
      <c r="N33" s="4"/>
      <c r="O33" s="4"/>
      <c r="P33" s="4"/>
      <c r="Q33" s="4"/>
    </row>
    <row r="34" spans="1:17" s="10" customFormat="1" ht="21" customHeight="1">
      <c r="A34" s="748"/>
      <c r="B34" s="1006" t="s">
        <v>127</v>
      </c>
      <c r="C34" s="841">
        <v>270</v>
      </c>
      <c r="D34" s="841">
        <v>1120</v>
      </c>
      <c r="E34" s="841"/>
      <c r="F34" s="842">
        <v>305</v>
      </c>
      <c r="G34" s="842">
        <v>2277</v>
      </c>
      <c r="H34" s="1003"/>
      <c r="I34" s="4"/>
      <c r="J34" s="4"/>
      <c r="K34" s="4"/>
      <c r="L34" s="4"/>
      <c r="M34" s="4"/>
      <c r="N34" s="4"/>
      <c r="O34" s="4"/>
      <c r="P34" s="4"/>
      <c r="Q34" s="4"/>
    </row>
    <row r="35" ht="23.25" customHeight="1" hidden="1">
      <c r="B35" s="844" t="s">
        <v>433</v>
      </c>
    </row>
    <row r="36" ht="33" customHeight="1" hidden="1"/>
    <row r="37" spans="2:7" ht="33" customHeight="1" hidden="1">
      <c r="B37" s="830" t="s">
        <v>534</v>
      </c>
      <c r="C37" s="831">
        <v>2012</v>
      </c>
      <c r="D37" s="831">
        <v>2013</v>
      </c>
      <c r="E37" s="831">
        <v>2014</v>
      </c>
      <c r="F37" s="831">
        <v>2015</v>
      </c>
      <c r="G37" s="831">
        <v>2016</v>
      </c>
    </row>
    <row r="38" spans="2:7" ht="21" customHeight="1" hidden="1">
      <c r="B38" s="833" t="s">
        <v>205</v>
      </c>
      <c r="C38" s="834">
        <f>C41</f>
        <v>1000</v>
      </c>
      <c r="D38" s="834">
        <f>D41</f>
        <v>2000</v>
      </c>
      <c r="E38" s="834">
        <f>E41</f>
        <v>0</v>
      </c>
      <c r="F38" s="834">
        <f>SUM(F39,F41)</f>
        <v>6300</v>
      </c>
      <c r="G38" s="834"/>
    </row>
    <row r="39" spans="2:7" ht="21" customHeight="1" hidden="1">
      <c r="B39" s="835" t="s">
        <v>9</v>
      </c>
      <c r="C39" s="836"/>
      <c r="D39" s="836"/>
      <c r="E39" s="836"/>
      <c r="F39" s="838">
        <f>SUM(F40)</f>
        <v>300</v>
      </c>
      <c r="G39" s="838"/>
    </row>
    <row r="40" spans="2:7" ht="21" customHeight="1" hidden="1">
      <c r="B40" s="839" t="s">
        <v>536</v>
      </c>
      <c r="C40" s="840"/>
      <c r="D40" s="840"/>
      <c r="E40" s="840"/>
      <c r="F40" s="842">
        <v>300</v>
      </c>
      <c r="G40" s="842"/>
    </row>
    <row r="41" spans="2:7" ht="21" customHeight="1" hidden="1">
      <c r="B41" s="843" t="s">
        <v>18</v>
      </c>
      <c r="C41" s="838">
        <f>SUM(C42:C44)</f>
        <v>1000</v>
      </c>
      <c r="D41" s="838">
        <f>SUM(D42:D44)</f>
        <v>2000</v>
      </c>
      <c r="E41" s="838">
        <f>SUM(E42:E44)</f>
        <v>0</v>
      </c>
      <c r="F41" s="838">
        <f>SUM(F42:F44)</f>
        <v>6000</v>
      </c>
      <c r="G41" s="838"/>
    </row>
    <row r="42" spans="2:7" ht="21" customHeight="1" hidden="1">
      <c r="B42" s="839" t="s">
        <v>535</v>
      </c>
      <c r="C42" s="841">
        <v>1000</v>
      </c>
      <c r="D42" s="841">
        <v>2000</v>
      </c>
      <c r="E42" s="841"/>
      <c r="F42" s="842"/>
      <c r="G42" s="842"/>
    </row>
    <row r="43" spans="2:7" ht="21" customHeight="1" hidden="1">
      <c r="B43" s="839" t="s">
        <v>536</v>
      </c>
      <c r="C43" s="841"/>
      <c r="D43" s="841"/>
      <c r="E43" s="841"/>
      <c r="F43" s="842">
        <v>2400</v>
      </c>
      <c r="G43" s="842"/>
    </row>
    <row r="44" spans="2:7" ht="21" customHeight="1" hidden="1">
      <c r="B44" s="839" t="s">
        <v>536</v>
      </c>
      <c r="C44" s="841"/>
      <c r="D44" s="841"/>
      <c r="E44" s="841"/>
      <c r="F44" s="842">
        <v>3600</v>
      </c>
      <c r="G44" s="842"/>
    </row>
  </sheetData>
  <sheetProtection/>
  <printOptions horizontalCentered="1"/>
  <pageMargins left="0.2755905511811024" right="0" top="0.1968503937007874" bottom="0.15748031496062992" header="0.4724409448818898" footer="0.15748031496062992"/>
  <pageSetup fitToHeight="1" fitToWidth="1" horizontalDpi="600" verticalDpi="600" orientation="portrait" paperSize="9" scale="91" r:id="rId1"/>
  <headerFooter alignWithMargins="0"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J.Tomanova</dc:creator>
  <cp:keywords/>
  <dc:description/>
  <cp:lastModifiedBy>Havranek</cp:lastModifiedBy>
  <cp:lastPrinted>2016-04-08T06:43:57Z</cp:lastPrinted>
  <dcterms:created xsi:type="dcterms:W3CDTF">2002-02-05T08:08:05Z</dcterms:created>
  <dcterms:modified xsi:type="dcterms:W3CDTF">2016-04-15T10:57:46Z</dcterms:modified>
  <cp:category/>
  <cp:version/>
  <cp:contentType/>
  <cp:contentStatus/>
</cp:coreProperties>
</file>