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OEF-FINANCOVANI\ROZPOCTY\ROZPOCET_MU\2017\04_Schváleno_AS\FINAL Nová IP\"/>
    </mc:Choice>
  </mc:AlternateContent>
  <bookViews>
    <workbookView xWindow="0" yWindow="0" windowWidth="28800" windowHeight="11700" tabRatio="835" activeTab="6"/>
  </bookViews>
  <sheets>
    <sheet name="str1" sheetId="1" r:id="rId1"/>
    <sheet name="str2" sheetId="32" r:id="rId2"/>
    <sheet name="str3" sheetId="39" r:id="rId3"/>
    <sheet name="str4" sheetId="37" r:id="rId4"/>
    <sheet name="str5" sheetId="7" r:id="rId5"/>
    <sheet name="rozpis pro rozpocet" sheetId="3" r:id="rId6"/>
    <sheet name=" rozpis pro HS" sheetId="48" r:id="rId7"/>
    <sheet name="příl.1 - cp 2017" sheetId="33" r:id="rId8"/>
    <sheet name="příl.2 - NEI pro INV" sheetId="44" r:id="rId9"/>
    <sheet name="příl.3 - Osnova NEI 2017" sheetId="51" r:id="rId10"/>
    <sheet name="Rozdělení IRP" sheetId="47" r:id="rId11"/>
    <sheet name="pom1 - Přerozdělení IP" sheetId="43" r:id="rId12"/>
    <sheet name="pom2 - Poměr VaV" sheetId="45" r:id="rId13"/>
  </sheets>
  <definedNames>
    <definedName name="_xlnm._FilterDatabase" localSheetId="7" hidden="1">'příl.1 - cp 2017'!$A$5:$O$161</definedName>
    <definedName name="bla" localSheetId="7">#REF!</definedName>
    <definedName name="bla">#REF!</definedName>
    <definedName name="_xlnm.Database" localSheetId="7">#REF!</definedName>
    <definedName name="_xlnm.Database">#REF!</definedName>
    <definedName name="_xlnm.Print_Titles" localSheetId="7">'příl.1 - cp 2017'!$4:$5</definedName>
    <definedName name="_xlnm.Print_Area" localSheetId="7">'příl.1 - cp 2017'!$A$1:$P$169</definedName>
  </definedNames>
  <calcPr calcId="152511"/>
</workbook>
</file>

<file path=xl/calcChain.xml><?xml version="1.0" encoding="utf-8"?>
<calcChain xmlns="http://schemas.openxmlformats.org/spreadsheetml/2006/main">
  <c r="E18" i="48" l="1"/>
  <c r="C13" i="39" l="1"/>
  <c r="C24" i="39"/>
  <c r="F28" i="1" l="1"/>
  <c r="D32" i="48" l="1"/>
  <c r="G34" i="48"/>
  <c r="I27" i="7"/>
  <c r="E27" i="7"/>
  <c r="F10" i="7"/>
  <c r="B27" i="7"/>
  <c r="I33" i="37"/>
  <c r="I31" i="37"/>
  <c r="E32" i="48"/>
  <c r="C5" i="48" s="1"/>
  <c r="P86" i="3"/>
  <c r="P87" i="3"/>
  <c r="P88" i="3"/>
  <c r="P89" i="3"/>
  <c r="P90" i="3"/>
  <c r="P91" i="3"/>
  <c r="P92" i="3"/>
  <c r="P93" i="3"/>
  <c r="P85" i="3"/>
  <c r="Q21" i="43"/>
  <c r="E96" i="3" s="1"/>
  <c r="R1" i="32"/>
  <c r="H67" i="3"/>
  <c r="I69" i="3"/>
  <c r="F33" i="3"/>
  <c r="D33" i="3" s="1"/>
  <c r="F28" i="3"/>
  <c r="F26" i="3"/>
  <c r="G66" i="3" s="1"/>
  <c r="F25" i="3"/>
  <c r="F23" i="3"/>
  <c r="F22" i="3"/>
  <c r="G62" i="3" s="1"/>
  <c r="G39" i="7"/>
  <c r="Q14" i="7"/>
  <c r="Q12" i="7"/>
  <c r="I38" i="37"/>
  <c r="F32" i="48"/>
  <c r="L77" i="33"/>
  <c r="M77" i="33" s="1"/>
  <c r="E28" i="1"/>
  <c r="AB18" i="32"/>
  <c r="AC8" i="32" s="1"/>
  <c r="N6" i="32"/>
  <c r="V18" i="32"/>
  <c r="W13" i="32"/>
  <c r="T14" i="32"/>
  <c r="T13" i="32"/>
  <c r="T12" i="32"/>
  <c r="T11" i="32"/>
  <c r="T10" i="32"/>
  <c r="T9" i="32"/>
  <c r="T8" i="32"/>
  <c r="T7" i="32"/>
  <c r="T6" i="32"/>
  <c r="S14" i="32"/>
  <c r="S13" i="32"/>
  <c r="S12" i="32"/>
  <c r="S11" i="32"/>
  <c r="S10" i="32"/>
  <c r="S9" i="32"/>
  <c r="S8" i="32"/>
  <c r="S7" i="32"/>
  <c r="S6" i="32"/>
  <c r="F18" i="32"/>
  <c r="G7" i="32"/>
  <c r="I18" i="32"/>
  <c r="J9" i="32"/>
  <c r="C18" i="32"/>
  <c r="G20" i="47"/>
  <c r="L31" i="33"/>
  <c r="P28" i="51"/>
  <c r="O28" i="51"/>
  <c r="N28" i="51"/>
  <c r="M28" i="51"/>
  <c r="L28" i="51"/>
  <c r="L45" i="51" s="1"/>
  <c r="K28" i="51"/>
  <c r="J28" i="51"/>
  <c r="I28" i="51"/>
  <c r="H28" i="51"/>
  <c r="P4" i="51"/>
  <c r="P44" i="51" s="1"/>
  <c r="O4" i="51"/>
  <c r="O3" i="51" s="1"/>
  <c r="O45" i="51" s="1"/>
  <c r="N4" i="51"/>
  <c r="N3" i="51" s="1"/>
  <c r="M4" i="51"/>
  <c r="M3" i="51" s="1"/>
  <c r="L4" i="51"/>
  <c r="K4" i="51"/>
  <c r="K3" i="51" s="1"/>
  <c r="J4" i="51"/>
  <c r="J3" i="51" s="1"/>
  <c r="I4" i="51"/>
  <c r="I3" i="51" s="1"/>
  <c r="I45" i="51" s="1"/>
  <c r="H4" i="51"/>
  <c r="H44" i="51" s="1"/>
  <c r="F4" i="51"/>
  <c r="F5" i="51" s="1"/>
  <c r="F6" i="51" s="1"/>
  <c r="F7" i="51" s="1"/>
  <c r="F8" i="51" s="1"/>
  <c r="F9" i="51" s="1"/>
  <c r="F10" i="51" s="1"/>
  <c r="F11" i="51" s="1"/>
  <c r="F12" i="51" s="1"/>
  <c r="F13" i="51" s="1"/>
  <c r="F14" i="51" s="1"/>
  <c r="F15" i="51" s="1"/>
  <c r="F18" i="51" s="1"/>
  <c r="F19" i="51" s="1"/>
  <c r="F20" i="51" s="1"/>
  <c r="F21" i="51" s="1"/>
  <c r="F22" i="51" s="1"/>
  <c r="F23" i="51" s="1"/>
  <c r="F24" i="51" s="1"/>
  <c r="F25" i="51" s="1"/>
  <c r="F26" i="51" s="1"/>
  <c r="F27" i="51" s="1"/>
  <c r="F28" i="51" s="1"/>
  <c r="F29" i="51" s="1"/>
  <c r="F30" i="51" s="1"/>
  <c r="F31" i="51" s="1"/>
  <c r="F32" i="51" s="1"/>
  <c r="F33" i="51" s="1"/>
  <c r="F34" i="51" s="1"/>
  <c r="F35" i="51" s="1"/>
  <c r="F36" i="51" s="1"/>
  <c r="F37" i="51" s="1"/>
  <c r="F38" i="51" s="1"/>
  <c r="F39" i="51" s="1"/>
  <c r="F40" i="51" s="1"/>
  <c r="F41" i="51" s="1"/>
  <c r="F42" i="51" s="1"/>
  <c r="F43" i="51" s="1"/>
  <c r="F44" i="51" s="1"/>
  <c r="F45" i="51" s="1"/>
  <c r="L3" i="51"/>
  <c r="H3" i="51"/>
  <c r="H45" i="51" s="1"/>
  <c r="L67" i="33"/>
  <c r="M67" i="33"/>
  <c r="F17" i="47"/>
  <c r="G17" i="47"/>
  <c r="G21" i="47" s="1"/>
  <c r="F20" i="47"/>
  <c r="D21" i="47"/>
  <c r="I7" i="45"/>
  <c r="B28" i="45"/>
  <c r="J39" i="45"/>
  <c r="J7" i="45"/>
  <c r="K7" i="45" s="1"/>
  <c r="I39" i="45"/>
  <c r="H28" i="45"/>
  <c r="G28" i="45"/>
  <c r="F28" i="45"/>
  <c r="E28" i="45"/>
  <c r="D28" i="45"/>
  <c r="C28" i="45"/>
  <c r="J27" i="45"/>
  <c r="K27" i="45" s="1"/>
  <c r="I27" i="45"/>
  <c r="J26" i="45"/>
  <c r="K26" i="45" s="1"/>
  <c r="I26" i="45"/>
  <c r="J25" i="45"/>
  <c r="I25" i="45"/>
  <c r="J24" i="45"/>
  <c r="K24" i="45" s="1"/>
  <c r="I24" i="45"/>
  <c r="J23" i="45"/>
  <c r="I23" i="45"/>
  <c r="J22" i="45"/>
  <c r="K22" i="45" s="1"/>
  <c r="I22" i="45"/>
  <c r="J21" i="45"/>
  <c r="K21" i="45" s="1"/>
  <c r="I21" i="45"/>
  <c r="J20" i="45"/>
  <c r="K20" i="45" s="1"/>
  <c r="I20" i="45"/>
  <c r="J19" i="45"/>
  <c r="I19" i="45"/>
  <c r="K19" i="45"/>
  <c r="J18" i="45"/>
  <c r="K18" i="45" s="1"/>
  <c r="I18" i="45"/>
  <c r="J17" i="45"/>
  <c r="K17" i="45" s="1"/>
  <c r="I17" i="45"/>
  <c r="J16" i="45"/>
  <c r="I16" i="45"/>
  <c r="J15" i="45"/>
  <c r="K15" i="45"/>
  <c r="I15" i="45"/>
  <c r="J14" i="45"/>
  <c r="K14" i="45" s="1"/>
  <c r="I14" i="45"/>
  <c r="J13" i="45"/>
  <c r="K13" i="45" s="1"/>
  <c r="I13" i="45"/>
  <c r="J12" i="45"/>
  <c r="I12" i="45"/>
  <c r="J11" i="45"/>
  <c r="K11" i="45" s="1"/>
  <c r="I11" i="45"/>
  <c r="J10" i="45"/>
  <c r="K10" i="45" s="1"/>
  <c r="I10" i="45"/>
  <c r="J9" i="45"/>
  <c r="I9" i="45"/>
  <c r="J8" i="45"/>
  <c r="I8" i="45"/>
  <c r="C29" i="44"/>
  <c r="D29" i="44"/>
  <c r="E29" i="44"/>
  <c r="F29" i="44"/>
  <c r="G29" i="44"/>
  <c r="H29" i="44"/>
  <c r="E4" i="44"/>
  <c r="H13" i="44"/>
  <c r="G13" i="44"/>
  <c r="F13" i="44"/>
  <c r="D13" i="44"/>
  <c r="C13" i="44"/>
  <c r="F32" i="44"/>
  <c r="G32" i="44"/>
  <c r="H8" i="44"/>
  <c r="H32" i="44"/>
  <c r="H21" i="44"/>
  <c r="H34" i="44"/>
  <c r="H24" i="44"/>
  <c r="H5" i="44"/>
  <c r="G53" i="44"/>
  <c r="H53" i="44"/>
  <c r="G51" i="44"/>
  <c r="G50" i="44" s="1"/>
  <c r="H51" i="44"/>
  <c r="H50" i="44" s="1"/>
  <c r="G34" i="44"/>
  <c r="G27" i="44"/>
  <c r="H27" i="44"/>
  <c r="G24" i="44"/>
  <c r="G21" i="44"/>
  <c r="G19" i="44"/>
  <c r="H19" i="44"/>
  <c r="G17" i="44"/>
  <c r="H17" i="44"/>
  <c r="G11" i="44"/>
  <c r="H11" i="44"/>
  <c r="G8" i="44"/>
  <c r="G5" i="44"/>
  <c r="J173" i="33"/>
  <c r="E172" i="33"/>
  <c r="F172" i="33"/>
  <c r="G172" i="33"/>
  <c r="H172" i="33"/>
  <c r="I172" i="33"/>
  <c r="J172" i="33"/>
  <c r="L151" i="33"/>
  <c r="M151" i="33"/>
  <c r="L152" i="33"/>
  <c r="M152" i="33" s="1"/>
  <c r="L153" i="33"/>
  <c r="M153" i="33" s="1"/>
  <c r="L154" i="33"/>
  <c r="M154" i="33" s="1"/>
  <c r="L155" i="33"/>
  <c r="M155" i="33" s="1"/>
  <c r="L156" i="33"/>
  <c r="M156" i="33" s="1"/>
  <c r="L159" i="33"/>
  <c r="M159" i="33"/>
  <c r="L160" i="33"/>
  <c r="M160" i="33" s="1"/>
  <c r="L150" i="33"/>
  <c r="M150" i="33"/>
  <c r="L147" i="33"/>
  <c r="L128" i="33"/>
  <c r="M128" i="33" s="1"/>
  <c r="L131" i="33"/>
  <c r="M131" i="33" s="1"/>
  <c r="L135" i="33"/>
  <c r="M135" i="33" s="1"/>
  <c r="L136" i="33"/>
  <c r="M136" i="33" s="1"/>
  <c r="L138" i="33"/>
  <c r="M138" i="33" s="1"/>
  <c r="L139" i="33"/>
  <c r="M139" i="33" s="1"/>
  <c r="L140" i="33"/>
  <c r="M140" i="33" s="1"/>
  <c r="L141" i="33"/>
  <c r="M141" i="33"/>
  <c r="L142" i="33"/>
  <c r="M142" i="33" s="1"/>
  <c r="L143" i="33"/>
  <c r="M143" i="33" s="1"/>
  <c r="L144" i="33"/>
  <c r="M144" i="33" s="1"/>
  <c r="L145" i="33"/>
  <c r="M145" i="33"/>
  <c r="L123" i="33"/>
  <c r="M123" i="33" s="1"/>
  <c r="M124" i="33" s="1"/>
  <c r="L121" i="33"/>
  <c r="L119" i="33"/>
  <c r="M119" i="33" s="1"/>
  <c r="M120" i="33" s="1"/>
  <c r="L113" i="33"/>
  <c r="L114" i="33"/>
  <c r="M114" i="33"/>
  <c r="L115" i="33"/>
  <c r="M115" i="33" s="1"/>
  <c r="L116" i="33"/>
  <c r="M116" i="33"/>
  <c r="L117" i="33"/>
  <c r="M117" i="33" s="1"/>
  <c r="L112" i="33"/>
  <c r="M112" i="33" s="1"/>
  <c r="L110" i="33"/>
  <c r="L108" i="33"/>
  <c r="M108" i="33" s="1"/>
  <c r="L107" i="33"/>
  <c r="M107" i="33" s="1"/>
  <c r="L105" i="33"/>
  <c r="M105" i="33" s="1"/>
  <c r="L104" i="33"/>
  <c r="L102" i="33"/>
  <c r="M102" i="33" s="1"/>
  <c r="M103" i="33" s="1"/>
  <c r="L99" i="33"/>
  <c r="M99" i="33" s="1"/>
  <c r="L100" i="33"/>
  <c r="M100" i="33" s="1"/>
  <c r="L98" i="33"/>
  <c r="M98" i="33" s="1"/>
  <c r="L96" i="33"/>
  <c r="L95" i="33"/>
  <c r="M95" i="33" s="1"/>
  <c r="L92" i="33"/>
  <c r="M92" i="33" s="1"/>
  <c r="L93" i="33"/>
  <c r="M93" i="33"/>
  <c r="L91" i="33"/>
  <c r="M91" i="33" s="1"/>
  <c r="M94" i="33" s="1"/>
  <c r="L89" i="33"/>
  <c r="L88" i="33"/>
  <c r="M88" i="33" s="1"/>
  <c r="L85" i="33"/>
  <c r="M85" i="33" s="1"/>
  <c r="M87" i="33" s="1"/>
  <c r="L86" i="33"/>
  <c r="M86" i="33" s="1"/>
  <c r="L84" i="33"/>
  <c r="L30" i="33"/>
  <c r="M30" i="33" s="1"/>
  <c r="L32" i="33"/>
  <c r="M32" i="33"/>
  <c r="L33" i="33"/>
  <c r="M33" i="33" s="1"/>
  <c r="L34" i="33"/>
  <c r="M34" i="33"/>
  <c r="L35" i="33"/>
  <c r="M35" i="33" s="1"/>
  <c r="L36" i="33"/>
  <c r="M36" i="33"/>
  <c r="L37" i="33"/>
  <c r="M37" i="33" s="1"/>
  <c r="L38" i="33"/>
  <c r="M38" i="33" s="1"/>
  <c r="L39" i="33"/>
  <c r="M39" i="33"/>
  <c r="L40" i="33"/>
  <c r="M40" i="33" s="1"/>
  <c r="L41" i="33"/>
  <c r="M41" i="33" s="1"/>
  <c r="L42" i="33"/>
  <c r="M42" i="33" s="1"/>
  <c r="L43" i="33"/>
  <c r="M43" i="33"/>
  <c r="L44" i="33"/>
  <c r="M44" i="33" s="1"/>
  <c r="L45" i="33"/>
  <c r="M45" i="33" s="1"/>
  <c r="L46" i="33"/>
  <c r="M46" i="33"/>
  <c r="L47" i="33"/>
  <c r="M47" i="33" s="1"/>
  <c r="L48" i="33"/>
  <c r="M48" i="33"/>
  <c r="L49" i="33"/>
  <c r="M49" i="33" s="1"/>
  <c r="L53" i="33"/>
  <c r="M53" i="33"/>
  <c r="L54" i="33"/>
  <c r="M54" i="33" s="1"/>
  <c r="L55" i="33"/>
  <c r="M55" i="33"/>
  <c r="L57" i="33"/>
  <c r="M57" i="33" s="1"/>
  <c r="L58" i="33"/>
  <c r="M58" i="33" s="1"/>
  <c r="L59" i="33"/>
  <c r="M59" i="33"/>
  <c r="L60" i="33"/>
  <c r="M60" i="33" s="1"/>
  <c r="L61" i="33"/>
  <c r="M61" i="33" s="1"/>
  <c r="L62" i="33"/>
  <c r="M62" i="33" s="1"/>
  <c r="L63" i="33"/>
  <c r="M63" i="33"/>
  <c r="L64" i="33"/>
  <c r="M64" i="33" s="1"/>
  <c r="L65" i="33"/>
  <c r="M65" i="33" s="1"/>
  <c r="L66" i="33"/>
  <c r="M66" i="33"/>
  <c r="L68" i="33"/>
  <c r="M68" i="33" s="1"/>
  <c r="L69" i="33"/>
  <c r="M69" i="33"/>
  <c r="L70" i="33"/>
  <c r="M70" i="33" s="1"/>
  <c r="L71" i="33"/>
  <c r="M71" i="33"/>
  <c r="L72" i="33"/>
  <c r="M72" i="33" s="1"/>
  <c r="L73" i="33"/>
  <c r="M73" i="33"/>
  <c r="L74" i="33"/>
  <c r="M74" i="33" s="1"/>
  <c r="L75" i="33"/>
  <c r="M75" i="33" s="1"/>
  <c r="L76" i="33"/>
  <c r="M76" i="33"/>
  <c r="L78" i="33"/>
  <c r="M78" i="33" s="1"/>
  <c r="L79" i="33"/>
  <c r="M79" i="33" s="1"/>
  <c r="L80" i="33"/>
  <c r="M80" i="33" s="1"/>
  <c r="L81" i="33"/>
  <c r="M81" i="33"/>
  <c r="L82" i="33"/>
  <c r="M82" i="33" s="1"/>
  <c r="L26" i="33"/>
  <c r="M26" i="33" s="1"/>
  <c r="L15" i="33"/>
  <c r="M15" i="33"/>
  <c r="L16" i="33"/>
  <c r="M16" i="33" s="1"/>
  <c r="L17" i="33"/>
  <c r="M17" i="33"/>
  <c r="L18" i="33"/>
  <c r="M18" i="33" s="1"/>
  <c r="L19" i="33"/>
  <c r="M19" i="33"/>
  <c r="L20" i="33"/>
  <c r="M20" i="33" s="1"/>
  <c r="L23" i="33"/>
  <c r="M23" i="33"/>
  <c r="L24" i="33"/>
  <c r="M24" i="33" s="1"/>
  <c r="L25" i="33"/>
  <c r="M25" i="33" s="1"/>
  <c r="L14" i="33"/>
  <c r="L9" i="33"/>
  <c r="M9" i="33" s="1"/>
  <c r="L10" i="33"/>
  <c r="M10" i="33" s="1"/>
  <c r="M7" i="33" s="1"/>
  <c r="L11" i="33"/>
  <c r="M11" i="33"/>
  <c r="L8" i="33"/>
  <c r="L12" i="33"/>
  <c r="M12" i="33" s="1"/>
  <c r="I109" i="33"/>
  <c r="J109" i="33"/>
  <c r="H59" i="3" s="1"/>
  <c r="J87" i="33"/>
  <c r="H49" i="3" s="1"/>
  <c r="I87" i="33"/>
  <c r="I83" i="33"/>
  <c r="J7" i="33"/>
  <c r="I30" i="37" s="1"/>
  <c r="J13" i="33"/>
  <c r="J6" i="33"/>
  <c r="F31" i="3" s="1"/>
  <c r="D31" i="3" s="1"/>
  <c r="J83" i="33"/>
  <c r="H69" i="3"/>
  <c r="I31" i="43" s="1"/>
  <c r="J90" i="33"/>
  <c r="H51" i="3" s="1"/>
  <c r="I13" i="43" s="1"/>
  <c r="M13" i="43" s="1"/>
  <c r="H88" i="3" s="1"/>
  <c r="J14" i="48" s="1"/>
  <c r="J94" i="33"/>
  <c r="H52" i="3"/>
  <c r="I14" i="43"/>
  <c r="M14" i="43" s="1"/>
  <c r="J97" i="33"/>
  <c r="H53" i="3" s="1"/>
  <c r="I15" i="43" s="1"/>
  <c r="M15" i="43" s="1"/>
  <c r="H90" i="3" s="1"/>
  <c r="J16" i="48" s="1"/>
  <c r="J101" i="33"/>
  <c r="H54" i="3"/>
  <c r="J103" i="33"/>
  <c r="J106" i="33"/>
  <c r="H58" i="3"/>
  <c r="J111" i="33"/>
  <c r="J118" i="33"/>
  <c r="H61" i="3" s="1"/>
  <c r="J120" i="33"/>
  <c r="J122" i="33"/>
  <c r="H63" i="3"/>
  <c r="I25" i="43" s="1"/>
  <c r="J124" i="33"/>
  <c r="H65" i="3"/>
  <c r="J148" i="33"/>
  <c r="H68" i="3" s="1"/>
  <c r="J146" i="33"/>
  <c r="H66" i="3"/>
  <c r="J149" i="33"/>
  <c r="J171" i="33"/>
  <c r="J174" i="33" s="1"/>
  <c r="I171" i="33"/>
  <c r="M14" i="33"/>
  <c r="F38" i="48"/>
  <c r="F34" i="48" s="1"/>
  <c r="I22" i="37"/>
  <c r="L19" i="7"/>
  <c r="F34" i="44"/>
  <c r="P107" i="3"/>
  <c r="J40" i="45"/>
  <c r="J41" i="45"/>
  <c r="J42" i="45"/>
  <c r="K42" i="45" s="1"/>
  <c r="J43" i="45"/>
  <c r="K43" i="45" s="1"/>
  <c r="J44" i="45"/>
  <c r="J45" i="45"/>
  <c r="J46" i="45"/>
  <c r="K46" i="45" s="1"/>
  <c r="J47" i="45"/>
  <c r="J48" i="45"/>
  <c r="J49" i="45"/>
  <c r="J50" i="45"/>
  <c r="J51" i="45"/>
  <c r="J52" i="45"/>
  <c r="J53" i="45"/>
  <c r="J54" i="45"/>
  <c r="J55" i="45"/>
  <c r="J56" i="45"/>
  <c r="J57" i="45"/>
  <c r="K57" i="45" s="1"/>
  <c r="J58" i="45"/>
  <c r="J59" i="45"/>
  <c r="I40" i="45"/>
  <c r="I41" i="45"/>
  <c r="I42" i="45"/>
  <c r="I43" i="45"/>
  <c r="I44" i="45"/>
  <c r="I45" i="45"/>
  <c r="I46" i="45"/>
  <c r="I47" i="45"/>
  <c r="I48" i="45"/>
  <c r="I49" i="45"/>
  <c r="I50" i="45"/>
  <c r="I51" i="45"/>
  <c r="I52" i="45"/>
  <c r="I53" i="45"/>
  <c r="I54" i="45"/>
  <c r="I55" i="45"/>
  <c r="K55" i="45" s="1"/>
  <c r="I56" i="45"/>
  <c r="I57" i="45"/>
  <c r="I58" i="45"/>
  <c r="I59" i="45"/>
  <c r="K59" i="45" s="1"/>
  <c r="I71" i="45"/>
  <c r="I72" i="45"/>
  <c r="I73" i="45"/>
  <c r="K73" i="45"/>
  <c r="I74" i="45"/>
  <c r="K74" i="45" s="1"/>
  <c r="I75" i="45"/>
  <c r="K75" i="45" s="1"/>
  <c r="I76" i="45"/>
  <c r="K76" i="45" s="1"/>
  <c r="I77" i="45"/>
  <c r="K77" i="45"/>
  <c r="K59" i="3"/>
  <c r="P161" i="33"/>
  <c r="H160" i="33"/>
  <c r="I160" i="33" s="1"/>
  <c r="P158" i="33"/>
  <c r="P155" i="33"/>
  <c r="P154" i="33"/>
  <c r="I7" i="33"/>
  <c r="D38" i="48"/>
  <c r="D34" i="48" s="1"/>
  <c r="C37" i="32"/>
  <c r="E37" i="32" s="1"/>
  <c r="C34" i="32"/>
  <c r="C33" i="32"/>
  <c r="E33" i="32" s="1"/>
  <c r="C27" i="32"/>
  <c r="E27" i="32" s="1"/>
  <c r="D10" i="39"/>
  <c r="H7" i="1"/>
  <c r="D14" i="39"/>
  <c r="D12" i="7"/>
  <c r="C28" i="1"/>
  <c r="E36" i="3"/>
  <c r="F36" i="3"/>
  <c r="E83" i="33"/>
  <c r="F146" i="33"/>
  <c r="E120" i="33"/>
  <c r="E122" i="33"/>
  <c r="E124" i="33"/>
  <c r="E103" i="33"/>
  <c r="E106" i="33"/>
  <c r="F106" i="33"/>
  <c r="H106" i="33"/>
  <c r="G106" i="33"/>
  <c r="E111" i="33"/>
  <c r="F111" i="33"/>
  <c r="G111" i="33"/>
  <c r="E109" i="33"/>
  <c r="F109" i="33"/>
  <c r="G109" i="33"/>
  <c r="K90" i="33"/>
  <c r="I90" i="33"/>
  <c r="H90" i="33"/>
  <c r="G90" i="33"/>
  <c r="F90" i="33"/>
  <c r="E90" i="33"/>
  <c r="E97" i="33"/>
  <c r="E173" i="33"/>
  <c r="E171" i="33"/>
  <c r="E174" i="33" s="1"/>
  <c r="E149" i="33"/>
  <c r="E148" i="33"/>
  <c r="E101" i="33"/>
  <c r="E94" i="33"/>
  <c r="E87" i="33"/>
  <c r="E13" i="33"/>
  <c r="E7" i="33"/>
  <c r="I35" i="43"/>
  <c r="L35" i="43"/>
  <c r="G59" i="3"/>
  <c r="G60" i="3"/>
  <c r="G61" i="3"/>
  <c r="C23" i="43" s="1"/>
  <c r="H23" i="43" s="1"/>
  <c r="G64" i="3"/>
  <c r="F64" i="3" s="1"/>
  <c r="E68" i="3"/>
  <c r="E30" i="43" s="1"/>
  <c r="E65" i="3"/>
  <c r="E27" i="43"/>
  <c r="E62" i="3"/>
  <c r="E24" i="43" s="1"/>
  <c r="P24" i="43" s="1"/>
  <c r="Q24" i="43" s="1"/>
  <c r="E99" i="3" s="1"/>
  <c r="E61" i="3"/>
  <c r="E60" i="3"/>
  <c r="E22" i="43"/>
  <c r="E59" i="3"/>
  <c r="E21" i="43" s="1"/>
  <c r="M18" i="32"/>
  <c r="I29" i="43"/>
  <c r="G63" i="3"/>
  <c r="C25" i="43" s="1"/>
  <c r="H25" i="43" s="1"/>
  <c r="H177" i="33"/>
  <c r="G171" i="33"/>
  <c r="G174" i="33" s="1"/>
  <c r="H171" i="33"/>
  <c r="H161" i="33"/>
  <c r="G173" i="33"/>
  <c r="F173" i="33"/>
  <c r="F171" i="33"/>
  <c r="B25" i="39"/>
  <c r="C4" i="39"/>
  <c r="C6" i="39" s="1"/>
  <c r="K7" i="33"/>
  <c r="C53" i="44"/>
  <c r="C50" i="44" s="1"/>
  <c r="D53" i="44"/>
  <c r="D50" i="44"/>
  <c r="E53" i="44"/>
  <c r="E50" i="44" s="1"/>
  <c r="C34" i="44"/>
  <c r="C24" i="44"/>
  <c r="C8" i="44"/>
  <c r="F53" i="44"/>
  <c r="F51" i="44"/>
  <c r="F11" i="44"/>
  <c r="H60" i="45"/>
  <c r="G60" i="45"/>
  <c r="F60" i="45"/>
  <c r="E60" i="45"/>
  <c r="D60" i="45"/>
  <c r="C60" i="45"/>
  <c r="B60" i="45"/>
  <c r="F24" i="39"/>
  <c r="H24" i="39" s="1"/>
  <c r="I157" i="33"/>
  <c r="P157" i="33" s="1"/>
  <c r="I122" i="33"/>
  <c r="I148" i="33"/>
  <c r="I120" i="33"/>
  <c r="H62" i="3" s="1"/>
  <c r="I106" i="33"/>
  <c r="I111" i="33"/>
  <c r="I118" i="33"/>
  <c r="I103" i="33"/>
  <c r="I146" i="33"/>
  <c r="I94" i="33"/>
  <c r="I101" i="33"/>
  <c r="I124" i="33"/>
  <c r="I13" i="33"/>
  <c r="I6" i="33" s="1"/>
  <c r="H157" i="33"/>
  <c r="G177" i="33"/>
  <c r="F27" i="44"/>
  <c r="H111" i="33"/>
  <c r="H122" i="33"/>
  <c r="F87" i="33"/>
  <c r="H87" i="33"/>
  <c r="G87" i="33"/>
  <c r="A29" i="33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47" i="33" s="1"/>
  <c r="A48" i="33" s="1"/>
  <c r="A49" i="33" s="1"/>
  <c r="A50" i="33" s="1"/>
  <c r="A51" i="33" s="1"/>
  <c r="A52" i="33" s="1"/>
  <c r="A53" i="33" s="1"/>
  <c r="A54" i="33" s="1"/>
  <c r="A55" i="33" s="1"/>
  <c r="A56" i="33" s="1"/>
  <c r="A57" i="33" s="1"/>
  <c r="A58" i="33" s="1"/>
  <c r="A59" i="33" s="1"/>
  <c r="A60" i="33" s="1"/>
  <c r="A61" i="33" s="1"/>
  <c r="A62" i="33" s="1"/>
  <c r="A63" i="33" s="1"/>
  <c r="A64" i="33" s="1"/>
  <c r="A65" i="33" s="1"/>
  <c r="A66" i="33" s="1"/>
  <c r="A67" i="33" s="1"/>
  <c r="A68" i="33" s="1"/>
  <c r="A69" i="33" s="1"/>
  <c r="A70" i="33" s="1"/>
  <c r="A71" i="33" s="1"/>
  <c r="A72" i="33" s="1"/>
  <c r="A73" i="33" s="1"/>
  <c r="A74" i="33" s="1"/>
  <c r="A75" i="33" s="1"/>
  <c r="A76" i="33" s="1"/>
  <c r="A77" i="33" s="1"/>
  <c r="A78" i="33" s="1"/>
  <c r="A79" i="33" s="1"/>
  <c r="A80" i="33" s="1"/>
  <c r="A81" i="33" s="1"/>
  <c r="A82" i="33" s="1"/>
  <c r="A84" i="33" s="1"/>
  <c r="A85" i="33" s="1"/>
  <c r="A86" i="33" s="1"/>
  <c r="A88" i="33" s="1"/>
  <c r="A89" i="33" s="1"/>
  <c r="A91" i="33" s="1"/>
  <c r="A92" i="33" s="1"/>
  <c r="A93" i="33" s="1"/>
  <c r="A95" i="33" s="1"/>
  <c r="A96" i="33" s="1"/>
  <c r="A98" i="33" s="1"/>
  <c r="A99" i="33" s="1"/>
  <c r="A100" i="33" s="1"/>
  <c r="A102" i="33" s="1"/>
  <c r="A104" i="33" s="1"/>
  <c r="A105" i="33" s="1"/>
  <c r="A107" i="33" s="1"/>
  <c r="A108" i="33" s="1"/>
  <c r="A110" i="33" s="1"/>
  <c r="A112" i="33" s="1"/>
  <c r="A113" i="33" s="1"/>
  <c r="A114" i="33" s="1"/>
  <c r="A115" i="33" s="1"/>
  <c r="A116" i="33" s="1"/>
  <c r="A117" i="33" s="1"/>
  <c r="A119" i="33" s="1"/>
  <c r="A121" i="33" s="1"/>
  <c r="A123" i="33" s="1"/>
  <c r="A125" i="33" s="1"/>
  <c r="A126" i="33" s="1"/>
  <c r="A127" i="33" s="1"/>
  <c r="A128" i="33" s="1"/>
  <c r="A129" i="33" s="1"/>
  <c r="A130" i="33" s="1"/>
  <c r="A131" i="33" s="1"/>
  <c r="A132" i="33" s="1"/>
  <c r="A133" i="33" s="1"/>
  <c r="A134" i="33" s="1"/>
  <c r="A135" i="33" s="1"/>
  <c r="A136" i="33" s="1"/>
  <c r="A137" i="33" s="1"/>
  <c r="A138" i="33" s="1"/>
  <c r="A139" i="33" s="1"/>
  <c r="A140" i="33" s="1"/>
  <c r="A141" i="33" s="1"/>
  <c r="A142" i="33" s="1"/>
  <c r="A143" i="33" s="1"/>
  <c r="A144" i="33" s="1"/>
  <c r="A145" i="33" s="1"/>
  <c r="A147" i="33" s="1"/>
  <c r="A150" i="33" s="1"/>
  <c r="A151" i="33" s="1"/>
  <c r="A152" i="33" s="1"/>
  <c r="A153" i="33" s="1"/>
  <c r="A154" i="33" s="1"/>
  <c r="A155" i="33" s="1"/>
  <c r="A156" i="33" s="1"/>
  <c r="A157" i="33" s="1"/>
  <c r="A158" i="33" s="1"/>
  <c r="A159" i="33" s="1"/>
  <c r="A160" i="33" s="1"/>
  <c r="A161" i="33" s="1"/>
  <c r="H118" i="33"/>
  <c r="H109" i="33"/>
  <c r="H120" i="33"/>
  <c r="H148" i="33"/>
  <c r="H146" i="33"/>
  <c r="H103" i="33"/>
  <c r="H97" i="33"/>
  <c r="H94" i="33"/>
  <c r="H101" i="33"/>
  <c r="H124" i="33"/>
  <c r="H83" i="33"/>
  <c r="H13" i="33"/>
  <c r="H6" i="33" s="1"/>
  <c r="H7" i="33"/>
  <c r="G32" i="48"/>
  <c r="C4" i="48" s="1"/>
  <c r="E38" i="48"/>
  <c r="E34" i="48" s="1"/>
  <c r="B38" i="48"/>
  <c r="B34" i="48" s="1"/>
  <c r="F149" i="33"/>
  <c r="F148" i="33"/>
  <c r="F97" i="33"/>
  <c r="F94" i="33"/>
  <c r="F83" i="33"/>
  <c r="F122" i="33"/>
  <c r="F120" i="33"/>
  <c r="F103" i="33"/>
  <c r="F101" i="33"/>
  <c r="F124" i="33"/>
  <c r="F13" i="33"/>
  <c r="F7" i="33"/>
  <c r="F6" i="33" s="1"/>
  <c r="F19" i="44"/>
  <c r="F17" i="44"/>
  <c r="F21" i="44"/>
  <c r="F24" i="44"/>
  <c r="D24" i="44"/>
  <c r="F8" i="44"/>
  <c r="D8" i="44"/>
  <c r="F5" i="44"/>
  <c r="Q107" i="3"/>
  <c r="D25" i="7"/>
  <c r="D26" i="7"/>
  <c r="G32" i="7"/>
  <c r="C6" i="48"/>
  <c r="B32" i="48"/>
  <c r="N106" i="3"/>
  <c r="K106" i="3" s="1"/>
  <c r="N107" i="3"/>
  <c r="N109" i="3" s="1"/>
  <c r="K95" i="3"/>
  <c r="M107" i="3"/>
  <c r="K100" i="3"/>
  <c r="K104" i="3"/>
  <c r="K98" i="3"/>
  <c r="K101" i="3"/>
  <c r="K102" i="3"/>
  <c r="K103" i="3"/>
  <c r="K105" i="3"/>
  <c r="K96" i="3"/>
  <c r="K99" i="3"/>
  <c r="K86" i="3"/>
  <c r="K87" i="3"/>
  <c r="K88" i="3"/>
  <c r="K89" i="3"/>
  <c r="K90" i="3"/>
  <c r="K92" i="3"/>
  <c r="K93" i="3"/>
  <c r="K85" i="3"/>
  <c r="I26" i="43"/>
  <c r="L26" i="43" s="1"/>
  <c r="I22" i="43"/>
  <c r="M108" i="3"/>
  <c r="I94" i="3"/>
  <c r="J94" i="3"/>
  <c r="K91" i="3"/>
  <c r="H92" i="45"/>
  <c r="G92" i="45"/>
  <c r="F92" i="45"/>
  <c r="E92" i="45"/>
  <c r="D92" i="45"/>
  <c r="C92" i="45"/>
  <c r="B92" i="45"/>
  <c r="I91" i="45"/>
  <c r="K91" i="45" s="1"/>
  <c r="I90" i="45"/>
  <c r="K90" i="45" s="1"/>
  <c r="I89" i="45"/>
  <c r="K89" i="45" s="1"/>
  <c r="I88" i="45"/>
  <c r="K88" i="45" s="1"/>
  <c r="I87" i="45"/>
  <c r="K87" i="45"/>
  <c r="I86" i="45"/>
  <c r="K86" i="45" s="1"/>
  <c r="I85" i="45"/>
  <c r="K85" i="45" s="1"/>
  <c r="I84" i="45"/>
  <c r="K84" i="45"/>
  <c r="I83" i="45"/>
  <c r="K83" i="45" s="1"/>
  <c r="I82" i="45"/>
  <c r="K82" i="45" s="1"/>
  <c r="I81" i="45"/>
  <c r="J92" i="45"/>
  <c r="I80" i="45"/>
  <c r="K80" i="45" s="1"/>
  <c r="I79" i="45"/>
  <c r="K79" i="45" s="1"/>
  <c r="I78" i="45"/>
  <c r="K78" i="45" s="1"/>
  <c r="G58" i="3"/>
  <c r="C20" i="43"/>
  <c r="E23" i="43"/>
  <c r="P23" i="43" s="1"/>
  <c r="Q23" i="43" s="1"/>
  <c r="F27" i="3"/>
  <c r="G67" i="3" s="1"/>
  <c r="G17" i="3"/>
  <c r="G34" i="3"/>
  <c r="E34" i="3"/>
  <c r="I57" i="3"/>
  <c r="J57" i="3"/>
  <c r="N70" i="3"/>
  <c r="N72" i="3" s="1"/>
  <c r="M70" i="3"/>
  <c r="L70" i="3"/>
  <c r="K71" i="3"/>
  <c r="K108" i="3" s="1"/>
  <c r="K60" i="3"/>
  <c r="K61" i="3"/>
  <c r="K62" i="3"/>
  <c r="K63" i="3"/>
  <c r="K64" i="3"/>
  <c r="K65" i="3"/>
  <c r="K66" i="3"/>
  <c r="K67" i="3"/>
  <c r="K68" i="3"/>
  <c r="K69" i="3"/>
  <c r="K58" i="3"/>
  <c r="K49" i="3"/>
  <c r="K50" i="3"/>
  <c r="K51" i="3"/>
  <c r="K52" i="3"/>
  <c r="K53" i="3"/>
  <c r="K54" i="3"/>
  <c r="K55" i="3"/>
  <c r="K56" i="3"/>
  <c r="K48" i="3"/>
  <c r="K57" i="3" s="1"/>
  <c r="M57" i="3"/>
  <c r="M72" i="3" s="1"/>
  <c r="L57" i="3"/>
  <c r="D20" i="3"/>
  <c r="D21" i="3"/>
  <c r="K34" i="3"/>
  <c r="I34" i="3"/>
  <c r="J34" i="3"/>
  <c r="H9" i="3"/>
  <c r="H10" i="3"/>
  <c r="H11" i="3"/>
  <c r="H12" i="3"/>
  <c r="H13" i="3"/>
  <c r="H14" i="3"/>
  <c r="H15" i="3"/>
  <c r="H16" i="3"/>
  <c r="H8" i="3"/>
  <c r="H17" i="3" s="1"/>
  <c r="J17" i="3"/>
  <c r="J35" i="3"/>
  <c r="I17" i="3"/>
  <c r="K30" i="3"/>
  <c r="H32" i="3"/>
  <c r="H33" i="3"/>
  <c r="H31" i="3"/>
  <c r="H34" i="3" s="1"/>
  <c r="H20" i="3"/>
  <c r="H21" i="3"/>
  <c r="H22" i="3"/>
  <c r="H23" i="3"/>
  <c r="H24" i="3"/>
  <c r="H25" i="3"/>
  <c r="H26" i="3"/>
  <c r="H27" i="3"/>
  <c r="H28" i="3"/>
  <c r="H29" i="3"/>
  <c r="H18" i="3"/>
  <c r="I30" i="3"/>
  <c r="H30" i="3" s="1"/>
  <c r="J30" i="3"/>
  <c r="G97" i="33"/>
  <c r="G149" i="33"/>
  <c r="G122" i="33"/>
  <c r="G148" i="33"/>
  <c r="G120" i="33"/>
  <c r="G118" i="33"/>
  <c r="G103" i="33"/>
  <c r="G146" i="33"/>
  <c r="G94" i="33"/>
  <c r="G101" i="33"/>
  <c r="G124" i="33"/>
  <c r="G13" i="33"/>
  <c r="G7" i="33"/>
  <c r="G6" i="33"/>
  <c r="E15" i="37"/>
  <c r="D11" i="39"/>
  <c r="D12" i="39"/>
  <c r="D13" i="39"/>
  <c r="D15" i="39"/>
  <c r="D16" i="39"/>
  <c r="D17" i="39"/>
  <c r="D18" i="39"/>
  <c r="D20" i="39"/>
  <c r="D21" i="39"/>
  <c r="D22" i="39"/>
  <c r="D23" i="39"/>
  <c r="D24" i="39"/>
  <c r="N7" i="32"/>
  <c r="N8" i="32"/>
  <c r="N9" i="32"/>
  <c r="N10" i="32"/>
  <c r="N11" i="32"/>
  <c r="N12" i="32"/>
  <c r="N13" i="32"/>
  <c r="N14" i="32"/>
  <c r="N15" i="32"/>
  <c r="N16" i="32"/>
  <c r="N17" i="32"/>
  <c r="Y18" i="32"/>
  <c r="Z6" i="32" s="1"/>
  <c r="P18" i="32"/>
  <c r="L18" i="32"/>
  <c r="N1" i="32"/>
  <c r="U12" i="32" s="1"/>
  <c r="C35" i="32"/>
  <c r="E35" i="32" s="1"/>
  <c r="C36" i="32"/>
  <c r="E36" i="32"/>
  <c r="J8" i="1"/>
  <c r="J7" i="1"/>
  <c r="I8" i="1"/>
  <c r="G7" i="1"/>
  <c r="F9" i="1"/>
  <c r="I10" i="43"/>
  <c r="M10" i="43" s="1"/>
  <c r="H85" i="3" s="1"/>
  <c r="J11" i="48" s="1"/>
  <c r="I12" i="43"/>
  <c r="M12" i="43" s="1"/>
  <c r="H87" i="3" s="1"/>
  <c r="J13" i="48" s="1"/>
  <c r="I18" i="43"/>
  <c r="M18" i="43" s="1"/>
  <c r="H93" i="3" s="1"/>
  <c r="J19" i="48" s="1"/>
  <c r="O34" i="43"/>
  <c r="P34" i="43" s="1"/>
  <c r="O22" i="43"/>
  <c r="O23" i="43"/>
  <c r="O24" i="43"/>
  <c r="O25" i="43"/>
  <c r="O26" i="43"/>
  <c r="O29" i="43"/>
  <c r="O30" i="43"/>
  <c r="O37" i="43"/>
  <c r="J19" i="43"/>
  <c r="J33" i="43"/>
  <c r="D19" i="43"/>
  <c r="D33" i="43" s="1"/>
  <c r="L27" i="7"/>
  <c r="C27" i="7"/>
  <c r="D19" i="7"/>
  <c r="D20" i="7"/>
  <c r="D23" i="7"/>
  <c r="G25" i="39"/>
  <c r="L38" i="32"/>
  <c r="D19" i="39"/>
  <c r="C25" i="39"/>
  <c r="H25" i="7"/>
  <c r="H19" i="7"/>
  <c r="H20" i="7"/>
  <c r="M94" i="3"/>
  <c r="L94" i="3"/>
  <c r="K97" i="3"/>
  <c r="L107" i="3"/>
  <c r="K54" i="45"/>
  <c r="G83" i="33"/>
  <c r="J94" i="45"/>
  <c r="K35" i="3"/>
  <c r="C32" i="32"/>
  <c r="E32" i="32" s="1"/>
  <c r="C28" i="32"/>
  <c r="E28" i="32" s="1"/>
  <c r="F25" i="7"/>
  <c r="G25" i="7" s="1"/>
  <c r="J25" i="7" s="1"/>
  <c r="K25" i="7" s="1"/>
  <c r="M25" i="7" s="1"/>
  <c r="N25" i="7" s="1"/>
  <c r="F23" i="7"/>
  <c r="G23" i="7" s="1"/>
  <c r="H23" i="7" s="1"/>
  <c r="F14" i="7"/>
  <c r="G14" i="7" s="1"/>
  <c r="C31" i="32"/>
  <c r="E31" i="32"/>
  <c r="C29" i="32"/>
  <c r="E29" i="32" s="1"/>
  <c r="C30" i="32"/>
  <c r="E30" i="32" s="1"/>
  <c r="D21" i="7"/>
  <c r="D18" i="7"/>
  <c r="D17" i="7"/>
  <c r="D22" i="7"/>
  <c r="D13" i="7"/>
  <c r="D15" i="7"/>
  <c r="D11" i="7"/>
  <c r="D16" i="7"/>
  <c r="D14" i="7"/>
  <c r="D24" i="7"/>
  <c r="D10" i="7"/>
  <c r="Q94" i="3"/>
  <c r="Q109" i="3" s="1"/>
  <c r="C26" i="32"/>
  <c r="C38" i="32" s="1"/>
  <c r="I97" i="33"/>
  <c r="E34" i="32"/>
  <c r="H26" i="7"/>
  <c r="L56" i="33"/>
  <c r="M56" i="33"/>
  <c r="L94" i="33"/>
  <c r="I70" i="3"/>
  <c r="L120" i="33"/>
  <c r="L124" i="33"/>
  <c r="I16" i="43"/>
  <c r="M16" i="43"/>
  <c r="H91" i="3" s="1"/>
  <c r="J17" i="48" s="1"/>
  <c r="M31" i="33"/>
  <c r="G65" i="3"/>
  <c r="C27" i="43" s="1"/>
  <c r="D25" i="3"/>
  <c r="D28" i="3"/>
  <c r="G68" i="3"/>
  <c r="E16" i="47"/>
  <c r="E9" i="47"/>
  <c r="E13" i="47"/>
  <c r="E11" i="47"/>
  <c r="E19" i="47"/>
  <c r="E10" i="47"/>
  <c r="E15" i="47"/>
  <c r="E12" i="47"/>
  <c r="E14" i="47"/>
  <c r="E18" i="47"/>
  <c r="E20" i="47" s="1"/>
  <c r="E8" i="47"/>
  <c r="F21" i="47"/>
  <c r="Z7" i="32"/>
  <c r="AA7" i="32" s="1"/>
  <c r="D19" i="1"/>
  <c r="D23" i="1"/>
  <c r="D24" i="1"/>
  <c r="D22" i="1"/>
  <c r="D18" i="1"/>
  <c r="D17" i="1"/>
  <c r="D21" i="1"/>
  <c r="D20" i="1"/>
  <c r="D16" i="1"/>
  <c r="L103" i="33"/>
  <c r="Z14" i="32"/>
  <c r="AA14" i="32" s="1"/>
  <c r="J17" i="32"/>
  <c r="K17" i="32" s="1"/>
  <c r="F25" i="39"/>
  <c r="D22" i="3"/>
  <c r="F26" i="7"/>
  <c r="G26" i="7" s="1"/>
  <c r="J26" i="7" s="1"/>
  <c r="K26" i="7" s="1"/>
  <c r="M26" i="7" s="1"/>
  <c r="N26" i="7" s="1"/>
  <c r="F13" i="7"/>
  <c r="G13" i="7" s="1"/>
  <c r="F15" i="7"/>
  <c r="G15" i="7"/>
  <c r="H15" i="7" s="1"/>
  <c r="F24" i="7"/>
  <c r="G24" i="7" s="1"/>
  <c r="F22" i="7"/>
  <c r="G22" i="7" s="1"/>
  <c r="F18" i="7"/>
  <c r="G18" i="7" s="1"/>
  <c r="H18" i="7" s="1"/>
  <c r="F12" i="7"/>
  <c r="G12" i="7" s="1"/>
  <c r="F19" i="7"/>
  <c r="G19" i="7" s="1"/>
  <c r="J19" i="7" s="1"/>
  <c r="K19" i="7" s="1"/>
  <c r="M19" i="7" s="1"/>
  <c r="N19" i="7" s="1"/>
  <c r="F20" i="7"/>
  <c r="G20" i="7" s="1"/>
  <c r="J20" i="7" s="1"/>
  <c r="K20" i="7" s="1"/>
  <c r="M20" i="7" s="1"/>
  <c r="N20" i="7" s="1"/>
  <c r="F21" i="7"/>
  <c r="G21" i="7" s="1"/>
  <c r="K71" i="45"/>
  <c r="K56" i="45"/>
  <c r="K52" i="45"/>
  <c r="K48" i="45"/>
  <c r="K44" i="45"/>
  <c r="K40" i="45"/>
  <c r="D6" i="32"/>
  <c r="C21" i="32"/>
  <c r="W11" i="32"/>
  <c r="W18" i="32" s="1"/>
  <c r="AC7" i="32"/>
  <c r="AD7" i="32" s="1"/>
  <c r="L101" i="33"/>
  <c r="F11" i="7"/>
  <c r="G11" i="7" s="1"/>
  <c r="F17" i="7"/>
  <c r="G17" i="7"/>
  <c r="J17" i="7" s="1"/>
  <c r="K17" i="7" s="1"/>
  <c r="M17" i="7" s="1"/>
  <c r="N17" i="7" s="1"/>
  <c r="F16" i="7"/>
  <c r="G16" i="7" s="1"/>
  <c r="I20" i="43"/>
  <c r="D11" i="32"/>
  <c r="E11" i="32" s="1"/>
  <c r="C26" i="43"/>
  <c r="H26" i="43" s="1"/>
  <c r="P3" i="51"/>
  <c r="P45" i="51" s="1"/>
  <c r="W8" i="32"/>
  <c r="X8" i="32"/>
  <c r="K45" i="51"/>
  <c r="J16" i="32"/>
  <c r="K16" i="32" s="1"/>
  <c r="J7" i="32"/>
  <c r="K7" i="32" s="1"/>
  <c r="L52" i="33"/>
  <c r="M52" i="33" s="1"/>
  <c r="L51" i="33"/>
  <c r="M51" i="33"/>
  <c r="M35" i="43"/>
  <c r="C24" i="43"/>
  <c r="H24" i="43" s="1"/>
  <c r="J11" i="32"/>
  <c r="J10" i="32"/>
  <c r="K10" i="32" s="1"/>
  <c r="W10" i="32"/>
  <c r="X10" i="32" s="1"/>
  <c r="W9" i="32"/>
  <c r="X9" i="32" s="1"/>
  <c r="J13" i="32"/>
  <c r="K13" i="32"/>
  <c r="J15" i="32"/>
  <c r="K15" i="32" s="1"/>
  <c r="J14" i="32"/>
  <c r="K14" i="32" s="1"/>
  <c r="J8" i="32"/>
  <c r="W12" i="32"/>
  <c r="X12" i="32" s="1"/>
  <c r="W6" i="32"/>
  <c r="X6" i="32" s="1"/>
  <c r="W7" i="32"/>
  <c r="X7" i="32"/>
  <c r="J6" i="32"/>
  <c r="J12" i="32"/>
  <c r="K12" i="32" s="1"/>
  <c r="W14" i="32"/>
  <c r="X14" i="32"/>
  <c r="U10" i="32"/>
  <c r="Q7" i="32"/>
  <c r="R7" i="32" s="1"/>
  <c r="AC14" i="32"/>
  <c r="AD14" i="32"/>
  <c r="AC9" i="32"/>
  <c r="AD9" i="32" s="1"/>
  <c r="Z11" i="32"/>
  <c r="AA11" i="32" s="1"/>
  <c r="Q12" i="32"/>
  <c r="R12" i="32" s="1"/>
  <c r="Q9" i="32"/>
  <c r="R9" i="32" s="1"/>
  <c r="AC10" i="32"/>
  <c r="AD10" i="32" s="1"/>
  <c r="Q8" i="32"/>
  <c r="R8" i="32" s="1"/>
  <c r="AC13" i="32"/>
  <c r="AD13" i="32" s="1"/>
  <c r="AC12" i="32"/>
  <c r="AD12" i="32"/>
  <c r="Z13" i="32"/>
  <c r="AA13" i="32" s="1"/>
  <c r="Z12" i="32"/>
  <c r="AA12" i="32" s="1"/>
  <c r="Q13" i="32"/>
  <c r="R13" i="32" s="1"/>
  <c r="Q11" i="32"/>
  <c r="R11" i="32"/>
  <c r="Z8" i="32"/>
  <c r="AA8" i="32" s="1"/>
  <c r="Z9" i="32"/>
  <c r="AA9" i="32" s="1"/>
  <c r="U14" i="32"/>
  <c r="AC6" i="32"/>
  <c r="AD6" i="32" s="1"/>
  <c r="AC11" i="32"/>
  <c r="Z10" i="32"/>
  <c r="AA10" i="32"/>
  <c r="Q16" i="32"/>
  <c r="R16" i="32" s="1"/>
  <c r="K25" i="45"/>
  <c r="C30" i="43"/>
  <c r="H30" i="43" s="1"/>
  <c r="K72" i="45"/>
  <c r="K49" i="45"/>
  <c r="K47" i="45"/>
  <c r="K45" i="45"/>
  <c r="M84" i="33"/>
  <c r="L87" i="33"/>
  <c r="M89" i="33"/>
  <c r="M90" i="33" s="1"/>
  <c r="L90" i="33"/>
  <c r="H4" i="44"/>
  <c r="G4" i="44"/>
  <c r="J28" i="45"/>
  <c r="F61" i="3"/>
  <c r="D61" i="3"/>
  <c r="I23" i="43"/>
  <c r="L23" i="43" s="1"/>
  <c r="F58" i="3"/>
  <c r="I173" i="33"/>
  <c r="I174" i="33"/>
  <c r="C22" i="43"/>
  <c r="H22" i="43" s="1"/>
  <c r="F60" i="3"/>
  <c r="D60" i="3" s="1"/>
  <c r="M8" i="33"/>
  <c r="M104" i="33"/>
  <c r="M106" i="33" s="1"/>
  <c r="L106" i="33"/>
  <c r="M121" i="33"/>
  <c r="M122" i="33" s="1"/>
  <c r="L122" i="33"/>
  <c r="D14" i="32"/>
  <c r="E14" i="32" s="1"/>
  <c r="D10" i="32"/>
  <c r="E10" i="32" s="1"/>
  <c r="H71" i="3"/>
  <c r="I34" i="43" s="1"/>
  <c r="L34" i="43" s="1"/>
  <c r="M34" i="43" s="1"/>
  <c r="N34" i="43" s="1"/>
  <c r="G33" i="7"/>
  <c r="G34" i="7" s="1"/>
  <c r="Q10" i="7"/>
  <c r="M110" i="33"/>
  <c r="M111" i="33"/>
  <c r="L111" i="33"/>
  <c r="K8" i="45"/>
  <c r="K12" i="45"/>
  <c r="K39" i="45"/>
  <c r="Q11" i="7"/>
  <c r="I32" i="37"/>
  <c r="K23" i="45"/>
  <c r="M45" i="51"/>
  <c r="K107" i="3"/>
  <c r="K94" i="3"/>
  <c r="K9" i="45"/>
  <c r="I28" i="45"/>
  <c r="K28" i="45" s="1"/>
  <c r="K9" i="32"/>
  <c r="G12" i="32"/>
  <c r="H12" i="32" s="1"/>
  <c r="U8" i="32"/>
  <c r="S18" i="32"/>
  <c r="T16" i="32" s="1"/>
  <c r="U16" i="32" s="1"/>
  <c r="U9" i="32"/>
  <c r="N18" i="32"/>
  <c r="O7" i="32" s="1"/>
  <c r="G11" i="32"/>
  <c r="H11" i="32"/>
  <c r="X13" i="32"/>
  <c r="H7" i="32"/>
  <c r="O12" i="32"/>
  <c r="AD8" i="32"/>
  <c r="AA15" i="32"/>
  <c r="AD16" i="32"/>
  <c r="U7" i="32"/>
  <c r="AD15" i="32"/>
  <c r="U11" i="32"/>
  <c r="Q10" i="32"/>
  <c r="R10" i="32" s="1"/>
  <c r="AA17" i="32"/>
  <c r="K6" i="32"/>
  <c r="AD17" i="32"/>
  <c r="K11" i="32"/>
  <c r="Q14" i="32"/>
  <c r="R14" i="32" s="1"/>
  <c r="Q15" i="32"/>
  <c r="R15" i="32" s="1"/>
  <c r="E6" i="32"/>
  <c r="AA16" i="32"/>
  <c r="O9" i="32"/>
  <c r="O11" i="32"/>
  <c r="G38" i="48"/>
  <c r="H12" i="7"/>
  <c r="J12" i="7"/>
  <c r="H17" i="7"/>
  <c r="G10" i="7"/>
  <c r="J10" i="7" s="1"/>
  <c r="H10" i="7"/>
  <c r="J23" i="7"/>
  <c r="K23" i="7" s="1"/>
  <c r="M23" i="7" s="1"/>
  <c r="N23" i="7" s="1"/>
  <c r="F71" i="3"/>
  <c r="D71" i="3" s="1"/>
  <c r="H108" i="3"/>
  <c r="F108" i="3" s="1"/>
  <c r="D108" i="3" s="1"/>
  <c r="H173" i="33"/>
  <c r="H174" i="33" s="1"/>
  <c r="H149" i="33"/>
  <c r="C21" i="43"/>
  <c r="F59" i="3"/>
  <c r="K41" i="45"/>
  <c r="I62" i="45"/>
  <c r="J60" i="45"/>
  <c r="K60" i="45" s="1"/>
  <c r="H55" i="3"/>
  <c r="I17" i="43"/>
  <c r="J27" i="33"/>
  <c r="G18" i="32"/>
  <c r="I28" i="43"/>
  <c r="I60" i="45"/>
  <c r="J62" i="45"/>
  <c r="I94" i="45"/>
  <c r="K94" i="45"/>
  <c r="K95" i="45" s="1"/>
  <c r="M20" i="43"/>
  <c r="H95" i="3" s="1"/>
  <c r="J20" i="48" s="1"/>
  <c r="F63" i="3"/>
  <c r="I24" i="43"/>
  <c r="M22" i="43"/>
  <c r="H97" i="3" s="1"/>
  <c r="J22" i="48" s="1"/>
  <c r="L22" i="43"/>
  <c r="K21" i="48"/>
  <c r="F27" i="33"/>
  <c r="F163" i="33" s="1"/>
  <c r="I21" i="43"/>
  <c r="D13" i="32"/>
  <c r="E13" i="32" s="1"/>
  <c r="D8" i="32"/>
  <c r="E8" i="32"/>
  <c r="D9" i="32"/>
  <c r="E9" i="32" s="1"/>
  <c r="D15" i="32"/>
  <c r="E15" i="32" s="1"/>
  <c r="D17" i="32"/>
  <c r="E17" i="32" s="1"/>
  <c r="D12" i="32"/>
  <c r="E12" i="32" s="1"/>
  <c r="D7" i="32"/>
  <c r="E7" i="32" s="1"/>
  <c r="D16" i="32"/>
  <c r="E16" i="32" s="1"/>
  <c r="U6" i="32"/>
  <c r="U13" i="32"/>
  <c r="M109" i="3"/>
  <c r="E98" i="3"/>
  <c r="I35" i="3"/>
  <c r="I40" i="37"/>
  <c r="Q15" i="7"/>
  <c r="M147" i="33"/>
  <c r="M148" i="33"/>
  <c r="L148" i="33"/>
  <c r="C4" i="44"/>
  <c r="J30" i="45"/>
  <c r="M17" i="43"/>
  <c r="D59" i="3"/>
  <c r="J39" i="3"/>
  <c r="I40" i="3"/>
  <c r="F165" i="33"/>
  <c r="F32" i="3"/>
  <c r="D32" i="3" s="1"/>
  <c r="I37" i="37"/>
  <c r="J163" i="33"/>
  <c r="J167" i="33"/>
  <c r="Q13" i="7"/>
  <c r="Q20" i="7"/>
  <c r="J165" i="33"/>
  <c r="H92" i="3"/>
  <c r="J18" i="48" s="1"/>
  <c r="G17" i="1"/>
  <c r="H17" i="1" s="1"/>
  <c r="C7" i="37" s="1"/>
  <c r="J14" i="7" l="1"/>
  <c r="H14" i="7"/>
  <c r="M25" i="43"/>
  <c r="H100" i="3" s="1"/>
  <c r="J25" i="48" s="1"/>
  <c r="L25" i="43"/>
  <c r="N25" i="43" s="1"/>
  <c r="G100" i="3" s="1"/>
  <c r="J11" i="7"/>
  <c r="K11" i="7" s="1"/>
  <c r="M11" i="7" s="1"/>
  <c r="N11" i="7" s="1"/>
  <c r="F9" i="3" s="1"/>
  <c r="G49" i="3" s="1"/>
  <c r="C11" i="43" s="1"/>
  <c r="H11" i="7"/>
  <c r="H21" i="7"/>
  <c r="J21" i="7"/>
  <c r="K21" i="7" s="1"/>
  <c r="M21" i="7" s="1"/>
  <c r="N21" i="7" s="1"/>
  <c r="J16" i="7"/>
  <c r="K16" i="7" s="1"/>
  <c r="M16" i="7" s="1"/>
  <c r="N16" i="7" s="1"/>
  <c r="F14" i="3" s="1"/>
  <c r="G54" i="3" s="1"/>
  <c r="C16" i="43" s="1"/>
  <c r="H16" i="7"/>
  <c r="J22" i="7"/>
  <c r="H22" i="7"/>
  <c r="J13" i="7"/>
  <c r="K13" i="7" s="1"/>
  <c r="M13" i="7" s="1"/>
  <c r="N13" i="7" s="1"/>
  <c r="F11" i="3" s="1"/>
  <c r="G51" i="3" s="1"/>
  <c r="F51" i="3" s="1"/>
  <c r="H13" i="7"/>
  <c r="I30" i="43"/>
  <c r="F68" i="3"/>
  <c r="D68" i="3" s="1"/>
  <c r="H70" i="3"/>
  <c r="C29" i="43"/>
  <c r="H29" i="43" s="1"/>
  <c r="F67" i="3"/>
  <c r="I11" i="43"/>
  <c r="H57" i="3"/>
  <c r="H72" i="3" s="1"/>
  <c r="D34" i="3"/>
  <c r="N22" i="43"/>
  <c r="G97" i="3" s="1"/>
  <c r="J18" i="7"/>
  <c r="K18" i="7" s="1"/>
  <c r="M18" i="7" s="1"/>
  <c r="N18" i="7" s="1"/>
  <c r="F16" i="3" s="1"/>
  <c r="G56" i="3" s="1"/>
  <c r="J15" i="7"/>
  <c r="K15" i="7" s="1"/>
  <c r="M15" i="7" s="1"/>
  <c r="N15" i="7" s="1"/>
  <c r="F13" i="3" s="1"/>
  <c r="G53" i="3" s="1"/>
  <c r="C15" i="43" s="1"/>
  <c r="X11" i="32"/>
  <c r="X18" i="32" s="1"/>
  <c r="K109" i="3"/>
  <c r="F15" i="3"/>
  <c r="G55" i="3" s="1"/>
  <c r="F55" i="3" s="1"/>
  <c r="M26" i="43"/>
  <c r="H101" i="3" s="1"/>
  <c r="J26" i="48" s="1"/>
  <c r="AA6" i="32"/>
  <c r="AA18" i="32" s="1"/>
  <c r="F174" i="33"/>
  <c r="E6" i="33"/>
  <c r="H27" i="33"/>
  <c r="L7" i="33"/>
  <c r="I30" i="45"/>
  <c r="I39" i="37"/>
  <c r="H18" i="32"/>
  <c r="E26" i="32"/>
  <c r="E38" i="32" s="1"/>
  <c r="E17" i="47"/>
  <c r="E21" i="47" s="1"/>
  <c r="K22" i="7"/>
  <c r="M22" i="7" s="1"/>
  <c r="N22" i="7" s="1"/>
  <c r="K72" i="3"/>
  <c r="K70" i="3"/>
  <c r="AE12" i="32"/>
  <c r="G22" i="1" s="1"/>
  <c r="H22" i="1" s="1"/>
  <c r="C12" i="37" s="1"/>
  <c r="AE9" i="32"/>
  <c r="D29" i="32" s="1"/>
  <c r="K62" i="45"/>
  <c r="K63" i="45" s="1"/>
  <c r="Z18" i="32"/>
  <c r="I34" i="37"/>
  <c r="I24" i="39"/>
  <c r="D24" i="37" s="1"/>
  <c r="K50" i="45"/>
  <c r="P94" i="3"/>
  <c r="P109" i="3" s="1"/>
  <c r="L109" i="3"/>
  <c r="L110" i="3" s="1"/>
  <c r="P22" i="43"/>
  <c r="Q22" i="43" s="1"/>
  <c r="E97" i="3" s="1"/>
  <c r="L72" i="3"/>
  <c r="L73" i="3" s="1"/>
  <c r="I72" i="3"/>
  <c r="F50" i="44"/>
  <c r="K51" i="45"/>
  <c r="M101" i="33"/>
  <c r="M109" i="33"/>
  <c r="D27" i="7"/>
  <c r="K12" i="7"/>
  <c r="M12" i="7" s="1"/>
  <c r="N12" i="7" s="1"/>
  <c r="F10" i="3" s="1"/>
  <c r="G50" i="3" s="1"/>
  <c r="C12" i="43" s="1"/>
  <c r="D25" i="39"/>
  <c r="E14" i="39" s="1"/>
  <c r="F14" i="39" s="1"/>
  <c r="H14" i="39" s="1"/>
  <c r="I14" i="39" s="1"/>
  <c r="D10" i="37" s="1"/>
  <c r="E12" i="3" s="1"/>
  <c r="G26" i="39"/>
  <c r="AE7" i="32"/>
  <c r="D27" i="32" s="1"/>
  <c r="H75" i="3"/>
  <c r="I37" i="43"/>
  <c r="AD11" i="32"/>
  <c r="AC18" i="32"/>
  <c r="AD18" i="32"/>
  <c r="C18" i="43"/>
  <c r="F56" i="3"/>
  <c r="D32" i="32"/>
  <c r="G19" i="1"/>
  <c r="H19" i="1" s="1"/>
  <c r="C9" i="37" s="1"/>
  <c r="F37" i="3"/>
  <c r="F34" i="3"/>
  <c r="E18" i="32"/>
  <c r="M24" i="43"/>
  <c r="H99" i="3" s="1"/>
  <c r="J24" i="48" s="1"/>
  <c r="L24" i="43"/>
  <c r="N24" i="43" s="1"/>
  <c r="G99" i="3" s="1"/>
  <c r="F54" i="3"/>
  <c r="J24" i="7"/>
  <c r="K24" i="7" s="1"/>
  <c r="M24" i="7" s="1"/>
  <c r="N24" i="7" s="1"/>
  <c r="H24" i="7"/>
  <c r="J9" i="1"/>
  <c r="E38" i="3"/>
  <c r="K81" i="45"/>
  <c r="I92" i="45"/>
  <c r="K92" i="45" s="1"/>
  <c r="F167" i="33"/>
  <c r="I41" i="37"/>
  <c r="I42" i="37" s="1"/>
  <c r="K30" i="45"/>
  <c r="K31" i="45" s="1"/>
  <c r="L21" i="43"/>
  <c r="M21" i="43"/>
  <c r="M23" i="43"/>
  <c r="H98" i="3" s="1"/>
  <c r="J23" i="48" s="1"/>
  <c r="AE11" i="32"/>
  <c r="J18" i="32"/>
  <c r="K23" i="48"/>
  <c r="K22" i="48"/>
  <c r="H163" i="33"/>
  <c r="H167" i="33"/>
  <c r="M113" i="33"/>
  <c r="L118" i="33"/>
  <c r="H165" i="33"/>
  <c r="K24" i="48"/>
  <c r="C17" i="43"/>
  <c r="H89" i="3"/>
  <c r="F53" i="3"/>
  <c r="F100" i="3"/>
  <c r="I25" i="48"/>
  <c r="F49" i="3"/>
  <c r="D18" i="32"/>
  <c r="C13" i="43"/>
  <c r="O17" i="32"/>
  <c r="F65" i="3"/>
  <c r="D65" i="3" s="1"/>
  <c r="I27" i="43"/>
  <c r="J45" i="51"/>
  <c r="O13" i="32"/>
  <c r="AE13" i="32" s="1"/>
  <c r="T17" i="32"/>
  <c r="U17" i="32" s="1"/>
  <c r="K8" i="32"/>
  <c r="K14" i="7"/>
  <c r="M14" i="7" s="1"/>
  <c r="N14" i="7" s="1"/>
  <c r="F12" i="3" s="1"/>
  <c r="G52" i="3" s="1"/>
  <c r="P30" i="43"/>
  <c r="Q30" i="43" s="1"/>
  <c r="E105" i="3" s="1"/>
  <c r="Q17" i="32"/>
  <c r="R17" i="32" s="1"/>
  <c r="Q6" i="32"/>
  <c r="P160" i="33"/>
  <c r="I149" i="33"/>
  <c r="I165" i="33" s="1"/>
  <c r="M96" i="33"/>
  <c r="M97" i="33" s="1"/>
  <c r="L97" i="33"/>
  <c r="K16" i="45"/>
  <c r="L29" i="43"/>
  <c r="M29" i="43"/>
  <c r="H104" i="3" s="1"/>
  <c r="J29" i="48" s="1"/>
  <c r="F27" i="7"/>
  <c r="K10" i="7"/>
  <c r="O14" i="32"/>
  <c r="AE14" i="32" s="1"/>
  <c r="O6" i="32"/>
  <c r="T15" i="32"/>
  <c r="I106" i="3"/>
  <c r="I107" i="3" s="1"/>
  <c r="I109" i="3" s="1"/>
  <c r="N35" i="43"/>
  <c r="D28" i="1"/>
  <c r="L109" i="33"/>
  <c r="G27" i="33"/>
  <c r="G167" i="33"/>
  <c r="N26" i="43"/>
  <c r="G101" i="3" s="1"/>
  <c r="K53" i="45"/>
  <c r="F4" i="44"/>
  <c r="F62" i="3"/>
  <c r="O16" i="32"/>
  <c r="AE16" i="32" s="1"/>
  <c r="O15" i="32"/>
  <c r="N45" i="51"/>
  <c r="G27" i="7"/>
  <c r="H27" i="7" s="1"/>
  <c r="O10" i="32"/>
  <c r="AE10" i="32" s="1"/>
  <c r="O8" i="32"/>
  <c r="I27" i="33"/>
  <c r="K58" i="45"/>
  <c r="D4" i="44"/>
  <c r="H35" i="3"/>
  <c r="E27" i="33"/>
  <c r="M118" i="33"/>
  <c r="F66" i="3"/>
  <c r="C28" i="43"/>
  <c r="I22" i="48" l="1"/>
  <c r="F97" i="3"/>
  <c r="D97" i="3" s="1"/>
  <c r="AE8" i="32"/>
  <c r="N23" i="43"/>
  <c r="G98" i="3" s="1"/>
  <c r="N21" i="43"/>
  <c r="G96" i="3" s="1"/>
  <c r="J27" i="7"/>
  <c r="G37" i="7" s="1"/>
  <c r="L30" i="43"/>
  <c r="N30" i="43" s="1"/>
  <c r="G105" i="3" s="1"/>
  <c r="M30" i="43"/>
  <c r="H105" i="3" s="1"/>
  <c r="J30" i="48" s="1"/>
  <c r="D21" i="37"/>
  <c r="M11" i="43"/>
  <c r="I19" i="43"/>
  <c r="I33" i="43" s="1"/>
  <c r="F50" i="3"/>
  <c r="E11" i="39"/>
  <c r="F11" i="39" s="1"/>
  <c r="H11" i="39" s="1"/>
  <c r="I11" i="39" s="1"/>
  <c r="D7" i="37" s="1"/>
  <c r="E9" i="3" s="1"/>
  <c r="E49" i="3" s="1"/>
  <c r="E11" i="43" s="1"/>
  <c r="E23" i="39"/>
  <c r="F23" i="39" s="1"/>
  <c r="H23" i="39" s="1"/>
  <c r="I23" i="39" s="1"/>
  <c r="D20" i="37" s="1"/>
  <c r="E20" i="37" s="1"/>
  <c r="E18" i="39"/>
  <c r="F18" i="39" s="1"/>
  <c r="H18" i="39" s="1"/>
  <c r="I18" i="39" s="1"/>
  <c r="D14" i="37" s="1"/>
  <c r="E16" i="3" s="1"/>
  <c r="E56" i="3" s="1"/>
  <c r="E10" i="39"/>
  <c r="F10" i="39" s="1"/>
  <c r="H10" i="39" s="1"/>
  <c r="I10" i="39" s="1"/>
  <c r="E21" i="39"/>
  <c r="F21" i="39" s="1"/>
  <c r="H21" i="39" s="1"/>
  <c r="I21" i="39" s="1"/>
  <c r="D17" i="37" s="1"/>
  <c r="E17" i="37" s="1"/>
  <c r="E16" i="39"/>
  <c r="F16" i="39" s="1"/>
  <c r="H16" i="39" s="1"/>
  <c r="I16" i="39" s="1"/>
  <c r="D12" i="37" s="1"/>
  <c r="E14" i="3" s="1"/>
  <c r="E54" i="3" s="1"/>
  <c r="D54" i="3" s="1"/>
  <c r="E13" i="39"/>
  <c r="F13" i="39" s="1"/>
  <c r="H13" i="39" s="1"/>
  <c r="I13" i="39" s="1"/>
  <c r="D9" i="37" s="1"/>
  <c r="E11" i="3" s="1"/>
  <c r="E51" i="3" s="1"/>
  <c r="E13" i="43" s="1"/>
  <c r="E19" i="39"/>
  <c r="F19" i="39" s="1"/>
  <c r="H19" i="39" s="1"/>
  <c r="I19" i="39" s="1"/>
  <c r="D16" i="37" s="1"/>
  <c r="E18" i="3" s="1"/>
  <c r="E24" i="39"/>
  <c r="E15" i="39"/>
  <c r="F15" i="39" s="1"/>
  <c r="H15" i="39" s="1"/>
  <c r="I15" i="39" s="1"/>
  <c r="D11" i="37" s="1"/>
  <c r="E13" i="3" s="1"/>
  <c r="E53" i="3" s="1"/>
  <c r="E15" i="43" s="1"/>
  <c r="E22" i="39"/>
  <c r="F22" i="39" s="1"/>
  <c r="H22" i="39" s="1"/>
  <c r="I22" i="39" s="1"/>
  <c r="D19" i="37" s="1"/>
  <c r="E26" i="3" s="1"/>
  <c r="D26" i="3" s="1"/>
  <c r="E20" i="39"/>
  <c r="F20" i="39" s="1"/>
  <c r="H20" i="39" s="1"/>
  <c r="I20" i="39" s="1"/>
  <c r="D18" i="37" s="1"/>
  <c r="E24" i="3" s="1"/>
  <c r="D24" i="3" s="1"/>
  <c r="E12" i="39"/>
  <c r="F12" i="39" s="1"/>
  <c r="H12" i="39" s="1"/>
  <c r="I12" i="39" s="1"/>
  <c r="D8" i="37" s="1"/>
  <c r="E10" i="3" s="1"/>
  <c r="D10" i="3" s="1"/>
  <c r="E17" i="39"/>
  <c r="F17" i="39" s="1"/>
  <c r="H17" i="39" s="1"/>
  <c r="I17" i="39" s="1"/>
  <c r="D13" i="37" s="1"/>
  <c r="E15" i="3" s="1"/>
  <c r="D15" i="3" s="1"/>
  <c r="E64" i="3"/>
  <c r="D64" i="3" s="1"/>
  <c r="E27" i="3"/>
  <c r="E66" i="3"/>
  <c r="E28" i="43" s="1"/>
  <c r="E16" i="43"/>
  <c r="D13" i="3"/>
  <c r="AE17" i="32"/>
  <c r="D37" i="32" s="1"/>
  <c r="D49" i="3"/>
  <c r="E58" i="3"/>
  <c r="D18" i="3"/>
  <c r="E50" i="3"/>
  <c r="D9" i="3"/>
  <c r="D16" i="3"/>
  <c r="F101" i="3"/>
  <c r="I26" i="48"/>
  <c r="G23" i="1"/>
  <c r="H23" i="1" s="1"/>
  <c r="C13" i="37" s="1"/>
  <c r="D33" i="32"/>
  <c r="G27" i="1"/>
  <c r="H27" i="1" s="1"/>
  <c r="C19" i="37" s="1"/>
  <c r="D36" i="32"/>
  <c r="G26" i="1"/>
  <c r="H26" i="1" s="1"/>
  <c r="C18" i="37" s="1"/>
  <c r="E18" i="37" s="1"/>
  <c r="D28" i="32"/>
  <c r="G18" i="1"/>
  <c r="H18" i="1" s="1"/>
  <c r="C8" i="37" s="1"/>
  <c r="D30" i="32"/>
  <c r="G20" i="1"/>
  <c r="H20" i="1" s="1"/>
  <c r="C10" i="37" s="1"/>
  <c r="E10" i="37" s="1"/>
  <c r="O18" i="32"/>
  <c r="E167" i="33"/>
  <c r="F169" i="33" s="1"/>
  <c r="E163" i="33"/>
  <c r="E165" i="33"/>
  <c r="K27" i="7"/>
  <c r="M10" i="7"/>
  <c r="E52" i="3"/>
  <c r="E14" i="43" s="1"/>
  <c r="D12" i="3"/>
  <c r="D31" i="32"/>
  <c r="G21" i="1"/>
  <c r="H21" i="1" s="1"/>
  <c r="C11" i="37" s="1"/>
  <c r="E11" i="37" s="1"/>
  <c r="G163" i="33"/>
  <c r="G165" i="33"/>
  <c r="H96" i="3"/>
  <c r="I30" i="48"/>
  <c r="F105" i="3"/>
  <c r="G168" i="33"/>
  <c r="G169" i="33"/>
  <c r="F99" i="3"/>
  <c r="D99" i="3" s="1"/>
  <c r="I24" i="48"/>
  <c r="Q18" i="32"/>
  <c r="R6" i="32"/>
  <c r="R18" i="32" s="1"/>
  <c r="K18" i="32"/>
  <c r="D62" i="3"/>
  <c r="N29" i="43"/>
  <c r="G104" i="3" s="1"/>
  <c r="J15" i="48"/>
  <c r="E67" i="3"/>
  <c r="D27" i="3"/>
  <c r="I23" i="48"/>
  <c r="F98" i="3"/>
  <c r="D98" i="3" s="1"/>
  <c r="F96" i="3"/>
  <c r="D96" i="3" s="1"/>
  <c r="I21" i="48"/>
  <c r="D105" i="3"/>
  <c r="K30" i="48"/>
  <c r="D53" i="3"/>
  <c r="D5" i="43"/>
  <c r="K5" i="33"/>
  <c r="G24" i="1"/>
  <c r="H24" i="1" s="1"/>
  <c r="C14" i="37" s="1"/>
  <c r="E14" i="37" s="1"/>
  <c r="D34" i="32"/>
  <c r="I32" i="43"/>
  <c r="I36" i="43" s="1"/>
  <c r="I163" i="33"/>
  <c r="I167" i="33"/>
  <c r="U15" i="32"/>
  <c r="U18" i="32" s="1"/>
  <c r="T18" i="32"/>
  <c r="F52" i="3"/>
  <c r="C14" i="43"/>
  <c r="D6" i="37"/>
  <c r="F168" i="33" l="1"/>
  <c r="E8" i="37"/>
  <c r="E19" i="37"/>
  <c r="E7" i="37"/>
  <c r="G27" i="39"/>
  <c r="E23" i="3"/>
  <c r="E63" i="3" s="1"/>
  <c r="H86" i="3"/>
  <c r="M19" i="43"/>
  <c r="M33" i="43" s="1"/>
  <c r="E29" i="3"/>
  <c r="E69" i="3" s="1"/>
  <c r="E31" i="43" s="1"/>
  <c r="E21" i="37"/>
  <c r="I25" i="39"/>
  <c r="H25" i="39"/>
  <c r="D51" i="3"/>
  <c r="E55" i="3"/>
  <c r="D55" i="3" s="1"/>
  <c r="E9" i="37"/>
  <c r="D11" i="3"/>
  <c r="E12" i="37"/>
  <c r="E13" i="37"/>
  <c r="D14" i="3"/>
  <c r="E25" i="39"/>
  <c r="D66" i="3"/>
  <c r="E26" i="43"/>
  <c r="P26" i="43" s="1"/>
  <c r="Q26" i="43" s="1"/>
  <c r="E101" i="3" s="1"/>
  <c r="K26" i="48" s="1"/>
  <c r="E30" i="3"/>
  <c r="AE6" i="32"/>
  <c r="D26" i="32" s="1"/>
  <c r="E12" i="43"/>
  <c r="D50" i="3"/>
  <c r="E20" i="43"/>
  <c r="D58" i="3"/>
  <c r="E17" i="43"/>
  <c r="E18" i="43"/>
  <c r="D56" i="3"/>
  <c r="E29" i="43"/>
  <c r="P29" i="43" s="1"/>
  <c r="Q29" i="43" s="1"/>
  <c r="E104" i="3" s="1"/>
  <c r="D67" i="3"/>
  <c r="I169" i="33"/>
  <c r="J169" i="33"/>
  <c r="J168" i="33"/>
  <c r="I168" i="33"/>
  <c r="N10" i="7"/>
  <c r="M27" i="7"/>
  <c r="E25" i="43"/>
  <c r="D63" i="3"/>
  <c r="E70" i="3"/>
  <c r="D52" i="3"/>
  <c r="D22" i="37"/>
  <c r="E8" i="3"/>
  <c r="D27" i="43"/>
  <c r="D28" i="43"/>
  <c r="F104" i="3"/>
  <c r="I29" i="48"/>
  <c r="K129" i="33"/>
  <c r="L129" i="33" s="1"/>
  <c r="M129" i="33" s="1"/>
  <c r="K22" i="33"/>
  <c r="L22" i="33" s="1"/>
  <c r="K130" i="33"/>
  <c r="L130" i="33" s="1"/>
  <c r="M130" i="33" s="1"/>
  <c r="K28" i="33"/>
  <c r="L28" i="33" s="1"/>
  <c r="K50" i="33"/>
  <c r="L50" i="33" s="1"/>
  <c r="M50" i="33" s="1"/>
  <c r="K157" i="33"/>
  <c r="K133" i="33"/>
  <c r="L133" i="33" s="1"/>
  <c r="M133" i="33" s="1"/>
  <c r="K134" i="33"/>
  <c r="L134" i="33" s="1"/>
  <c r="M134" i="33" s="1"/>
  <c r="K161" i="33"/>
  <c r="L161" i="33" s="1"/>
  <c r="M161" i="33" s="1"/>
  <c r="K29" i="33"/>
  <c r="L29" i="33" s="1"/>
  <c r="M29" i="33" s="1"/>
  <c r="K137" i="33"/>
  <c r="L137" i="33" s="1"/>
  <c r="M137" i="33" s="1"/>
  <c r="K158" i="33"/>
  <c r="L158" i="33" s="1"/>
  <c r="M158" i="33" s="1"/>
  <c r="K126" i="33"/>
  <c r="L126" i="33" s="1"/>
  <c r="M126" i="33" s="1"/>
  <c r="K127" i="33"/>
  <c r="L127" i="33" s="1"/>
  <c r="M127" i="33" s="1"/>
  <c r="K132" i="33"/>
  <c r="L132" i="33" s="1"/>
  <c r="M132" i="33" s="1"/>
  <c r="K125" i="33"/>
  <c r="L125" i="33" s="1"/>
  <c r="AE15" i="32"/>
  <c r="J21" i="48"/>
  <c r="D23" i="3" l="1"/>
  <c r="J12" i="48"/>
  <c r="H94" i="3"/>
  <c r="D101" i="3"/>
  <c r="AE18" i="32"/>
  <c r="M28" i="33"/>
  <c r="L172" i="33"/>
  <c r="L83" i="33"/>
  <c r="H27" i="43"/>
  <c r="M22" i="33"/>
  <c r="G25" i="1"/>
  <c r="H25" i="1" s="1"/>
  <c r="C16" i="37" s="1"/>
  <c r="E16" i="37" s="1"/>
  <c r="D35" i="32"/>
  <c r="D38" i="32" s="1"/>
  <c r="G16" i="1"/>
  <c r="P25" i="43"/>
  <c r="Q25" i="43" s="1"/>
  <c r="E100" i="3" s="1"/>
  <c r="E32" i="43"/>
  <c r="E48" i="3"/>
  <c r="E17" i="3"/>
  <c r="E35" i="3" s="1"/>
  <c r="M125" i="33"/>
  <c r="M146" i="33" s="1"/>
  <c r="L146" i="33"/>
  <c r="J28" i="43" s="1"/>
  <c r="G35" i="7"/>
  <c r="G36" i="7" s="1"/>
  <c r="G38" i="7" s="1"/>
  <c r="N27" i="7"/>
  <c r="F8" i="3"/>
  <c r="K21" i="33"/>
  <c r="L21" i="33" s="1"/>
  <c r="L157" i="33"/>
  <c r="H28" i="43"/>
  <c r="K29" i="48"/>
  <c r="D104" i="3"/>
  <c r="M28" i="43" l="1"/>
  <c r="H103" i="3" s="1"/>
  <c r="J28" i="48" s="1"/>
  <c r="L28" i="43"/>
  <c r="O28" i="43"/>
  <c r="P28" i="43" s="1"/>
  <c r="Q28" i="43" s="1"/>
  <c r="E103" i="3" s="1"/>
  <c r="L173" i="33"/>
  <c r="M157" i="33"/>
  <c r="L149" i="33"/>
  <c r="L171" i="33"/>
  <c r="L174" i="33" s="1"/>
  <c r="L13" i="33"/>
  <c r="L6" i="33" s="1"/>
  <c r="J27" i="43"/>
  <c r="M21" i="33"/>
  <c r="F17" i="3"/>
  <c r="G48" i="3"/>
  <c r="G40" i="7"/>
  <c r="G41" i="7"/>
  <c r="D100" i="3"/>
  <c r="K25" i="48"/>
  <c r="H16" i="1"/>
  <c r="G28" i="1"/>
  <c r="L27" i="33"/>
  <c r="L163" i="33" s="1"/>
  <c r="N37" i="43" s="1"/>
  <c r="J31" i="43"/>
  <c r="E10" i="43"/>
  <c r="E57" i="3"/>
  <c r="E72" i="3" s="1"/>
  <c r="M83" i="33"/>
  <c r="M27" i="33" s="1"/>
  <c r="M172" i="33"/>
  <c r="D8" i="3"/>
  <c r="D17" i="3" s="1"/>
  <c r="L165" i="33" l="1"/>
  <c r="N28" i="43"/>
  <c r="G103" i="3" s="1"/>
  <c r="F103" i="3" s="1"/>
  <c r="D103" i="3" s="1"/>
  <c r="F48" i="3"/>
  <c r="F57" i="3" s="1"/>
  <c r="G57" i="3"/>
  <c r="C10" i="43"/>
  <c r="D48" i="3"/>
  <c r="D57" i="3" s="1"/>
  <c r="I28" i="48"/>
  <c r="M149" i="33"/>
  <c r="M165" i="33" s="1"/>
  <c r="M173" i="33"/>
  <c r="M171" i="33"/>
  <c r="M13" i="33"/>
  <c r="M6" i="33" s="1"/>
  <c r="M163" i="33"/>
  <c r="J32" i="43"/>
  <c r="J36" i="43" s="1"/>
  <c r="L27" i="43"/>
  <c r="N27" i="43" s="1"/>
  <c r="G102" i="3" s="1"/>
  <c r="M27" i="43"/>
  <c r="O27" i="43"/>
  <c r="P27" i="43" s="1"/>
  <c r="Q27" i="43" s="1"/>
  <c r="E102" i="3" s="1"/>
  <c r="E37" i="43"/>
  <c r="P37" i="43" s="1"/>
  <c r="K28" i="48"/>
  <c r="H28" i="1"/>
  <c r="C6" i="37"/>
  <c r="L167" i="33"/>
  <c r="E19" i="43"/>
  <c r="F10" i="43"/>
  <c r="F17" i="43"/>
  <c r="F18" i="43"/>
  <c r="F11" i="43"/>
  <c r="F15" i="43"/>
  <c r="F16" i="43"/>
  <c r="F20" i="43"/>
  <c r="F12" i="43"/>
  <c r="F13" i="43"/>
  <c r="F14" i="43"/>
  <c r="M31" i="43"/>
  <c r="H106" i="3" s="1"/>
  <c r="C31" i="48" s="1"/>
  <c r="L31" i="43"/>
  <c r="N31" i="43" s="1"/>
  <c r="G29" i="3"/>
  <c r="F29" i="3"/>
  <c r="K27" i="48" l="1"/>
  <c r="F30" i="3"/>
  <c r="F35" i="3" s="1"/>
  <c r="G69" i="3"/>
  <c r="D29" i="3"/>
  <c r="D30" i="3" s="1"/>
  <c r="D35" i="3" s="1"/>
  <c r="K16" i="43"/>
  <c r="L16" i="43" s="1"/>
  <c r="N16" i="43" s="1"/>
  <c r="C22" i="37"/>
  <c r="E6" i="37"/>
  <c r="E22" i="37" s="1"/>
  <c r="H102" i="3"/>
  <c r="M32" i="43"/>
  <c r="M36" i="43" s="1"/>
  <c r="K15" i="43"/>
  <c r="L15" i="43" s="1"/>
  <c r="N15" i="43" s="1"/>
  <c r="F102" i="3"/>
  <c r="D102" i="3" s="1"/>
  <c r="I27" i="48"/>
  <c r="E33" i="43"/>
  <c r="E36" i="43"/>
  <c r="K11" i="43"/>
  <c r="L11" i="43" s="1"/>
  <c r="N11" i="43" s="1"/>
  <c r="J31" i="48"/>
  <c r="K18" i="43"/>
  <c r="L18" i="43" s="1"/>
  <c r="N18" i="43" s="1"/>
  <c r="C19" i="43"/>
  <c r="G30" i="3"/>
  <c r="G35" i="3" s="1"/>
  <c r="J69" i="3"/>
  <c r="K14" i="43"/>
  <c r="L14" i="43" s="1"/>
  <c r="N14" i="43" s="1"/>
  <c r="K17" i="43"/>
  <c r="L17" i="43" s="1"/>
  <c r="N17" i="43" s="1"/>
  <c r="M167" i="33"/>
  <c r="M168" i="33" s="1"/>
  <c r="K12" i="43"/>
  <c r="L12" i="43" s="1"/>
  <c r="N12" i="43" s="1"/>
  <c r="K20" i="43"/>
  <c r="F32" i="43"/>
  <c r="K13" i="43"/>
  <c r="L13" i="43" s="1"/>
  <c r="N13" i="43" s="1"/>
  <c r="K10" i="43"/>
  <c r="F19" i="43"/>
  <c r="M174" i="33"/>
  <c r="C38" i="48" l="1"/>
  <c r="C34" i="48" s="1"/>
  <c r="C32" i="48"/>
  <c r="C1" i="48" s="1"/>
  <c r="F33" i="43"/>
  <c r="F36" i="43"/>
  <c r="J106" i="3"/>
  <c r="J107" i="3" s="1"/>
  <c r="J109" i="3" s="1"/>
  <c r="J70" i="3"/>
  <c r="J72" i="3" s="1"/>
  <c r="F69" i="3"/>
  <c r="G70" i="3"/>
  <c r="G72" i="3" s="1"/>
  <c r="C31" i="43"/>
  <c r="K32" i="43"/>
  <c r="L20" i="43"/>
  <c r="E40" i="3"/>
  <c r="G40" i="3" s="1"/>
  <c r="F39" i="3"/>
  <c r="J27" i="48"/>
  <c r="J32" i="48" s="1"/>
  <c r="H107" i="3"/>
  <c r="L10" i="43"/>
  <c r="K19" i="43"/>
  <c r="C33" i="43"/>
  <c r="N20" i="43" l="1"/>
  <c r="N32" i="43" s="1"/>
  <c r="L32" i="43"/>
  <c r="H109" i="3"/>
  <c r="H111" i="3"/>
  <c r="D69" i="3"/>
  <c r="D70" i="3" s="1"/>
  <c r="D72" i="3" s="1"/>
  <c r="D74" i="3" s="1"/>
  <c r="F70" i="3"/>
  <c r="F72" i="3" s="1"/>
  <c r="E73" i="3" s="1"/>
  <c r="K33" i="43"/>
  <c r="K36" i="43"/>
  <c r="D31" i="43"/>
  <c r="H31" i="43" s="1"/>
  <c r="G106" i="3" s="1"/>
  <c r="C32" i="43"/>
  <c r="C36" i="43" s="1"/>
  <c r="N10" i="43"/>
  <c r="N19" i="43" s="1"/>
  <c r="L19" i="43"/>
  <c r="C37" i="43"/>
  <c r="I38" i="43" s="1"/>
  <c r="G73" i="3"/>
  <c r="E74" i="3"/>
  <c r="N36" i="43" l="1"/>
  <c r="F106" i="3"/>
  <c r="I31" i="48"/>
  <c r="L36" i="43"/>
  <c r="L33" i="43"/>
  <c r="N33" i="43" s="1"/>
  <c r="O31" i="43"/>
  <c r="P31" i="43" s="1"/>
  <c r="E106" i="3" s="1"/>
  <c r="D32" i="43"/>
  <c r="D36" i="43" l="1"/>
  <c r="G17" i="43"/>
  <c r="G13" i="43"/>
  <c r="G10" i="43"/>
  <c r="G14" i="43"/>
  <c r="G18" i="43"/>
  <c r="G20" i="43"/>
  <c r="G16" i="43"/>
  <c r="G11" i="43"/>
  <c r="G15" i="43"/>
  <c r="G12" i="43"/>
  <c r="D106" i="3"/>
  <c r="K31" i="48"/>
  <c r="O16" i="43" l="1"/>
  <c r="P16" i="43" s="1"/>
  <c r="Q16" i="43" s="1"/>
  <c r="E91" i="3" s="1"/>
  <c r="H16" i="43"/>
  <c r="G91" i="3" s="1"/>
  <c r="G32" i="43"/>
  <c r="O20" i="43"/>
  <c r="H20" i="43"/>
  <c r="O10" i="43"/>
  <c r="G19" i="43"/>
  <c r="H10" i="43"/>
  <c r="O13" i="43"/>
  <c r="P13" i="43" s="1"/>
  <c r="Q13" i="43" s="1"/>
  <c r="E88" i="3" s="1"/>
  <c r="H13" i="43"/>
  <c r="G88" i="3" s="1"/>
  <c r="O15" i="43"/>
  <c r="P15" i="43" s="1"/>
  <c r="Q15" i="43" s="1"/>
  <c r="E90" i="3" s="1"/>
  <c r="H15" i="43"/>
  <c r="G90" i="3" s="1"/>
  <c r="O17" i="43"/>
  <c r="P17" i="43" s="1"/>
  <c r="Q17" i="43" s="1"/>
  <c r="E92" i="3" s="1"/>
  <c r="H17" i="43"/>
  <c r="G92" i="3" s="1"/>
  <c r="O18" i="43"/>
  <c r="P18" i="43" s="1"/>
  <c r="Q18" i="43" s="1"/>
  <c r="E93" i="3" s="1"/>
  <c r="H18" i="43"/>
  <c r="G93" i="3" s="1"/>
  <c r="O14" i="43"/>
  <c r="P14" i="43" s="1"/>
  <c r="Q14" i="43" s="1"/>
  <c r="E89" i="3" s="1"/>
  <c r="H14" i="43"/>
  <c r="G89" i="3" s="1"/>
  <c r="O12" i="43"/>
  <c r="P12" i="43" s="1"/>
  <c r="Q12" i="43" s="1"/>
  <c r="E87" i="3" s="1"/>
  <c r="H12" i="43"/>
  <c r="G87" i="3" s="1"/>
  <c r="O11" i="43"/>
  <c r="P11" i="43" s="1"/>
  <c r="Q11" i="43" s="1"/>
  <c r="E86" i="3" s="1"/>
  <c r="K12" i="48" s="1"/>
  <c r="H11" i="43"/>
  <c r="G86" i="3" s="1"/>
  <c r="K19" i="48" l="1"/>
  <c r="I19" i="48"/>
  <c r="F93" i="3"/>
  <c r="D93" i="3" s="1"/>
  <c r="G85" i="3"/>
  <c r="H19" i="43"/>
  <c r="I12" i="48"/>
  <c r="F86" i="3"/>
  <c r="D86" i="3" s="1"/>
  <c r="F92" i="3"/>
  <c r="D92" i="3" s="1"/>
  <c r="I18" i="48"/>
  <c r="P10" i="43"/>
  <c r="O19" i="43"/>
  <c r="K18" i="48"/>
  <c r="G95" i="3"/>
  <c r="H32" i="43"/>
  <c r="F87" i="3"/>
  <c r="D87" i="3" s="1"/>
  <c r="I13" i="48"/>
  <c r="I16" i="48"/>
  <c r="F90" i="3"/>
  <c r="D90" i="3" s="1"/>
  <c r="O32" i="43"/>
  <c r="P20" i="43"/>
  <c r="G36" i="43"/>
  <c r="G33" i="43"/>
  <c r="K16" i="48"/>
  <c r="K13" i="48"/>
  <c r="I15" i="48"/>
  <c r="F89" i="3"/>
  <c r="D89" i="3" s="1"/>
  <c r="F88" i="3"/>
  <c r="D88" i="3" s="1"/>
  <c r="I14" i="48"/>
  <c r="I17" i="48"/>
  <c r="F91" i="3"/>
  <c r="D91" i="3" s="1"/>
  <c r="K15" i="48"/>
  <c r="K14" i="48"/>
  <c r="K17" i="48"/>
  <c r="I20" i="48" l="1"/>
  <c r="F95" i="3"/>
  <c r="F107" i="3" s="1"/>
  <c r="G107" i="3"/>
  <c r="I111" i="3" s="1"/>
  <c r="J111" i="3" s="1"/>
  <c r="H36" i="43"/>
  <c r="H33" i="43"/>
  <c r="G94" i="3"/>
  <c r="G109" i="3" s="1"/>
  <c r="F85" i="3"/>
  <c r="F94" i="3" s="1"/>
  <c r="I11" i="48"/>
  <c r="I32" i="48" s="1"/>
  <c r="O33" i="43"/>
  <c r="O36" i="43"/>
  <c r="Q10" i="43"/>
  <c r="P19" i="43"/>
  <c r="P32" i="43"/>
  <c r="G110" i="3" l="1"/>
  <c r="F109" i="3"/>
  <c r="E85" i="3"/>
  <c r="Q19" i="43"/>
  <c r="E95" i="3"/>
  <c r="Q32" i="43"/>
  <c r="P36" i="43"/>
  <c r="P33" i="43"/>
  <c r="Q33" i="43" l="1"/>
  <c r="Q36" i="43"/>
  <c r="E107" i="3"/>
  <c r="K20" i="48"/>
  <c r="D95" i="3"/>
  <c r="D107" i="3" s="1"/>
  <c r="E94" i="3"/>
  <c r="D85" i="3"/>
  <c r="D94" i="3" s="1"/>
  <c r="K11" i="48"/>
  <c r="K32" i="48" s="1"/>
  <c r="E109" i="3" l="1"/>
  <c r="E110" i="3" s="1"/>
  <c r="D109" i="3"/>
</calcChain>
</file>

<file path=xl/comments1.xml><?xml version="1.0" encoding="utf-8"?>
<comments xmlns="http://schemas.openxmlformats.org/spreadsheetml/2006/main">
  <authors>
    <author>RMU</author>
  </authors>
  <commentList>
    <comment ref="I1" authorId="0" shapeId="0">
      <text>
        <r>
          <rPr>
            <b/>
            <sz val="9"/>
            <color indexed="81"/>
            <rFont val="Tahoma"/>
            <family val="2"/>
            <charset val="238"/>
          </rPr>
          <t>RMU:</t>
        </r>
        <r>
          <rPr>
            <sz val="9"/>
            <color indexed="81"/>
            <rFont val="Tahoma"/>
            <family val="2"/>
            <charset val="238"/>
          </rPr>
          <t xml:space="preserve">
list aktualizován 6. 2. 2017
komárek</t>
        </r>
      </text>
    </comment>
    <comment ref="J56" authorId="0" shapeId="0">
      <text>
        <r>
          <rPr>
            <b/>
            <sz val="9"/>
            <color indexed="81"/>
            <rFont val="Tahoma"/>
            <family val="2"/>
            <charset val="238"/>
          </rPr>
          <t>RMU:</t>
        </r>
        <r>
          <rPr>
            <sz val="9"/>
            <color indexed="81"/>
            <rFont val="Tahoma"/>
            <family val="2"/>
            <charset val="238"/>
          </rPr>
          <t xml:space="preserve">
přesunuto do CP2</t>
        </r>
      </text>
    </comment>
  </commentList>
</comments>
</file>

<file path=xl/comments2.xml><?xml version="1.0" encoding="utf-8"?>
<comments xmlns="http://schemas.openxmlformats.org/spreadsheetml/2006/main">
  <authors>
    <author>RMU</author>
  </authors>
  <commentLis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RMU:</t>
        </r>
        <r>
          <rPr>
            <sz val="9"/>
            <color indexed="81"/>
            <rFont val="Tahoma"/>
            <family val="2"/>
            <charset val="238"/>
          </rPr>
          <t xml:space="preserve">
list aktualizován 6. 2. 2017
komárek</t>
        </r>
      </text>
    </comment>
  </commentList>
</comments>
</file>

<file path=xl/sharedStrings.xml><?xml version="1.0" encoding="utf-8"?>
<sst xmlns="http://schemas.openxmlformats.org/spreadsheetml/2006/main" count="1487" uniqueCount="722">
  <si>
    <t>Příspěvek celkem</t>
  </si>
  <si>
    <t>SUKB</t>
  </si>
  <si>
    <t>index</t>
  </si>
  <si>
    <t>ř.</t>
  </si>
  <si>
    <t xml:space="preserve">   Činnost</t>
  </si>
  <si>
    <t xml:space="preserve">   C e l k e m</t>
  </si>
  <si>
    <t>Fakulta</t>
  </si>
  <si>
    <t>LF</t>
  </si>
  <si>
    <t>FF</t>
  </si>
  <si>
    <t>PrF</t>
  </si>
  <si>
    <t>FSS</t>
  </si>
  <si>
    <t>PřF</t>
  </si>
  <si>
    <t>FI</t>
  </si>
  <si>
    <t>PdF</t>
  </si>
  <si>
    <t>FSpS</t>
  </si>
  <si>
    <t>ESF</t>
  </si>
  <si>
    <t>celkem</t>
  </si>
  <si>
    <t>ÚVT</t>
  </si>
  <si>
    <t>RMU</t>
  </si>
  <si>
    <t>vzděl.č.</t>
  </si>
  <si>
    <t>ostatní</t>
  </si>
  <si>
    <t>podíl</t>
  </si>
  <si>
    <t>přínos</t>
  </si>
  <si>
    <t>odpisy</t>
  </si>
  <si>
    <t>CJV</t>
  </si>
  <si>
    <t>CZS</t>
  </si>
  <si>
    <t>plán</t>
  </si>
  <si>
    <t>č.</t>
  </si>
  <si>
    <t>akce</t>
  </si>
  <si>
    <t xml:space="preserve"> celkem účtováno přes rektorát</t>
  </si>
  <si>
    <t xml:space="preserve"> celkem účtováno přes FI</t>
  </si>
  <si>
    <t>z toho</t>
  </si>
  <si>
    <t>bez CA</t>
  </si>
  <si>
    <t>RR</t>
  </si>
  <si>
    <t>č.ř.</t>
  </si>
  <si>
    <t>MU celkem</t>
  </si>
  <si>
    <t>činnost</t>
  </si>
  <si>
    <t xml:space="preserve">Hospodářské </t>
  </si>
  <si>
    <t>středisko</t>
  </si>
  <si>
    <t>fakulty celkem</t>
  </si>
  <si>
    <t>Seznam příloh:</t>
  </si>
  <si>
    <t xml:space="preserve">příloha 1 - </t>
  </si>
  <si>
    <t>Plán</t>
  </si>
  <si>
    <t>Upravený</t>
  </si>
  <si>
    <t>Skutečnost</t>
  </si>
  <si>
    <t xml:space="preserve">   z toho:</t>
  </si>
  <si>
    <t xml:space="preserve">v tom - </t>
  </si>
  <si>
    <t>mzdy</t>
  </si>
  <si>
    <t>OON</t>
  </si>
  <si>
    <t>energie</t>
  </si>
  <si>
    <t>opravy, údržba</t>
  </si>
  <si>
    <t>materiál</t>
  </si>
  <si>
    <t>služby</t>
  </si>
  <si>
    <t>cestovné</t>
  </si>
  <si>
    <t>stipendia</t>
  </si>
  <si>
    <t>C-doktorská stipendia</t>
  </si>
  <si>
    <t>112*</t>
  </si>
  <si>
    <t>D-zahr.st.,CEEPUS,AKTION,Socrates</t>
  </si>
  <si>
    <t>113*</t>
  </si>
  <si>
    <t>F-vzdělávací projekty, I-rozvojové programy, J,M,H,E</t>
  </si>
  <si>
    <t>Ostatní dotace ze SR a od úz.celků bez VaV</t>
  </si>
  <si>
    <t>151*,161*</t>
  </si>
  <si>
    <t>Projekty VaV ze SR a od úz.celků</t>
  </si>
  <si>
    <t>Doplňková činnost</t>
  </si>
  <si>
    <t>8*</t>
  </si>
  <si>
    <t>111*</t>
  </si>
  <si>
    <t>Čerpání fondů</t>
  </si>
  <si>
    <t>na vzděl.č.</t>
  </si>
  <si>
    <t>z toho vzdělávací č.</t>
  </si>
  <si>
    <t>Cesnet - poplatky</t>
  </si>
  <si>
    <t>Celkem MU</t>
  </si>
  <si>
    <t>SKM</t>
  </si>
  <si>
    <t xml:space="preserve">příloha 3 -  </t>
  </si>
  <si>
    <t>Celkem</t>
  </si>
  <si>
    <t>RS</t>
  </si>
  <si>
    <t>Schváleno v AS fakulty dne:</t>
  </si>
  <si>
    <t>Podpis:</t>
  </si>
  <si>
    <t>energetický management</t>
  </si>
  <si>
    <t>audit vč.účet. a daň.poradenství, služby INTRASTAT</t>
  </si>
  <si>
    <t>poplatky, spojené s členstvím MU v zahr.org.+RVŠ</t>
  </si>
  <si>
    <t xml:space="preserve"> celkem nové náklady - účtováno přes ÚVT</t>
  </si>
  <si>
    <t>bez</t>
  </si>
  <si>
    <t>SPSSN</t>
  </si>
  <si>
    <t>UCT</t>
  </si>
  <si>
    <t xml:space="preserve">   financování nedotačních odpisů režijních pracovišť</t>
  </si>
  <si>
    <t xml:space="preserve">RMU </t>
  </si>
  <si>
    <t xml:space="preserve">pojištění zahr.cest </t>
  </si>
  <si>
    <t>pojištění majetku MU a studentů</t>
  </si>
  <si>
    <t>interní vzdělávání</t>
  </si>
  <si>
    <t>právní poradenství</t>
  </si>
  <si>
    <t>www stránky MU (překlady,digitalizace ...)</t>
  </si>
  <si>
    <t>ediční činnost</t>
  </si>
  <si>
    <t>Universitas</t>
  </si>
  <si>
    <t>pěvecký sbor MU</t>
  </si>
  <si>
    <t>nájem Řečkovice</t>
  </si>
  <si>
    <t>daň z nemovitostí</t>
  </si>
  <si>
    <t xml:space="preserve"> celkem účtováno přes FSpS</t>
  </si>
  <si>
    <t xml:space="preserve">   příspěvek na vzdělávací činnost</t>
  </si>
  <si>
    <t xml:space="preserve">  na Program</t>
  </si>
  <si>
    <t xml:space="preserve">Financování nedotačních odpisů fakult </t>
  </si>
  <si>
    <t xml:space="preserve">U3V </t>
  </si>
  <si>
    <t xml:space="preserve">Poradenské centrum </t>
  </si>
  <si>
    <t>studentské projekty (program rektora)</t>
  </si>
  <si>
    <t>nájem Šumavská</t>
  </si>
  <si>
    <t xml:space="preserve"> celkem účtováno přes SPSSN</t>
  </si>
  <si>
    <t>IBA</t>
  </si>
  <si>
    <t>provozní pasport (technologický pasport budov )</t>
  </si>
  <si>
    <t>časopis muni.cz vč.fotobanky</t>
  </si>
  <si>
    <t>Převody z fondů/použití fondů</t>
  </si>
  <si>
    <t>fondů</t>
  </si>
  <si>
    <t>FPP</t>
  </si>
  <si>
    <t>FÚUP</t>
  </si>
  <si>
    <t>FO</t>
  </si>
  <si>
    <t>Fstip</t>
  </si>
  <si>
    <t xml:space="preserve"> A-vzděl.č.,specif.VaV,SKM,vlastní,fondy:</t>
  </si>
  <si>
    <t>13* bez 139*,14*</t>
  </si>
  <si>
    <t>119*, 139*</t>
  </si>
  <si>
    <t xml:space="preserve">Účelové příspěvky  na VaV </t>
  </si>
  <si>
    <t>251*</t>
  </si>
  <si>
    <t>A-příspěvek na vzdělávací činnost</t>
  </si>
  <si>
    <t>Dotace na SKM, přísp.na ubytovací a soc.stip.</t>
  </si>
  <si>
    <t>Účelové příspěvky bez VaV</t>
  </si>
  <si>
    <t>VaV - ze SR a od úz.celků</t>
  </si>
  <si>
    <t>Vlastní zdroje (hl.č.za úplatu)</t>
  </si>
  <si>
    <t>Komentář:</t>
  </si>
  <si>
    <t>Výměnu NEI příspěvku za příspěvek na kapitálové výdaje plánujte v nákladech do ř.13 a plánovanou částku uveďte zde:</t>
  </si>
  <si>
    <t>rezerva</t>
  </si>
  <si>
    <t xml:space="preserve">Příspěvek do centralizovaných zdrojů celkem </t>
  </si>
  <si>
    <t xml:space="preserve">Účelové příspěvky bez VaV </t>
  </si>
  <si>
    <t xml:space="preserve">Účelové příspěvky na VaV </t>
  </si>
  <si>
    <t>odvody</t>
  </si>
  <si>
    <t>Centrum pro radiační,chem.a biol.bezpečnost</t>
  </si>
  <si>
    <t>výroční zprávy</t>
  </si>
  <si>
    <t>Mendel muzeum</t>
  </si>
  <si>
    <t>CTT</t>
  </si>
  <si>
    <t>celkem účtováno přes CTT</t>
  </si>
  <si>
    <t>Schválil:</t>
  </si>
  <si>
    <t>Příkazce operace:</t>
  </si>
  <si>
    <t>Správce rozpočtu:</t>
  </si>
  <si>
    <t>datum a podpis</t>
  </si>
  <si>
    <t>přidělené</t>
  </si>
  <si>
    <t>prostředky</t>
  </si>
  <si>
    <t>Fsoc</t>
  </si>
  <si>
    <t>velké opravy a údržba</t>
  </si>
  <si>
    <t>veletrhy (Gaudeamus a zahr.)</t>
  </si>
  <si>
    <t xml:space="preserve">provoz auly </t>
  </si>
  <si>
    <t>1a</t>
  </si>
  <si>
    <t>1b</t>
  </si>
  <si>
    <t>organizační zajištění projektů RMU</t>
  </si>
  <si>
    <t>Khonovo stipendium (CZS)</t>
  </si>
  <si>
    <t>nájem archiv</t>
  </si>
  <si>
    <t xml:space="preserve">IS MU (inf.systém MU) </t>
  </si>
  <si>
    <t xml:space="preserve">akademické soutěže studentů </t>
  </si>
  <si>
    <t xml:space="preserve">   institucionální podpora VaV</t>
  </si>
  <si>
    <t>institucionální podpora VaV</t>
  </si>
  <si>
    <t xml:space="preserve">výměna NIV/INV </t>
  </si>
  <si>
    <t xml:space="preserve">  na spolufin.VaVpI</t>
  </si>
  <si>
    <t>1c</t>
  </si>
  <si>
    <t>1d</t>
  </si>
  <si>
    <t>VaV - institucionální podpora</t>
  </si>
  <si>
    <t>z toho vnitro - ú.549 ?</t>
  </si>
  <si>
    <t>odbor veřejných zakázek</t>
  </si>
  <si>
    <t>Botanická zahrada</t>
  </si>
  <si>
    <t>4* bez FÚUP z dotací</t>
  </si>
  <si>
    <t>Příspěvek 1. Mandatorní výdaje</t>
  </si>
  <si>
    <t>Příspěvek 2. Celouniverzitní aktivity a celouniverzitní součásti</t>
  </si>
  <si>
    <t xml:space="preserve">   režijní pracoviště bez instit.podpory (CP 2)</t>
  </si>
  <si>
    <t xml:space="preserve">   součet CA (CP1)</t>
  </si>
  <si>
    <t>MV Finanční činnosti (ř. 1+2+3+4)</t>
  </si>
  <si>
    <t>CA bez RR</t>
  </si>
  <si>
    <t xml:space="preserve">   centralizované aktivity bez RR</t>
  </si>
  <si>
    <t xml:space="preserve">   rezerva rektora - RR </t>
  </si>
  <si>
    <t>% z přínosu</t>
  </si>
  <si>
    <t xml:space="preserve">Plán financování centralizovaných oprav </t>
  </si>
  <si>
    <t>celkem účtováno přes PdF</t>
  </si>
  <si>
    <t>celkem účtováno přes PřF</t>
  </si>
  <si>
    <t xml:space="preserve">            SPN (režie) - ú.547*</t>
  </si>
  <si>
    <t>podpora</t>
  </si>
  <si>
    <t>instituc.</t>
  </si>
  <si>
    <t xml:space="preserve">VII. Rozpis příspěvku a institucionální podpory VaV na jednotlivá hospodářská střediska </t>
  </si>
  <si>
    <t>propagační akce VaV (Festival vědy, …)</t>
  </si>
  <si>
    <t>Antarktická stanice</t>
  </si>
  <si>
    <t>IP</t>
  </si>
  <si>
    <t>I. Normativní prostředky z MŠMT v tis. Kč</t>
  </si>
  <si>
    <t>NIV pro INV akce</t>
  </si>
  <si>
    <t>z toho rozpis ze SR</t>
  </si>
  <si>
    <t>z toho ze SR</t>
  </si>
  <si>
    <t>Projekty VaV z dotací ze zahr. a OP VaV</t>
  </si>
  <si>
    <t>152*,153*,157*,159*,167*,169*,19*,257*,259*,267*,269*</t>
  </si>
  <si>
    <t>Příspěvek 2. Celkem (CP1+CP2)</t>
  </si>
  <si>
    <t xml:space="preserve">příloha 2 - </t>
  </si>
  <si>
    <t xml:space="preserve">CP1 + CP2 </t>
  </si>
  <si>
    <t>MV + CP1 + CP2</t>
  </si>
  <si>
    <t>Náklady na tvorbu sociálního fondu ve výši 1 % z mezd (z ř.3) plánujte na ř. 5, tj. plán celkových odvodů bude 34+1=35 % resp. u dotačních projektů na řádky odpovídající příslušnému zdroji financování</t>
  </si>
  <si>
    <t xml:space="preserve">   Přínos na vzdělavací č. a instit.podpora celkem (ř.3)</t>
  </si>
  <si>
    <t xml:space="preserve">   Příspěvek. Celkem (ř.8+ř.13)</t>
  </si>
  <si>
    <t xml:space="preserve">   NEI související s INV </t>
  </si>
  <si>
    <t>CUS</t>
  </si>
  <si>
    <t>UKAZATEL</t>
  </si>
  <si>
    <t>Index</t>
  </si>
  <si>
    <t>Cizinci počet</t>
  </si>
  <si>
    <t>CELKEM</t>
  </si>
  <si>
    <t>A+K</t>
  </si>
  <si>
    <t>Ceitec</t>
  </si>
  <si>
    <t>Snížené</t>
  </si>
  <si>
    <t>NEI</t>
  </si>
  <si>
    <t>z</t>
  </si>
  <si>
    <t>%</t>
  </si>
  <si>
    <t>výnosů</t>
  </si>
  <si>
    <t>výnosy*</t>
  </si>
  <si>
    <t>A + K</t>
  </si>
  <si>
    <t>OVaV</t>
  </si>
  <si>
    <t xml:space="preserve">  za INV příspěvek na centraliz.akce (zejm.stavby)</t>
  </si>
  <si>
    <t>ProvO</t>
  </si>
  <si>
    <t>IO</t>
  </si>
  <si>
    <t>OVZ</t>
  </si>
  <si>
    <t>PersO</t>
  </si>
  <si>
    <t>OVVM</t>
  </si>
  <si>
    <t>NMU</t>
  </si>
  <si>
    <t>Nakladatelství</t>
  </si>
  <si>
    <t>zapojení publikací MU do světové distrib.sítě</t>
  </si>
  <si>
    <t>x</t>
  </si>
  <si>
    <t>MM</t>
  </si>
  <si>
    <t xml:space="preserve">Komenského nám. </t>
  </si>
  <si>
    <t>nájem pro FI</t>
  </si>
  <si>
    <t>studentské aktivity</t>
  </si>
  <si>
    <t xml:space="preserve"> celkem účtováno přes UCT</t>
  </si>
  <si>
    <t>CEITEC CŘS</t>
  </si>
  <si>
    <t xml:space="preserve">   Institucionální podpora pro Ceitec, ÚVT a IBA</t>
  </si>
  <si>
    <t>Ceitec MU</t>
  </si>
  <si>
    <t xml:space="preserve">dokrytí </t>
  </si>
  <si>
    <t>Přiděleno po výměně</t>
  </si>
  <si>
    <t>k.č.</t>
  </si>
  <si>
    <t>FSpS vč. CUS</t>
  </si>
  <si>
    <t>č.činosti</t>
  </si>
  <si>
    <t>Financování odpisů režijních součástí (nedotačních) č.činnosti 1112</t>
  </si>
  <si>
    <t>NIV pro INV č.činnosti 1112</t>
  </si>
  <si>
    <t>UKB</t>
  </si>
  <si>
    <t>Celkem fak.</t>
  </si>
  <si>
    <t>po zaokr.</t>
  </si>
  <si>
    <t>Prof. prům. přep. stav</t>
  </si>
  <si>
    <t>Doc. prům. přep. stav</t>
  </si>
  <si>
    <t>Ukazatel A + K pro A</t>
  </si>
  <si>
    <t>Ukazatel K  (VKM)</t>
  </si>
  <si>
    <t>Započítané body RIV v tis. Kč</t>
  </si>
  <si>
    <t>1</t>
  </si>
  <si>
    <t>2</t>
  </si>
  <si>
    <t>3</t>
  </si>
  <si>
    <t>4</t>
  </si>
  <si>
    <t>5</t>
  </si>
  <si>
    <t>6</t>
  </si>
  <si>
    <t>7</t>
  </si>
  <si>
    <t>8</t>
  </si>
  <si>
    <t>K (VKM)</t>
  </si>
  <si>
    <t>Příspěvek 1 + 2 (MV+CP)</t>
  </si>
  <si>
    <t>MV + CP</t>
  </si>
  <si>
    <t>CELKEM MV + CP</t>
  </si>
  <si>
    <t>Rekapitulace:</t>
  </si>
  <si>
    <t>z toho RMU 1111 v CP</t>
  </si>
  <si>
    <t>zbývá na CP (ř.3-4)</t>
  </si>
  <si>
    <t>Přiděleno fak. + CJV+CUS</t>
  </si>
  <si>
    <t>rozdíl = chybí (ř.5-6)</t>
  </si>
  <si>
    <t>dofinancovat RMU z FPP (ř.8-9=ř.7)</t>
  </si>
  <si>
    <t>MV</t>
  </si>
  <si>
    <t>CP1 bez RR</t>
  </si>
  <si>
    <t>Nedot.odpisy rež.souč.</t>
  </si>
  <si>
    <t>podíl na MU</t>
  </si>
  <si>
    <t>A</t>
  </si>
  <si>
    <t>dokrytí</t>
  </si>
  <si>
    <t xml:space="preserve">FPP </t>
  </si>
  <si>
    <t>z centraliz.</t>
  </si>
  <si>
    <t>celkem + FPP</t>
  </si>
  <si>
    <t>Kooper.kredity</t>
  </si>
  <si>
    <t>Výkon podle</t>
  </si>
  <si>
    <t>koop.kreditů</t>
  </si>
  <si>
    <t>Příspěvek</t>
  </si>
  <si>
    <t>RMU*</t>
  </si>
  <si>
    <t>* podle pravidel pro sestavování rozpočtu</t>
  </si>
  <si>
    <t>Přidělená IP</t>
  </si>
  <si>
    <t>K rozdělení</t>
  </si>
  <si>
    <t>body po převodech</t>
  </si>
  <si>
    <t>podíl MU</t>
  </si>
  <si>
    <t>převod mezi HS</t>
  </si>
  <si>
    <t>FSS + MPÚ</t>
  </si>
  <si>
    <t>CEITEC</t>
  </si>
  <si>
    <t>RMU-GA MU</t>
  </si>
  <si>
    <t xml:space="preserve"> Výnosy celkem</t>
  </si>
  <si>
    <t xml:space="preserve"> Tvorba fondů</t>
  </si>
  <si>
    <t xml:space="preserve"> DO</t>
  </si>
  <si>
    <t xml:space="preserve"> Spolupříjemci</t>
  </si>
  <si>
    <t xml:space="preserve"> VaV výnosy</t>
  </si>
  <si>
    <t xml:space="preserve"> Tvorba fondů VaV</t>
  </si>
  <si>
    <t xml:space="preserve"> Spolupříjemci VaV</t>
  </si>
  <si>
    <t xml:space="preserve"> Snížené celkové výnosy</t>
  </si>
  <si>
    <t xml:space="preserve"> Snížené výnosy na VaV</t>
  </si>
  <si>
    <t xml:space="preserve"> poměr VaV / výnosy</t>
  </si>
  <si>
    <t>Ceitec CŘS</t>
  </si>
  <si>
    <t>CP2</t>
  </si>
  <si>
    <t xml:space="preserve">  splátky NFV</t>
  </si>
  <si>
    <t>periodické prohlídky zaměstnanců MU</t>
  </si>
  <si>
    <t>Kariérní centrum</t>
  </si>
  <si>
    <t>organizační zajištění projektů RMU - OVaV</t>
  </si>
  <si>
    <t>rozpis u RMU</t>
  </si>
  <si>
    <t>nájem FF (Veveří)</t>
  </si>
  <si>
    <t>kino Scala</t>
  </si>
  <si>
    <t>Antiviry - celouniverzitní licence</t>
  </si>
  <si>
    <t>VMWare roční podpora (virtuální servery)</t>
  </si>
  <si>
    <t>Statistica celouniverzitní licence</t>
  </si>
  <si>
    <t>SPSS univerzitní licence</t>
  </si>
  <si>
    <t>obnova PC vybavení CPS/UPC - nákup cca 150 ks PC</t>
  </si>
  <si>
    <t>Elektronické informační zdroje, knihovní systém Aleph</t>
  </si>
  <si>
    <t>roční podpora EIS Magion, INET, Oracle</t>
  </si>
  <si>
    <t>pozáruční servis hlasové sítě</t>
  </si>
  <si>
    <t>CPS - provoz, energie, opravy, údržba, úklid, ostraha</t>
  </si>
  <si>
    <t>MS Campus licence</t>
  </si>
  <si>
    <t>servisní podpora zařízení páteřní sítě (Cisco)</t>
  </si>
  <si>
    <t>WebLogic - weby MU</t>
  </si>
  <si>
    <t>licence ESRI, budovy/BMS, GIS, Archibus</t>
  </si>
  <si>
    <t>inteligentní budovy,BMS,podpora dostavby UKB, technol.pasport apod.</t>
  </si>
  <si>
    <t xml:space="preserve"> celkem účtováno přes SUKB</t>
  </si>
  <si>
    <t>Přiděleno 1</t>
  </si>
  <si>
    <t>Přínos podle normostud.</t>
  </si>
  <si>
    <t>3 = 1 + 2</t>
  </si>
  <si>
    <t>Přínos</t>
  </si>
  <si>
    <t>po úpravě</t>
  </si>
  <si>
    <t>Převod</t>
  </si>
  <si>
    <t>CJV + CUS</t>
  </si>
  <si>
    <t>Přiděleno 2</t>
  </si>
  <si>
    <t>pův.</t>
  </si>
  <si>
    <t>MU</t>
  </si>
  <si>
    <t>k výměně za IP</t>
  </si>
  <si>
    <t>pův. IP</t>
  </si>
  <si>
    <t>navýšení příspěvku</t>
  </si>
  <si>
    <t>snížení příspěvku</t>
  </si>
  <si>
    <t>CP1</t>
  </si>
  <si>
    <t>pův</t>
  </si>
  <si>
    <t>dle podílu fakult + Ceitec na IP</t>
  </si>
  <si>
    <t>výměny NEI / INV</t>
  </si>
  <si>
    <t xml:space="preserve"> = snížení IP</t>
  </si>
  <si>
    <t>Fakulty + Ceitec MU</t>
  </si>
  <si>
    <t>poměr</t>
  </si>
  <si>
    <t>nová</t>
  </si>
  <si>
    <t>6= 1+2+5</t>
  </si>
  <si>
    <t>10 = 7+8+9</t>
  </si>
  <si>
    <t>11= -2 -5 -8 -9</t>
  </si>
  <si>
    <t>bez GAMU:</t>
  </si>
  <si>
    <t>Centralizace  GA MU</t>
  </si>
  <si>
    <t>Celkem fakulty + Ceitec</t>
  </si>
  <si>
    <t>č.1112</t>
  </si>
  <si>
    <t>změny IP</t>
  </si>
  <si>
    <t>10a</t>
  </si>
  <si>
    <t>10b</t>
  </si>
  <si>
    <t>dle pom. tab.3</t>
  </si>
  <si>
    <r>
      <rPr>
        <sz val="10"/>
        <rFont val="Calibri"/>
        <family val="2"/>
      </rPr>
      <t>Pom. tab. 2 -</t>
    </r>
    <r>
      <rPr>
        <b/>
        <sz val="12"/>
        <rFont val="Calibri"/>
        <family val="2"/>
        <charset val="238"/>
      </rPr>
      <t xml:space="preserve"> Poměr snížených výnosů VaV na celkových snížených výnosech</t>
    </r>
  </si>
  <si>
    <r>
      <rPr>
        <sz val="10"/>
        <rFont val="Calibri"/>
        <family val="2"/>
      </rPr>
      <t>Pom.tab.3 -</t>
    </r>
    <r>
      <rPr>
        <b/>
        <sz val="10"/>
        <rFont val="Calibri"/>
        <family val="2"/>
      </rPr>
      <t xml:space="preserve"> Podklady pro přerozdělení IP a příspěvku mezi fakultami + Ceitec MU a součástmi CTT, ÚVT a RMU</t>
    </r>
  </si>
  <si>
    <r>
      <t xml:space="preserve">Hodnocení výsledků </t>
    </r>
    <r>
      <rPr>
        <sz val="10"/>
        <color indexed="8"/>
        <rFont val="Calibri"/>
        <family val="2"/>
      </rPr>
      <t>v bodech</t>
    </r>
  </si>
  <si>
    <r>
      <t xml:space="preserve">dohodnuté převody </t>
    </r>
    <r>
      <rPr>
        <sz val="10"/>
        <color indexed="8"/>
        <rFont val="Calibri"/>
        <family val="2"/>
      </rPr>
      <t>v bodech</t>
    </r>
  </si>
  <si>
    <r>
      <t>IV. Výpočet přínosu - normativní prostředky celkem</t>
    </r>
    <r>
      <rPr>
        <sz val="12"/>
        <rFont val="Calibri"/>
        <family val="2"/>
        <charset val="238"/>
      </rPr>
      <t xml:space="preserve"> </t>
    </r>
  </si>
  <si>
    <r>
      <t xml:space="preserve">V. Financování celouniverzitních aktivit a režijních pracovišť </t>
    </r>
    <r>
      <rPr>
        <sz val="10"/>
        <rFont val="Calibri"/>
        <family val="2"/>
      </rPr>
      <t>(v tis. Kč)</t>
    </r>
  </si>
  <si>
    <r>
      <t xml:space="preserve">   </t>
    </r>
    <r>
      <rPr>
        <sz val="8"/>
        <rFont val="Calibri"/>
        <family val="2"/>
      </rPr>
      <t>výměna NEI příspěvku za příspěvek na kapitálové výdaje+spoluf. OP VaVpI PO4</t>
    </r>
  </si>
  <si>
    <r>
      <t xml:space="preserve">   financování nedotačních odpisů fakult </t>
    </r>
    <r>
      <rPr>
        <sz val="9"/>
        <rFont val="Calibri"/>
        <family val="2"/>
      </rPr>
      <t>(odpisy majetku, který nebyl pořízen z dotace)</t>
    </r>
  </si>
  <si>
    <r>
      <t xml:space="preserve">Příspěvek 1. Celkem  MV1 </t>
    </r>
    <r>
      <rPr>
        <sz val="10"/>
        <rFont val="Calibri"/>
        <family val="2"/>
      </rPr>
      <t>(Příloha 1)</t>
    </r>
  </si>
  <si>
    <r>
      <t xml:space="preserve">   K rozdělení fakultám včetně CUS + CJV</t>
    </r>
    <r>
      <rPr>
        <sz val="10"/>
        <rFont val="Calibri"/>
        <family val="2"/>
      </rPr>
      <t>(ř.14-ř.15-ř.16)</t>
    </r>
  </si>
  <si>
    <r>
      <t xml:space="preserve">CA </t>
    </r>
    <r>
      <rPr>
        <i/>
        <vertAlign val="superscript"/>
        <sz val="10"/>
        <rFont val="Calibri"/>
        <family val="2"/>
      </rPr>
      <t>*)</t>
    </r>
  </si>
  <si>
    <r>
      <t xml:space="preserve">a) Rozpis příspěvku a a institucionální podpory VaV na příslušná hosp.střediska (HS) </t>
    </r>
    <r>
      <rPr>
        <sz val="10"/>
        <rFont val="Calibri"/>
        <family val="2"/>
      </rPr>
      <t>- bez rozpisu centralizovaných prostředků (CP)</t>
    </r>
  </si>
  <si>
    <r>
      <t xml:space="preserve">b) Rozpis příspěvku a institucionální podpory VaV </t>
    </r>
    <r>
      <rPr>
        <sz val="10"/>
        <rFont val="Calibri"/>
        <family val="2"/>
      </rPr>
      <t>včetně rozpisu centralizovaných prostředků na příslušná HS</t>
    </r>
  </si>
  <si>
    <t>zaokr.</t>
  </si>
  <si>
    <t>Prof. + doc. v tis. Kč</t>
  </si>
  <si>
    <t>Cizinci v tis. Kč</t>
  </si>
  <si>
    <t>10</t>
  </si>
  <si>
    <t>Po zokr.</t>
  </si>
  <si>
    <t>č. 1111</t>
  </si>
  <si>
    <r>
      <t>č.</t>
    </r>
    <r>
      <rPr>
        <sz val="9"/>
        <color indexed="10"/>
        <rFont val="Calibri"/>
        <family val="2"/>
      </rPr>
      <t xml:space="preserve">1112 </t>
    </r>
    <r>
      <rPr>
        <sz val="9"/>
        <rFont val="Calibri"/>
        <family val="2"/>
      </rPr>
      <t>/ 1111</t>
    </r>
  </si>
  <si>
    <t>č.1111</t>
  </si>
  <si>
    <t>*včetně nedot.odpisů</t>
  </si>
  <si>
    <t>Fakulty celkem</t>
  </si>
  <si>
    <t>Režijní prac.</t>
  </si>
  <si>
    <r>
      <t xml:space="preserve">rež.prac. </t>
    </r>
    <r>
      <rPr>
        <i/>
        <sz val="10"/>
        <rFont val="Calibri"/>
        <family val="2"/>
      </rPr>
      <t>bez CA (CP2)</t>
    </r>
  </si>
  <si>
    <t>kontrola:</t>
  </si>
  <si>
    <t>K          celkem  v tis. Kč (sl.1+2+3+4+5+6+7+8+9+10)</t>
  </si>
  <si>
    <t>Služby CrossRef, koordinace DOI na MU</t>
  </si>
  <si>
    <t>nájem FF (Údolní 53)</t>
  </si>
  <si>
    <t>studie, oceňování nemovitostí</t>
  </si>
  <si>
    <t>ASPI + Občanský zákoník</t>
  </si>
  <si>
    <t>ochrana duševního vlastnictví (vč.udržovacích popl.)</t>
  </si>
  <si>
    <t>galerijní pedagogika</t>
  </si>
  <si>
    <t>stěhování do UKB</t>
  </si>
  <si>
    <t>plošné snížení nákladů ÚVT</t>
  </si>
  <si>
    <t>licence budovy / BMS - roční údržba</t>
  </si>
  <si>
    <t>podpora dostavby UKB a souvis. Náklady</t>
  </si>
  <si>
    <t>rozvoj koncepce  Facility mangementu</t>
  </si>
  <si>
    <t>vybavení a provoz. Laboratoří BMS</t>
  </si>
  <si>
    <t xml:space="preserve"> celkem účtováno přes CEITEC CŘS</t>
  </si>
  <si>
    <t>kurzy češtiny</t>
  </si>
  <si>
    <t xml:space="preserve"> celkem účtováno přes CZS</t>
  </si>
  <si>
    <t xml:space="preserve"> celkem účtováno přes FF</t>
  </si>
  <si>
    <t>závazek MU vůči FMN - tvorba fondu na opravy (1% z FMN ročně)-Telč</t>
  </si>
  <si>
    <t>rozdělovaná částka</t>
  </si>
  <si>
    <t xml:space="preserve"> Ceitec CŘS</t>
  </si>
  <si>
    <t>IRP</t>
  </si>
  <si>
    <t>MV - výměna NEI na INV a dotaci na OP VaVpI</t>
  </si>
  <si>
    <t>výměna NIV/INV + VaVpI</t>
  </si>
  <si>
    <r>
      <t>c) Rozpis příspěvku a IP</t>
    </r>
    <r>
      <rPr>
        <b/>
        <sz val="10"/>
        <color indexed="10"/>
        <rFont val="Calibri"/>
        <family val="2"/>
        <charset val="238"/>
      </rPr>
      <t xml:space="preserve"> konečný </t>
    </r>
    <r>
      <rPr>
        <b/>
        <sz val="10"/>
        <rFont val="Calibri"/>
        <family val="2"/>
      </rPr>
      <t>- po přerozdělení mezi fakultami + Ceitec MU a součástmi CTT, ÚVT a RMU</t>
    </r>
  </si>
  <si>
    <t>PŘÍSPĚVEK CELKEM</t>
  </si>
  <si>
    <t>Přerozdělení IRP</t>
  </si>
  <si>
    <t>č.č. 1111</t>
  </si>
  <si>
    <t>NEI OPRAVY - PLÁN (tis. Kč)</t>
  </si>
  <si>
    <t>opravy</t>
  </si>
  <si>
    <t>0 (*)</t>
  </si>
  <si>
    <t>(*) budou hrazeny z FRIM RMU</t>
  </si>
  <si>
    <t>č.č. 1182</t>
  </si>
  <si>
    <t>č.č. 1112</t>
  </si>
  <si>
    <t>č.č. 2112</t>
  </si>
  <si>
    <t>z toho RMU</t>
  </si>
  <si>
    <t>3a</t>
  </si>
  <si>
    <t>3b</t>
  </si>
  <si>
    <t>3c</t>
  </si>
  <si>
    <t>3d</t>
  </si>
  <si>
    <t>3e</t>
  </si>
  <si>
    <t>3f</t>
  </si>
  <si>
    <t>3g</t>
  </si>
  <si>
    <t>3h</t>
  </si>
  <si>
    <t>3i</t>
  </si>
  <si>
    <t>3j</t>
  </si>
  <si>
    <t>3k</t>
  </si>
  <si>
    <t>3l</t>
  </si>
  <si>
    <t>FAKULTY CELKEM</t>
  </si>
  <si>
    <t>FR MU</t>
  </si>
  <si>
    <t>č.č. 1183</t>
  </si>
  <si>
    <t>GAMU (odbor VaV)</t>
  </si>
  <si>
    <t>FR MU (odbor rozvoje)</t>
  </si>
  <si>
    <t>Příspěvek 111*</t>
  </si>
  <si>
    <t>IRP*</t>
  </si>
  <si>
    <t>1008</t>
  </si>
  <si>
    <t>1009</t>
  </si>
  <si>
    <t>1012</t>
  </si>
  <si>
    <t>1014</t>
  </si>
  <si>
    <t>1015</t>
  </si>
  <si>
    <t>1016</t>
  </si>
  <si>
    <t>1017</t>
  </si>
  <si>
    <t>1019</t>
  </si>
  <si>
    <t>1020</t>
  </si>
  <si>
    <t>1021</t>
  </si>
  <si>
    <t>1023</t>
  </si>
  <si>
    <t>1024</t>
  </si>
  <si>
    <t>1025</t>
  </si>
  <si>
    <t>1026</t>
  </si>
  <si>
    <t>1028</t>
  </si>
  <si>
    <t>1027</t>
  </si>
  <si>
    <t>1029</t>
  </si>
  <si>
    <t>1032</t>
  </si>
  <si>
    <t>1037</t>
  </si>
  <si>
    <t>1040</t>
  </si>
  <si>
    <t>1052</t>
  </si>
  <si>
    <t>1053</t>
  </si>
  <si>
    <t>1060</t>
  </si>
  <si>
    <t>1061</t>
  </si>
  <si>
    <t>1062</t>
  </si>
  <si>
    <t>1063</t>
  </si>
  <si>
    <t>1064</t>
  </si>
  <si>
    <t>1074</t>
  </si>
  <si>
    <t>1055</t>
  </si>
  <si>
    <t>1075</t>
  </si>
  <si>
    <t>1078</t>
  </si>
  <si>
    <t>pronájem licence EES pro MU</t>
  </si>
  <si>
    <t>1081</t>
  </si>
  <si>
    <t>1084</t>
  </si>
  <si>
    <t>1085</t>
  </si>
  <si>
    <t>nová zak.</t>
  </si>
  <si>
    <t>1086</t>
  </si>
  <si>
    <t>1088</t>
  </si>
  <si>
    <t>1105</t>
  </si>
  <si>
    <t>1403</t>
  </si>
  <si>
    <t>1054</t>
  </si>
  <si>
    <t>nová zak</t>
  </si>
  <si>
    <t xml:space="preserve"> celkem účtováno přes FSS</t>
  </si>
  <si>
    <t>poplatek INTERGRAM - Rádio R</t>
  </si>
  <si>
    <t xml:space="preserve"> celkem účtováno přes CEITEC MU</t>
  </si>
  <si>
    <t>ERA CHAIR</t>
  </si>
  <si>
    <t>skupina dr. Říhy</t>
  </si>
  <si>
    <t xml:space="preserve"> celkem účtováno přes SKM</t>
  </si>
  <si>
    <t>reko odpady a soc.zař. (Gorkého + Jaselská)</t>
  </si>
  <si>
    <t>oprava podatikového střešního límce</t>
  </si>
  <si>
    <t>oprava krytiny střechy</t>
  </si>
  <si>
    <t>plavecké centrum Campus - studie</t>
  </si>
  <si>
    <t>výměna podlahy v jídelně</t>
  </si>
  <si>
    <t>výměna oken</t>
  </si>
  <si>
    <t>oprava zborcené kanalizace botanické zahrady + předláždění</t>
  </si>
  <si>
    <t>rekonstrukce chodby IV.NP - spojené neinvestice</t>
  </si>
  <si>
    <t>oprava chodby - studijní odbor- podhledy, omítky</t>
  </si>
  <si>
    <t>oprava výměnou - 2ks vnitřních požárních dveří v 3.a 4.NP- schodiště 1</t>
  </si>
  <si>
    <t>114*, 115*, 118*,</t>
  </si>
  <si>
    <t>114*, 115*, 118*</t>
  </si>
  <si>
    <t>117*, 12*</t>
  </si>
  <si>
    <t>zakázka</t>
  </si>
  <si>
    <t>OEF</t>
  </si>
  <si>
    <t>KQ</t>
  </si>
  <si>
    <t>StudO</t>
  </si>
  <si>
    <t>OPR</t>
  </si>
  <si>
    <t>OAZ</t>
  </si>
  <si>
    <t>personální poradenství (překlady, inzerce, poradenství apod.)</t>
  </si>
  <si>
    <t>TO</t>
  </si>
  <si>
    <r>
      <t xml:space="preserve"> IP - 1 2015 </t>
    </r>
    <r>
      <rPr>
        <sz val="10"/>
        <color indexed="8"/>
        <rFont val="Calibri"/>
        <family val="2"/>
      </rPr>
      <t>v tis. Kč</t>
    </r>
  </si>
  <si>
    <t>NEI v PROGRAMU - PLÁN (tis. Kč)</t>
  </si>
  <si>
    <t>podpora dostavby UKB - SUKB</t>
  </si>
  <si>
    <t>Rekonstrukce knihovny právnické fakulty, Veveří</t>
  </si>
  <si>
    <t>VaV</t>
  </si>
  <si>
    <t>vzděl.</t>
  </si>
  <si>
    <t>Odbor</t>
  </si>
  <si>
    <t>koef.</t>
  </si>
  <si>
    <t>meziroční srovnání</t>
  </si>
  <si>
    <t>ROK 2014 - skutečnost</t>
  </si>
  <si>
    <t>Typ</t>
  </si>
  <si>
    <t>HS</t>
  </si>
  <si>
    <t>99 RMU</t>
  </si>
  <si>
    <t>∑</t>
  </si>
  <si>
    <t>71 CEITEC</t>
  </si>
  <si>
    <t>81 SKM</t>
  </si>
  <si>
    <t>83 UCT</t>
  </si>
  <si>
    <t>84 SPSSN</t>
  </si>
  <si>
    <t>85 IBA</t>
  </si>
  <si>
    <t>87 CTT</t>
  </si>
  <si>
    <t>92 ÚVT</t>
  </si>
  <si>
    <t>96 CJV</t>
  </si>
  <si>
    <t>97 CZS</t>
  </si>
  <si>
    <t>79 CŘS</t>
  </si>
  <si>
    <t>82 SUKB</t>
  </si>
  <si>
    <t>41 PdF</t>
  </si>
  <si>
    <t>23 FSS</t>
  </si>
  <si>
    <t>31 PřF</t>
  </si>
  <si>
    <t>33 FI</t>
  </si>
  <si>
    <t>51 FSpS</t>
  </si>
  <si>
    <t>21 FF</t>
  </si>
  <si>
    <t xml:space="preserve">Financování odpisů </t>
  </si>
  <si>
    <t>provoz UCT</t>
  </si>
  <si>
    <t>provoz CEITEC MU</t>
  </si>
  <si>
    <t>provoz CEITEC CŘS</t>
  </si>
  <si>
    <t>provoz SKM</t>
  </si>
  <si>
    <t>provoz SUKB</t>
  </si>
  <si>
    <t>provoz SPSSN</t>
  </si>
  <si>
    <t>provoz IBA</t>
  </si>
  <si>
    <t>provoz CTT</t>
  </si>
  <si>
    <t>provoz ÚVT</t>
  </si>
  <si>
    <t>provoz CJV</t>
  </si>
  <si>
    <t>provoz CZS</t>
  </si>
  <si>
    <t>provoz RMU</t>
  </si>
  <si>
    <t>mezisoučet CP1</t>
  </si>
  <si>
    <t>mezisoučet CP2</t>
  </si>
  <si>
    <r>
      <t xml:space="preserve"> IP - 2 2015 </t>
    </r>
    <r>
      <rPr>
        <sz val="10"/>
        <color indexed="8"/>
        <rFont val="Calibri"/>
        <family val="2"/>
      </rPr>
      <t>v tis. Kč</t>
    </r>
  </si>
  <si>
    <t>mezisoučet MV</t>
  </si>
  <si>
    <r>
      <t xml:space="preserve">Hosp.středisko: </t>
    </r>
    <r>
      <rPr>
        <sz val="10"/>
        <color indexed="12"/>
        <rFont val="Calibri"/>
        <family val="2"/>
      </rPr>
      <t/>
    </r>
  </si>
  <si>
    <t>Náklady celkem (ř.2+14až23)</t>
  </si>
  <si>
    <t>13a</t>
  </si>
  <si>
    <t>13b</t>
  </si>
  <si>
    <t>Strukturální fondy aj.proj.spoluf.EU</t>
  </si>
  <si>
    <t>Výnosy celkem (ř.25 až 39)</t>
  </si>
  <si>
    <t>Hospodářský výsledek dílčí (ř.25+29+33+37+38+39-2-23)</t>
  </si>
  <si>
    <t>Hospodářský výsledek (ř.24-1)</t>
  </si>
  <si>
    <t>Příspěvek na nedotační odpisy plánujte ve výnosech na ř. 25 (výnos je součástí rozpisu rozdělení příspěvku na HS, č.č.1112), náklad je součástí celkových nákladů na účetní odpisy na ř.11)</t>
  </si>
  <si>
    <t>Náklady na dotační odpisy plánujte na ř. 11, odpovídající částku účtovanou dle vyhl.504 do výnosů plánujte na ř. 37.</t>
  </si>
  <si>
    <t>Prostředky získané ze SR jako spolupříjemci (partneři) dotačních projektů plánujte - projekty VaV na ř. 22 a 36, ostatní na ř. 19 a 32.</t>
  </si>
  <si>
    <t>Evaluace VaV na MU</t>
  </si>
  <si>
    <t>Akademický senát</t>
  </si>
  <si>
    <t>mezisoučet MV+CP1+CP2</t>
  </si>
  <si>
    <t>mezisoučty pro podrobnosti pracovišť</t>
  </si>
  <si>
    <t xml:space="preserve">               RMU - odvod</t>
  </si>
  <si>
    <t>správa budov Tvrdého 14</t>
  </si>
  <si>
    <t>1087</t>
  </si>
  <si>
    <t>1091</t>
  </si>
  <si>
    <t>*GA MU - centralizace</t>
  </si>
  <si>
    <t>tis. Kč</t>
  </si>
  <si>
    <t>součet ř.24  až 26</t>
  </si>
  <si>
    <r>
      <t xml:space="preserve">MU celkem </t>
    </r>
    <r>
      <rPr>
        <i/>
        <sz val="10"/>
        <rFont val="Calibri"/>
        <family val="2"/>
      </rPr>
      <t>(ř.10+23+27)</t>
    </r>
  </si>
  <si>
    <t>režijní prac.(ř.39 až 50)</t>
  </si>
  <si>
    <t>režijní prac.(ř.64 až 75)</t>
  </si>
  <si>
    <t>1073</t>
  </si>
  <si>
    <t>1005</t>
  </si>
  <si>
    <t>1006</t>
  </si>
  <si>
    <t xml:space="preserve">MV + CP1 </t>
  </si>
  <si>
    <t>přiděleno</t>
  </si>
  <si>
    <t>přiděleno bez CP1</t>
  </si>
  <si>
    <t xml:space="preserve">nové </t>
  </si>
  <si>
    <t xml:space="preserve"> nové</t>
  </si>
  <si>
    <t xml:space="preserve"> CP1 *</t>
  </si>
  <si>
    <t>CP1*</t>
  </si>
  <si>
    <t>12 = 3 + 11</t>
  </si>
  <si>
    <t>podíl na odvodech</t>
  </si>
  <si>
    <t>ÚSTAVY CELKEM</t>
  </si>
  <si>
    <t>1182+1183</t>
  </si>
  <si>
    <t>podklad k zaokr. pro rozpis</t>
  </si>
  <si>
    <t>č.č. 4769</t>
  </si>
  <si>
    <t>program NEI spolufinancování (3,6 mil. PrF)</t>
  </si>
  <si>
    <t>RR (rezerva rektora)</t>
  </si>
  <si>
    <t>bez GAMU, FR MU a RR</t>
  </si>
  <si>
    <t>část projektů souvisí s vědeckou činností</t>
  </si>
  <si>
    <t>jako v předchozím roce</t>
  </si>
  <si>
    <r>
      <t>(</t>
    </r>
    <r>
      <rPr>
        <sz val="10"/>
        <rFont val="Calibri"/>
        <family val="2"/>
        <charset val="238"/>
      </rPr>
      <t>z příspěvku MŠMT na ukazatel A+K a z IP na rozvoj) - v tis. Kč</t>
    </r>
  </si>
  <si>
    <r>
      <t>CP1</t>
    </r>
    <r>
      <rPr>
        <sz val="8"/>
        <color indexed="9"/>
        <rFont val="Calibri"/>
        <family val="2"/>
        <charset val="238"/>
      </rPr>
      <t xml:space="preserve"> (č.č.1112)</t>
    </r>
  </si>
  <si>
    <r>
      <t xml:space="preserve">CP2 Centralizovaná střediska </t>
    </r>
    <r>
      <rPr>
        <sz val="8"/>
        <color indexed="9"/>
        <rFont val="Calibri"/>
        <family val="2"/>
        <charset val="238"/>
      </rPr>
      <t>(č.č. 1111)</t>
    </r>
  </si>
  <si>
    <t>Náklady související s výzkumem. Možné celé hradit z IP</t>
  </si>
  <si>
    <t>Jedná se prakticky jen o vědecké výsledky</t>
  </si>
  <si>
    <t>kancelářský SW</t>
  </si>
  <si>
    <t>stejné % jako u financování provozu CTT</t>
  </si>
  <si>
    <t>zajištění udržitelnosti projektu COV</t>
  </si>
  <si>
    <t>vč.zak. 1083 InCites</t>
  </si>
  <si>
    <t>cesty souvisí také s vědeckou činností</t>
  </si>
  <si>
    <t>rezerva (1% z příspěvku na ukazatel A)</t>
  </si>
  <si>
    <r>
      <t xml:space="preserve">rezerva rektora </t>
    </r>
    <r>
      <rPr>
        <sz val="8"/>
        <rFont val="Calibri"/>
        <family val="2"/>
        <charset val="238"/>
      </rPr>
      <t>(1% z příspěvku MŠMT)</t>
    </r>
  </si>
  <si>
    <t>výměna NEI/INV+ program</t>
  </si>
  <si>
    <t>výměna NEI/INV+VaVpI</t>
  </si>
  <si>
    <t>Přerozdělení části IRP na fakulty 2016</t>
  </si>
  <si>
    <t xml:space="preserve"> z toho
 NEI</t>
  </si>
  <si>
    <t>INV</t>
  </si>
  <si>
    <t>ROK 2015 - skutečnost</t>
  </si>
  <si>
    <t>rok 2016</t>
  </si>
  <si>
    <t>11</t>
  </si>
  <si>
    <t>Nájem pozemky MU</t>
  </si>
  <si>
    <t>1065</t>
  </si>
  <si>
    <t>příprava projektu OP VVV (v r. 2015 Grant Office)</t>
  </si>
  <si>
    <t>1095</t>
  </si>
  <si>
    <t>CPP</t>
  </si>
  <si>
    <t>1096</t>
  </si>
  <si>
    <t>odborná školení MU (BOZP)</t>
  </si>
  <si>
    <t>1089</t>
  </si>
  <si>
    <t>Ceny rektora (dřive součástí GA MU)</t>
  </si>
  <si>
    <t>1123</t>
  </si>
  <si>
    <t>1000+1122</t>
  </si>
  <si>
    <t>100 let dějin MU</t>
  </si>
  <si>
    <t>93 ÚVT</t>
  </si>
  <si>
    <t>CP3</t>
  </si>
  <si>
    <t>94 ÚVT</t>
  </si>
  <si>
    <t>CP4</t>
  </si>
  <si>
    <t>95 ÚVT</t>
  </si>
  <si>
    <t>CP5</t>
  </si>
  <si>
    <t>96 ÚVT</t>
  </si>
  <si>
    <t>služby pro rekonstrukci webu</t>
  </si>
  <si>
    <t>maple upgrade</t>
  </si>
  <si>
    <t>rozšiřování pokrytí bezdrátové sítě</t>
  </si>
  <si>
    <t>obnova staré generace AP v budovách MU</t>
  </si>
  <si>
    <t>* včetně rozdělení 56 572 tis. na fakulty a ústavy, viz list "Rozdělení IRP"</t>
  </si>
  <si>
    <t>oprava střešních oken + střechy 5.NP</t>
  </si>
  <si>
    <t>malá zasedačka AV technika, nábytek</t>
  </si>
  <si>
    <t>oprava stávajících opatření proti vlhkosti v 1.PP</t>
  </si>
  <si>
    <t>oprava opadávající omítky</t>
  </si>
  <si>
    <t>neinvestiční náklady spojené s akcí  zasedací místnost  201</t>
  </si>
  <si>
    <t>Odvod dle výnosů</t>
  </si>
  <si>
    <t>10 = 3 - 9</t>
  </si>
  <si>
    <t>9=6+8</t>
  </si>
  <si>
    <t>Odvod 
celkem</t>
  </si>
  <si>
    <t>Odvod dle ploch (KEN)</t>
  </si>
  <si>
    <t>12 = 10 + 11</t>
  </si>
  <si>
    <t>Odvod dle
 výnosů</t>
  </si>
  <si>
    <t>potřeba CP bez výměny (odvod sl.9 - ř.2)</t>
  </si>
  <si>
    <t>Mandatorní výdaje a financování celouniverzitních aktivit v roce 2017</t>
  </si>
  <si>
    <t>CentrK</t>
  </si>
  <si>
    <t>Podpora zájmové činnosti dětí</t>
  </si>
  <si>
    <t>Energetické audity MU</t>
  </si>
  <si>
    <t xml:space="preserve">Nájem FF Gorkého </t>
  </si>
  <si>
    <t>Jazyková příprava zahraničích studentů MU</t>
  </si>
  <si>
    <t>Symfonický orchestr</t>
  </si>
  <si>
    <t>Provozní náklady - dofinancování NPÚ II</t>
  </si>
  <si>
    <t>věcná břemena / od roku 2017 pronájem kolektorů</t>
  </si>
  <si>
    <t>rekonstrukce a sanace základové zdi uvnitř budovy (Grohova 9)</t>
  </si>
  <si>
    <t>oprava světlíku (Lipová 41a)</t>
  </si>
  <si>
    <t>výměna střešní krytiny dvorní část střechy - var.2 (Komenského nám. 2)</t>
  </si>
  <si>
    <t>nutné úpravy v prostorách  po Unihotelu (Žerotínovo nám. 9)</t>
  </si>
  <si>
    <t>studie  - atletické centrum</t>
  </si>
  <si>
    <t>oprava hydroizolace  střechy na výš. budově A1 (Kamenice)</t>
  </si>
  <si>
    <t>výměna výplně  stavebních otvorů (Botanická 68a)</t>
  </si>
  <si>
    <t>oprava střechy (Veveří 62)</t>
  </si>
  <si>
    <t>oprava soklu (Joštova 10)</t>
  </si>
  <si>
    <t>oprava ochrany proti holubům - atrium (Joštova 10)</t>
  </si>
  <si>
    <t>oprava ochrany proti holubům - vchod (Joštova 10)</t>
  </si>
  <si>
    <t>oprava ležaté kanalizace + dlažba v kuchyni (menza Vinařská)</t>
  </si>
  <si>
    <t>ROK 2016 - skutečnost</t>
  </si>
  <si>
    <t>Celkem fakulty + Ceitec MU</t>
  </si>
  <si>
    <t>Přerozdělení části IRP na fakulty 2017</t>
  </si>
  <si>
    <t>Rezerva</t>
  </si>
  <si>
    <r>
      <t>Rozdělení příspěvku</t>
    </r>
    <r>
      <rPr>
        <b/>
        <vertAlign val="superscript"/>
        <sz val="18"/>
        <rFont val="Calibri"/>
        <family val="2"/>
      </rPr>
      <t xml:space="preserve"> </t>
    </r>
    <r>
      <rPr>
        <b/>
        <sz val="18"/>
        <rFont val="Calibri"/>
        <family val="2"/>
      </rPr>
      <t xml:space="preserve"> MŠMT a institucionální podpory VaV na rok 2017 v rámci MU</t>
    </r>
  </si>
  <si>
    <t>II. Výpočet přínosu fakult na výši příspěvku MŠMT na vzdělávací činnost pro MU na rok 2017</t>
  </si>
  <si>
    <t>III. Výpočet přínosu na institucionální podporu výzkumných organizací (dále IP) pro MU na rok 2017</t>
  </si>
  <si>
    <t>VI. Příspěvek fakult do centralizovaných zdrojů pro účetní období kalendářního roku 2017</t>
  </si>
  <si>
    <t>rok 2017</t>
  </si>
  <si>
    <t>Osnova rozpočtu na rok 2017</t>
  </si>
  <si>
    <t>V Brně 8. 2. 2016</t>
  </si>
  <si>
    <t>SKM*)</t>
  </si>
  <si>
    <r>
      <t>Rozpočet 2017</t>
    </r>
    <r>
      <rPr>
        <b/>
        <sz val="12"/>
        <color indexed="10"/>
        <rFont val="Calibri"/>
        <family val="2"/>
      </rPr>
      <t xml:space="preserve"> (v tis.Kč)</t>
    </r>
  </si>
  <si>
    <t>&lt;doplnit č.HS a název&gt;</t>
  </si>
  <si>
    <r>
      <t xml:space="preserve">111*,117*,12*,152*,153*,157*,159*,167*,169*,19*,211* (bez 2114, </t>
    </r>
    <r>
      <rPr>
        <sz val="8"/>
        <rFont val="Calibri"/>
        <family val="2"/>
        <charset val="238"/>
      </rPr>
      <t>2115, 2116, 2117)</t>
    </r>
    <r>
      <rPr>
        <sz val="8"/>
        <rFont val="Calibri"/>
        <family val="2"/>
        <charset val="238"/>
      </rPr>
      <t>,</t>
    </r>
    <r>
      <rPr>
        <sz val="8"/>
        <rFont val="Calibri"/>
        <family val="2"/>
      </rPr>
      <t xml:space="preserve"> 257*, 259*,267*,269*,4*</t>
    </r>
  </si>
  <si>
    <t>2114, 2115, 2116, 2117, 2125, 2126, 213*, 214*, 2151, 22*</t>
  </si>
  <si>
    <t>2195, 2196, 261*</t>
  </si>
  <si>
    <r>
      <t xml:space="preserve">2114, 2115, 2116, 2117, </t>
    </r>
    <r>
      <rPr>
        <sz val="8"/>
        <rFont val="Calibri"/>
        <family val="2"/>
      </rPr>
      <t xml:space="preserve">2125, 2126, 213*, 214*, 2151, 22*, </t>
    </r>
  </si>
  <si>
    <t>2017/16</t>
  </si>
  <si>
    <t>r o k   2 0 17</t>
  </si>
  <si>
    <t>r o k   2 0 1 6</t>
  </si>
  <si>
    <t>RVH MU</t>
  </si>
  <si>
    <t>Externí příjmy</t>
  </si>
  <si>
    <t>Započítané body RUV v tis. Kč</t>
  </si>
  <si>
    <t xml:space="preserve"> body RUV</t>
  </si>
  <si>
    <t xml:space="preserve"> body RIV (2015)</t>
  </si>
  <si>
    <t>Cizojazyčné práce</t>
  </si>
  <si>
    <t>Externí příjmy v tis. Kč</t>
  </si>
  <si>
    <t>Zaměst. absolventi</t>
  </si>
  <si>
    <t>Zaměst. absolventů v tis. Kč</t>
  </si>
  <si>
    <t>Cizojazyčné práce v tis. Kč</t>
  </si>
  <si>
    <t>Absolventi</t>
  </si>
  <si>
    <t>Absolventi v Kč</t>
  </si>
  <si>
    <t>Vyslaní a přijatí studentodní</t>
  </si>
  <si>
    <t>Vyslaní a přijatí v rámci mobilitních programů v tis. Kč</t>
  </si>
  <si>
    <r>
      <t>Způsob rozdělení vychází z Pravidel sestavování rozpočtu MU pro rok 2017 (Směrnice MU č.</t>
    </r>
    <r>
      <rPr>
        <sz val="10"/>
        <rFont val="Calibri"/>
        <family val="2"/>
      </rPr>
      <t xml:space="preserve"> 1/2017)</t>
    </r>
  </si>
  <si>
    <t>Koordinace strategických projektů</t>
  </si>
  <si>
    <t>fixní část</t>
  </si>
  <si>
    <t>výkonová část</t>
  </si>
  <si>
    <t>Fixní část</t>
  </si>
  <si>
    <t>Výkonová část</t>
  </si>
  <si>
    <t>dle poměru ukazatele A z roku 2016</t>
  </si>
  <si>
    <r>
      <rPr>
        <sz val="12"/>
        <rFont val="Calibri"/>
        <family val="2"/>
        <charset val="238"/>
      </rPr>
      <t>Pom. tab.1  -</t>
    </r>
    <r>
      <rPr>
        <b/>
        <sz val="12"/>
        <rFont val="Calibri"/>
        <family val="2"/>
        <charset val="238"/>
      </rPr>
      <t xml:space="preserve"> Výpočet výkonové části na rok 2017</t>
    </r>
  </si>
  <si>
    <t>CP FPP**</t>
  </si>
  <si>
    <t>** včetně poskytnutých kompenzací</t>
  </si>
  <si>
    <t>K dokrytí z CP FPP</t>
  </si>
  <si>
    <t xml:space="preserve"> </t>
  </si>
  <si>
    <t>(dle výsledků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</si>
</sst>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č_-;\-* #,##0.00\ _K_č_-;_-* &quot;-&quot;??\ _K_č_-;_-@_-"/>
    <numFmt numFmtId="164" formatCode="#,##0.0"/>
    <numFmt numFmtId="165" formatCode="0.000"/>
    <numFmt numFmtId="166" formatCode="#,##0.000"/>
    <numFmt numFmtId="167" formatCode="0.0%"/>
    <numFmt numFmtId="168" formatCode="0.00000"/>
  </numFmts>
  <fonts count="174" x14ac:knownFonts="1">
    <font>
      <sz val="10"/>
      <name val="Arial CE"/>
    </font>
    <font>
      <sz val="10"/>
      <name val="Arial CE"/>
    </font>
    <font>
      <sz val="8"/>
      <name val="Arial CE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Arial"/>
      <family val="2"/>
    </font>
    <font>
      <b/>
      <i/>
      <sz val="16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sz val="18"/>
      <name val="Arial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12"/>
      <name val="Calibri"/>
      <family val="2"/>
      <charset val="238"/>
    </font>
    <font>
      <b/>
      <sz val="18"/>
      <name val="Calibri"/>
      <family val="2"/>
    </font>
    <font>
      <b/>
      <vertAlign val="superscript"/>
      <sz val="18"/>
      <name val="Calibri"/>
      <family val="2"/>
    </font>
    <font>
      <sz val="12"/>
      <name val="Calibri"/>
      <family val="2"/>
      <charset val="238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i/>
      <vertAlign val="superscript"/>
      <sz val="10"/>
      <name val="Calibri"/>
      <family val="2"/>
    </font>
    <font>
      <b/>
      <sz val="10"/>
      <name val="Arial CE"/>
      <charset val="238"/>
    </font>
    <font>
      <b/>
      <sz val="8"/>
      <name val="Arial CE"/>
    </font>
    <font>
      <b/>
      <sz val="10"/>
      <color indexed="10"/>
      <name val="Calibri"/>
      <family val="2"/>
      <charset val="238"/>
    </font>
    <font>
      <sz val="8"/>
      <name val="Arial CE"/>
    </font>
    <font>
      <i/>
      <sz val="8"/>
      <name val="Arial CE"/>
      <charset val="238"/>
    </font>
    <font>
      <i/>
      <sz val="10"/>
      <name val="Arial CE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name val="Calibri"/>
      <family val="2"/>
      <charset val="238"/>
    </font>
    <font>
      <sz val="8"/>
      <name val="Arial"/>
      <family val="2"/>
      <charset val="238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0"/>
      <name val="Arial"/>
      <family val="2"/>
      <charset val="238"/>
    </font>
    <font>
      <sz val="10"/>
      <name val="Calibri"/>
      <family val="2"/>
      <charset val="238"/>
    </font>
    <font>
      <sz val="8"/>
      <color indexed="9"/>
      <name val="Calibri"/>
      <family val="2"/>
      <charset val="238"/>
    </font>
    <font>
      <b/>
      <sz val="12"/>
      <color indexed="1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8"/>
      <color indexed="9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8"/>
      <name val="Calibri"/>
      <family val="2"/>
      <scheme val="minor"/>
    </font>
    <font>
      <sz val="8"/>
      <color indexed="18"/>
      <name val="Calibri"/>
      <family val="2"/>
      <scheme val="minor"/>
    </font>
    <font>
      <sz val="7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i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i/>
      <vertAlign val="superscript"/>
      <sz val="9"/>
      <name val="Calibri"/>
      <family val="2"/>
      <scheme val="minor"/>
    </font>
    <font>
      <i/>
      <sz val="8"/>
      <color indexed="10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indexed="59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8"/>
      <color indexed="12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10"/>
      <color indexed="12"/>
      <name val="Calibri"/>
      <family val="2"/>
      <scheme val="minor"/>
    </font>
    <font>
      <i/>
      <sz val="10"/>
      <color indexed="21"/>
      <name val="Calibri"/>
      <family val="2"/>
      <scheme val="minor"/>
    </font>
    <font>
      <sz val="9"/>
      <color indexed="12"/>
      <name val="Calibri"/>
      <family val="2"/>
      <scheme val="minor"/>
    </font>
    <font>
      <vertAlign val="superscript"/>
      <sz val="10"/>
      <color indexed="12"/>
      <name val="Calibri"/>
      <family val="2"/>
      <scheme val="minor"/>
    </font>
    <font>
      <i/>
      <sz val="10"/>
      <color indexed="9"/>
      <name val="Calibri"/>
      <family val="2"/>
      <scheme val="minor"/>
    </font>
    <font>
      <i/>
      <vertAlign val="superscript"/>
      <sz val="10"/>
      <color indexed="9"/>
      <name val="Calibri"/>
      <family val="2"/>
      <scheme val="minor"/>
    </font>
    <font>
      <i/>
      <sz val="10"/>
      <color indexed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b/>
      <sz val="10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6"/>
      <color theme="0" tint="-0.14999847407452621"/>
      <name val="Calibri"/>
      <family val="2"/>
      <charset val="238"/>
      <scheme val="minor"/>
    </font>
    <font>
      <b/>
      <sz val="16"/>
      <color theme="0" tint="-0.499984740745262"/>
      <name val="Calibri"/>
      <family val="2"/>
      <charset val="238"/>
      <scheme val="minor"/>
    </font>
    <font>
      <sz val="16"/>
      <color theme="4" tint="-0.249977111117893"/>
      <name val="Calibri"/>
      <family val="2"/>
      <charset val="238"/>
      <scheme val="minor"/>
    </font>
    <font>
      <sz val="16"/>
      <color theme="0" tint="-0.49998474074526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color rgb="FF0033CC"/>
      <name val="Calibri"/>
      <family val="2"/>
      <scheme val="minor"/>
    </font>
    <font>
      <b/>
      <i/>
      <sz val="10"/>
      <color indexed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vertAlign val="superscript"/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indexed="9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sz val="8"/>
      <color indexed="9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indexed="10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i/>
      <sz val="8"/>
      <color rgb="FF0070C0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8"/>
      <color indexed="10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sz val="8"/>
      <color theme="4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sz val="10"/>
      <color indexed="9"/>
      <name val="Calibri"/>
      <family val="2"/>
      <charset val="238"/>
      <scheme val="minor"/>
    </font>
    <font>
      <sz val="8"/>
      <color theme="3" tint="0.39997558519241921"/>
      <name val="Calibri"/>
      <family val="2"/>
      <charset val="238"/>
      <scheme val="minor"/>
    </font>
    <font>
      <sz val="9"/>
      <color theme="3" tint="0.39997558519241921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55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rgb="FF0000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1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/>
      <top/>
      <bottom style="thin">
        <color theme="4" tint="0.79995117038483843"/>
      </bottom>
      <diagonal/>
    </border>
    <border>
      <left/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/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20651875362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/>
      <top style="thin">
        <color indexed="64"/>
      </top>
      <bottom style="medium">
        <color rgb="FF00206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/>
      <bottom style="medium">
        <color rgb="FF002060"/>
      </bottom>
      <diagonal/>
    </border>
    <border>
      <left style="thin">
        <color indexed="64"/>
      </left>
      <right style="medium">
        <color indexed="64"/>
      </right>
      <top/>
      <bottom style="medium">
        <color rgb="FF002060"/>
      </bottom>
      <diagonal/>
    </border>
    <border>
      <left style="medium">
        <color indexed="64"/>
      </left>
      <right style="thin">
        <color indexed="64"/>
      </right>
      <top/>
      <bottom style="medium">
        <color rgb="FF002060"/>
      </bottom>
      <diagonal/>
    </border>
    <border>
      <left/>
      <right/>
      <top style="thin">
        <color theme="4" tint="0.79995117038483843"/>
      </top>
      <bottom style="thin">
        <color theme="4" tint="0.7999511703848384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</borders>
  <cellStyleXfs count="100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43" fontId="3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9" borderId="2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3" fillId="8" borderId="6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3" borderId="8" applyNumberFormat="0" applyAlignment="0" applyProtection="0"/>
    <xf numFmtId="0" fontId="21" fillId="13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3" borderId="0" applyNumberFormat="0" applyBorder="0" applyAlignment="0" applyProtection="0"/>
  </cellStyleXfs>
  <cellXfs count="1663">
    <xf numFmtId="0" fontId="0" fillId="0" borderId="0" xfId="0"/>
    <xf numFmtId="0" fontId="3" fillId="0" borderId="0" xfId="50"/>
    <xf numFmtId="0" fontId="23" fillId="0" borderId="0" xfId="50" applyFont="1"/>
    <xf numFmtId="0" fontId="23" fillId="0" borderId="0" xfId="50" applyFont="1" applyAlignment="1">
      <alignment horizontal="center"/>
    </xf>
    <xf numFmtId="0" fontId="23" fillId="0" borderId="0" xfId="50" applyFont="1" applyFill="1"/>
    <xf numFmtId="0" fontId="3" fillId="0" borderId="0" xfId="50" applyFill="1"/>
    <xf numFmtId="0" fontId="26" fillId="0" borderId="0" xfId="50" applyFont="1" applyFill="1" applyAlignment="1">
      <alignment horizontal="left" vertical="justify"/>
    </xf>
    <xf numFmtId="0" fontId="25" fillId="0" borderId="0" xfId="50" applyFont="1" applyFill="1"/>
    <xf numFmtId="0" fontId="3" fillId="0" borderId="0" xfId="50" applyFont="1" applyAlignment="1">
      <alignment horizontal="center"/>
    </xf>
    <xf numFmtId="0" fontId="3" fillId="0" borderId="0" xfId="50" applyFont="1"/>
    <xf numFmtId="0" fontId="3" fillId="0" borderId="0" xfId="50" applyFont="1" applyFill="1"/>
    <xf numFmtId="0" fontId="24" fillId="0" borderId="0" xfId="50" applyFont="1" applyFill="1" applyAlignment="1">
      <alignment horizontal="left" vertical="justify"/>
    </xf>
    <xf numFmtId="0" fontId="58" fillId="0" borderId="0" xfId="0" applyFont="1"/>
    <xf numFmtId="0" fontId="59" fillId="0" borderId="0" xfId="0" applyFont="1"/>
    <xf numFmtId="0" fontId="60" fillId="0" borderId="0" xfId="0" applyFont="1"/>
    <xf numFmtId="4" fontId="59" fillId="0" borderId="10" xfId="0" applyNumberFormat="1" applyFont="1" applyBorder="1"/>
    <xf numFmtId="3" fontId="59" fillId="0" borderId="10" xfId="0" applyNumberFormat="1" applyFont="1" applyFill="1" applyBorder="1"/>
    <xf numFmtId="0" fontId="61" fillId="0" borderId="11" xfId="0" applyFont="1" applyFill="1" applyBorder="1"/>
    <xf numFmtId="3" fontId="62" fillId="36" borderId="10" xfId="0" applyNumberFormat="1" applyFont="1" applyFill="1" applyBorder="1"/>
    <xf numFmtId="3" fontId="62" fillId="0" borderId="10" xfId="0" applyNumberFormat="1" applyFont="1" applyFill="1" applyBorder="1"/>
    <xf numFmtId="3" fontId="62" fillId="0" borderId="10" xfId="0" applyNumberFormat="1" applyFont="1" applyBorder="1"/>
    <xf numFmtId="3" fontId="62" fillId="37" borderId="10" xfId="0" applyNumberFormat="1" applyFont="1" applyFill="1" applyBorder="1"/>
    <xf numFmtId="0" fontId="61" fillId="0" borderId="0" xfId="0" applyFont="1"/>
    <xf numFmtId="3" fontId="63" fillId="0" borderId="10" xfId="0" applyNumberFormat="1" applyFont="1" applyBorder="1"/>
    <xf numFmtId="0" fontId="27" fillId="0" borderId="0" xfId="50" applyFont="1"/>
    <xf numFmtId="4" fontId="61" fillId="0" borderId="0" xfId="0" applyNumberFormat="1" applyFont="1" applyFill="1" applyBorder="1"/>
    <xf numFmtId="3" fontId="63" fillId="0" borderId="12" xfId="0" applyNumberFormat="1" applyFont="1" applyBorder="1"/>
    <xf numFmtId="0" fontId="64" fillId="0" borderId="13" xfId="0" applyFont="1" applyBorder="1"/>
    <xf numFmtId="0" fontId="64" fillId="0" borderId="14" xfId="0" applyFont="1" applyBorder="1" applyAlignment="1">
      <alignment horizontal="center" wrapText="1"/>
    </xf>
    <xf numFmtId="0" fontId="64" fillId="0" borderId="14" xfId="0" applyFont="1" applyFill="1" applyBorder="1" applyAlignment="1">
      <alignment horizontal="center" wrapText="1"/>
    </xf>
    <xf numFmtId="0" fontId="59" fillId="0" borderId="15" xfId="0" applyFont="1" applyBorder="1"/>
    <xf numFmtId="3" fontId="65" fillId="38" borderId="16" xfId="0" applyNumberFormat="1" applyFont="1" applyFill="1" applyBorder="1"/>
    <xf numFmtId="0" fontId="64" fillId="0" borderId="17" xfId="0" applyFont="1" applyFill="1" applyBorder="1"/>
    <xf numFmtId="4" fontId="64" fillId="0" borderId="18" xfId="0" applyNumberFormat="1" applyFont="1" applyBorder="1"/>
    <xf numFmtId="10" fontId="64" fillId="0" borderId="18" xfId="0" applyNumberFormat="1" applyFont="1" applyBorder="1"/>
    <xf numFmtId="3" fontId="64" fillId="0" borderId="18" xfId="0" applyNumberFormat="1" applyFont="1" applyBorder="1"/>
    <xf numFmtId="0" fontId="66" fillId="39" borderId="15" xfId="0" applyFont="1" applyFill="1" applyBorder="1" applyAlignment="1">
      <alignment wrapText="1"/>
    </xf>
    <xf numFmtId="0" fontId="62" fillId="36" borderId="15" xfId="0" applyFont="1" applyFill="1" applyBorder="1" applyAlignment="1">
      <alignment horizontal="left"/>
    </xf>
    <xf numFmtId="0" fontId="62" fillId="0" borderId="15" xfId="0" applyFont="1" applyBorder="1" applyAlignment="1">
      <alignment horizontal="left"/>
    </xf>
    <xf numFmtId="0" fontId="62" fillId="0" borderId="15" xfId="0" applyFont="1" applyFill="1" applyBorder="1" applyAlignment="1">
      <alignment horizontal="left"/>
    </xf>
    <xf numFmtId="0" fontId="66" fillId="39" borderId="19" xfId="0" applyFont="1" applyFill="1" applyBorder="1" applyAlignment="1">
      <alignment horizontal="left"/>
    </xf>
    <xf numFmtId="3" fontId="66" fillId="39" borderId="20" xfId="0" applyNumberFormat="1" applyFont="1" applyFill="1" applyBorder="1"/>
    <xf numFmtId="0" fontId="67" fillId="0" borderId="0" xfId="0" applyFont="1"/>
    <xf numFmtId="0" fontId="64" fillId="40" borderId="21" xfId="0" applyFont="1" applyFill="1" applyBorder="1" applyAlignment="1">
      <alignment horizontal="center" wrapText="1"/>
    </xf>
    <xf numFmtId="3" fontId="59" fillId="40" borderId="22" xfId="0" applyNumberFormat="1" applyFont="1" applyFill="1" applyBorder="1"/>
    <xf numFmtId="3" fontId="64" fillId="40" borderId="23" xfId="0" applyNumberFormat="1" applyFont="1" applyFill="1" applyBorder="1"/>
    <xf numFmtId="0" fontId="68" fillId="0" borderId="0" xfId="0" applyFont="1"/>
    <xf numFmtId="0" fontId="68" fillId="0" borderId="24" xfId="0" applyFont="1" applyBorder="1" applyAlignment="1">
      <alignment horizontal="center"/>
    </xf>
    <xf numFmtId="0" fontId="68" fillId="0" borderId="25" xfId="0" applyFont="1" applyBorder="1" applyAlignment="1">
      <alignment horizontal="center"/>
    </xf>
    <xf numFmtId="0" fontId="68" fillId="0" borderId="26" xfId="0" applyFont="1" applyBorder="1" applyAlignment="1">
      <alignment horizontal="center"/>
    </xf>
    <xf numFmtId="0" fontId="68" fillId="0" borderId="27" xfId="0" applyFont="1" applyBorder="1" applyAlignment="1">
      <alignment horizontal="center"/>
    </xf>
    <xf numFmtId="0" fontId="68" fillId="0" borderId="28" xfId="0" applyFont="1" applyBorder="1"/>
    <xf numFmtId="0" fontId="68" fillId="0" borderId="29" xfId="0" applyFont="1" applyBorder="1"/>
    <xf numFmtId="0" fontId="68" fillId="0" borderId="30" xfId="0" applyFont="1" applyBorder="1"/>
    <xf numFmtId="0" fontId="68" fillId="0" borderId="11" xfId="0" applyFont="1" applyBorder="1"/>
    <xf numFmtId="0" fontId="68" fillId="0" borderId="0" xfId="0" applyFont="1" applyBorder="1"/>
    <xf numFmtId="0" fontId="68" fillId="0" borderId="31" xfId="0" applyFont="1" applyBorder="1"/>
    <xf numFmtId="0" fontId="68" fillId="0" borderId="0" xfId="0" applyFont="1" applyFill="1"/>
    <xf numFmtId="0" fontId="69" fillId="0" borderId="0" xfId="0" applyFont="1"/>
    <xf numFmtId="0" fontId="69" fillId="0" borderId="0" xfId="0" applyFont="1" applyBorder="1"/>
    <xf numFmtId="0" fontId="69" fillId="0" borderId="0" xfId="0" applyFont="1" applyFill="1"/>
    <xf numFmtId="0" fontId="70" fillId="0" borderId="0" xfId="0" applyFont="1"/>
    <xf numFmtId="0" fontId="70" fillId="0" borderId="24" xfId="0" applyFont="1" applyBorder="1" applyAlignment="1">
      <alignment horizontal="center"/>
    </xf>
    <xf numFmtId="0" fontId="70" fillId="0" borderId="32" xfId="0" applyFont="1" applyBorder="1" applyAlignment="1">
      <alignment horizontal="center"/>
    </xf>
    <xf numFmtId="0" fontId="70" fillId="0" borderId="32" xfId="0" applyFont="1" applyBorder="1"/>
    <xf numFmtId="0" fontId="70" fillId="40" borderId="33" xfId="0" applyFont="1" applyFill="1" applyBorder="1" applyAlignment="1">
      <alignment horizontal="center"/>
    </xf>
    <xf numFmtId="0" fontId="70" fillId="0" borderId="25" xfId="0" applyFont="1" applyBorder="1" applyAlignment="1">
      <alignment horizontal="center"/>
    </xf>
    <xf numFmtId="0" fontId="70" fillId="0" borderId="26" xfId="0" applyFont="1" applyBorder="1" applyAlignment="1">
      <alignment horizontal="center"/>
    </xf>
    <xf numFmtId="0" fontId="70" fillId="40" borderId="26" xfId="0" applyFont="1" applyFill="1" applyBorder="1" applyAlignment="1">
      <alignment horizontal="center"/>
    </xf>
    <xf numFmtId="0" fontId="70" fillId="40" borderId="34" xfId="0" applyFont="1" applyFill="1" applyBorder="1" applyAlignment="1">
      <alignment horizontal="center"/>
    </xf>
    <xf numFmtId="0" fontId="70" fillId="0" borderId="27" xfId="0" applyFont="1" applyBorder="1" applyAlignment="1">
      <alignment horizontal="center"/>
    </xf>
    <xf numFmtId="0" fontId="70" fillId="0" borderId="12" xfId="0" applyFont="1" applyBorder="1" applyAlignment="1">
      <alignment horizontal="center" wrapText="1"/>
    </xf>
    <xf numFmtId="0" fontId="70" fillId="0" borderId="12" xfId="0" applyFont="1" applyBorder="1" applyAlignment="1">
      <alignment horizontal="center"/>
    </xf>
    <xf numFmtId="0" fontId="70" fillId="40" borderId="12" xfId="0" applyFont="1" applyFill="1" applyBorder="1" applyAlignment="1">
      <alignment horizontal="center"/>
    </xf>
    <xf numFmtId="0" fontId="70" fillId="40" borderId="10" xfId="0" applyFont="1" applyFill="1" applyBorder="1" applyAlignment="1">
      <alignment horizontal="center"/>
    </xf>
    <xf numFmtId="0" fontId="70" fillId="40" borderId="35" xfId="0" applyFont="1" applyFill="1" applyBorder="1" applyAlignment="1">
      <alignment horizontal="center"/>
    </xf>
    <xf numFmtId="3" fontId="70" fillId="0" borderId="15" xfId="0" applyNumberFormat="1" applyFont="1" applyBorder="1"/>
    <xf numFmtId="0" fontId="70" fillId="0" borderId="10" xfId="0" applyFont="1" applyBorder="1"/>
    <xf numFmtId="3" fontId="70" fillId="0" borderId="10" xfId="0" applyNumberFormat="1" applyFont="1" applyBorder="1"/>
    <xf numFmtId="4" fontId="70" fillId="0" borderId="10" xfId="0" applyNumberFormat="1" applyFont="1" applyBorder="1"/>
    <xf numFmtId="3" fontId="70" fillId="40" borderId="10" xfId="0" applyNumberFormat="1" applyFont="1" applyFill="1" applyBorder="1"/>
    <xf numFmtId="3" fontId="71" fillId="0" borderId="10" xfId="0" applyNumberFormat="1" applyFont="1" applyBorder="1"/>
    <xf numFmtId="3" fontId="70" fillId="40" borderId="22" xfId="0" applyNumberFormat="1" applyFont="1" applyFill="1" applyBorder="1"/>
    <xf numFmtId="3" fontId="70" fillId="0" borderId="36" xfId="0" applyNumberFormat="1" applyFont="1" applyBorder="1"/>
    <xf numFmtId="0" fontId="70" fillId="0" borderId="37" xfId="0" applyFont="1" applyBorder="1"/>
    <xf numFmtId="3" fontId="70" fillId="0" borderId="37" xfId="0" applyNumberFormat="1" applyFont="1" applyBorder="1"/>
    <xf numFmtId="4" fontId="70" fillId="0" borderId="37" xfId="0" applyNumberFormat="1" applyFont="1" applyBorder="1"/>
    <xf numFmtId="3" fontId="70" fillId="40" borderId="37" xfId="0" applyNumberFormat="1" applyFont="1" applyFill="1" applyBorder="1"/>
    <xf numFmtId="3" fontId="71" fillId="0" borderId="37" xfId="0" applyNumberFormat="1" applyFont="1" applyBorder="1"/>
    <xf numFmtId="3" fontId="70" fillId="40" borderId="38" xfId="0" applyNumberFormat="1" applyFont="1" applyFill="1" applyBorder="1"/>
    <xf numFmtId="3" fontId="72" fillId="0" borderId="17" xfId="0" applyNumberFormat="1" applyFont="1" applyBorder="1"/>
    <xf numFmtId="3" fontId="72" fillId="0" borderId="18" xfId="0" applyNumberFormat="1" applyFont="1" applyBorder="1"/>
    <xf numFmtId="4" fontId="72" fillId="0" borderId="18" xfId="0" applyNumberFormat="1" applyFont="1" applyBorder="1"/>
    <xf numFmtId="3" fontId="72" fillId="40" borderId="18" xfId="0" applyNumberFormat="1" applyFont="1" applyFill="1" applyBorder="1"/>
    <xf numFmtId="3" fontId="72" fillId="40" borderId="23" xfId="0" applyNumberFormat="1" applyFont="1" applyFill="1" applyBorder="1"/>
    <xf numFmtId="0" fontId="70" fillId="0" borderId="28" xfId="0" applyFont="1" applyBorder="1"/>
    <xf numFmtId="3" fontId="70" fillId="0" borderId="27" xfId="0" applyNumberFormat="1" applyFont="1" applyBorder="1"/>
    <xf numFmtId="0" fontId="70" fillId="0" borderId="12" xfId="0" applyFont="1" applyBorder="1"/>
    <xf numFmtId="3" fontId="70" fillId="0" borderId="12" xfId="0" applyNumberFormat="1" applyFont="1" applyBorder="1"/>
    <xf numFmtId="4" fontId="70" fillId="0" borderId="12" xfId="0" applyNumberFormat="1" applyFont="1" applyBorder="1"/>
    <xf numFmtId="3" fontId="70" fillId="40" borderId="12" xfId="0" applyNumberFormat="1" applyFont="1" applyFill="1" applyBorder="1"/>
    <xf numFmtId="3" fontId="71" fillId="0" borderId="12" xfId="0" applyNumberFormat="1" applyFont="1" applyBorder="1"/>
    <xf numFmtId="3" fontId="70" fillId="40" borderId="35" xfId="0" applyNumberFormat="1" applyFont="1" applyFill="1" applyBorder="1"/>
    <xf numFmtId="0" fontId="70" fillId="0" borderId="29" xfId="0" applyFont="1" applyBorder="1"/>
    <xf numFmtId="3" fontId="70" fillId="0" borderId="17" xfId="0" applyNumberFormat="1" applyFont="1" applyBorder="1"/>
    <xf numFmtId="3" fontId="70" fillId="0" borderId="18" xfId="0" applyNumberFormat="1" applyFont="1" applyBorder="1"/>
    <xf numFmtId="4" fontId="70" fillId="0" borderId="18" xfId="0" applyNumberFormat="1" applyFont="1" applyBorder="1"/>
    <xf numFmtId="3" fontId="70" fillId="40" borderId="18" xfId="0" applyNumberFormat="1" applyFont="1" applyFill="1" applyBorder="1"/>
    <xf numFmtId="3" fontId="70" fillId="40" borderId="23" xfId="0" applyNumberFormat="1" applyFont="1" applyFill="1" applyBorder="1"/>
    <xf numFmtId="0" fontId="70" fillId="0" borderId="0" xfId="0" applyFont="1" applyBorder="1"/>
    <xf numFmtId="0" fontId="70" fillId="0" borderId="15" xfId="0" applyFont="1" applyBorder="1"/>
    <xf numFmtId="0" fontId="70" fillId="0" borderId="36" xfId="0" applyFont="1" applyBorder="1"/>
    <xf numFmtId="0" fontId="70" fillId="0" borderId="39" xfId="0" applyFont="1" applyBorder="1"/>
    <xf numFmtId="0" fontId="70" fillId="0" borderId="0" xfId="0" applyFont="1" applyFill="1"/>
    <xf numFmtId="0" fontId="70" fillId="0" borderId="40" xfId="0" applyFont="1" applyFill="1" applyBorder="1"/>
    <xf numFmtId="0" fontId="70" fillId="0" borderId="40" xfId="0" applyFont="1" applyBorder="1"/>
    <xf numFmtId="3" fontId="70" fillId="0" borderId="40" xfId="0" applyNumberFormat="1" applyFont="1" applyBorder="1"/>
    <xf numFmtId="3" fontId="70" fillId="0" borderId="41" xfId="0" applyNumberFormat="1" applyFont="1" applyBorder="1"/>
    <xf numFmtId="0" fontId="73" fillId="0" borderId="0" xfId="0" applyFont="1" applyFill="1"/>
    <xf numFmtId="0" fontId="74" fillId="0" borderId="0" xfId="0" applyFont="1"/>
    <xf numFmtId="3" fontId="68" fillId="0" borderId="0" xfId="0" applyNumberFormat="1" applyFont="1"/>
    <xf numFmtId="0" fontId="73" fillId="0" borderId="0" xfId="79" applyFont="1"/>
    <xf numFmtId="0" fontId="68" fillId="0" borderId="42" xfId="0" applyFont="1" applyBorder="1"/>
    <xf numFmtId="0" fontId="75" fillId="0" borderId="0" xfId="0" applyFont="1"/>
    <xf numFmtId="0" fontId="76" fillId="0" borderId="0" xfId="0" applyFont="1"/>
    <xf numFmtId="0" fontId="71" fillId="0" borderId="0" xfId="0" applyFont="1" applyFill="1"/>
    <xf numFmtId="0" fontId="71" fillId="0" borderId="0" xfId="0" applyFont="1"/>
    <xf numFmtId="3" fontId="70" fillId="0" borderId="0" xfId="0" applyNumberFormat="1" applyFont="1"/>
    <xf numFmtId="0" fontId="75" fillId="0" borderId="0" xfId="0" applyFont="1" applyFill="1"/>
    <xf numFmtId="0" fontId="74" fillId="0" borderId="0" xfId="0" applyFont="1" applyFill="1"/>
    <xf numFmtId="0" fontId="77" fillId="0" borderId="0" xfId="0" applyFont="1" applyFill="1"/>
    <xf numFmtId="0" fontId="78" fillId="0" borderId="0" xfId="0" applyFont="1" applyFill="1"/>
    <xf numFmtId="0" fontId="69" fillId="0" borderId="0" xfId="0" applyFont="1" applyFill="1" applyAlignment="1">
      <alignment wrapText="1"/>
    </xf>
    <xf numFmtId="0" fontId="69" fillId="0" borderId="0" xfId="0" applyFont="1" applyAlignment="1">
      <alignment wrapText="1"/>
    </xf>
    <xf numFmtId="0" fontId="69" fillId="0" borderId="43" xfId="0" applyFont="1" applyBorder="1"/>
    <xf numFmtId="0" fontId="68" fillId="0" borderId="42" xfId="0" applyFont="1" applyFill="1" applyBorder="1"/>
    <xf numFmtId="0" fontId="68" fillId="0" borderId="44" xfId="0" applyFont="1" applyFill="1" applyBorder="1"/>
    <xf numFmtId="0" fontId="68" fillId="0" borderId="45" xfId="0" applyFont="1" applyFill="1" applyBorder="1" applyAlignment="1">
      <alignment horizontal="center"/>
    </xf>
    <xf numFmtId="0" fontId="68" fillId="0" borderId="45" xfId="0" applyFont="1" applyFill="1" applyBorder="1"/>
    <xf numFmtId="0" fontId="74" fillId="0" borderId="46" xfId="0" applyFont="1" applyFill="1" applyBorder="1" applyAlignment="1">
      <alignment horizontal="center"/>
    </xf>
    <xf numFmtId="0" fontId="74" fillId="27" borderId="46" xfId="0" applyFont="1" applyFill="1" applyBorder="1" applyAlignment="1">
      <alignment horizontal="center"/>
    </xf>
    <xf numFmtId="0" fontId="68" fillId="0" borderId="46" xfId="0" applyFont="1" applyFill="1" applyBorder="1" applyAlignment="1">
      <alignment horizontal="center"/>
    </xf>
    <xf numFmtId="0" fontId="68" fillId="0" borderId="47" xfId="0" applyFont="1" applyFill="1" applyBorder="1" applyAlignment="1">
      <alignment horizontal="center"/>
    </xf>
    <xf numFmtId="0" fontId="68" fillId="0" borderId="48" xfId="0" applyFont="1" applyFill="1" applyBorder="1" applyAlignment="1">
      <alignment horizontal="center"/>
    </xf>
    <xf numFmtId="0" fontId="68" fillId="0" borderId="49" xfId="0" applyFont="1" applyFill="1" applyBorder="1"/>
    <xf numFmtId="0" fontId="68" fillId="0" borderId="43" xfId="0" applyFont="1" applyFill="1" applyBorder="1" applyAlignment="1">
      <alignment horizontal="center"/>
    </xf>
    <xf numFmtId="0" fontId="68" fillId="0" borderId="43" xfId="0" applyFont="1" applyFill="1" applyBorder="1"/>
    <xf numFmtId="0" fontId="74" fillId="0" borderId="50" xfId="0" applyFont="1" applyFill="1" applyBorder="1" applyAlignment="1">
      <alignment horizontal="center"/>
    </xf>
    <xf numFmtId="0" fontId="74" fillId="27" borderId="50" xfId="0" applyFont="1" applyFill="1" applyBorder="1" applyAlignment="1">
      <alignment horizontal="center"/>
    </xf>
    <xf numFmtId="0" fontId="68" fillId="28" borderId="50" xfId="0" applyFont="1" applyFill="1" applyBorder="1" applyAlignment="1">
      <alignment horizontal="center"/>
    </xf>
    <xf numFmtId="0" fontId="68" fillId="0" borderId="50" xfId="0" applyFont="1" applyFill="1" applyBorder="1" applyAlignment="1">
      <alignment horizontal="center"/>
    </xf>
    <xf numFmtId="0" fontId="68" fillId="0" borderId="51" xfId="0" applyFont="1" applyFill="1" applyBorder="1" applyAlignment="1">
      <alignment horizontal="center"/>
    </xf>
    <xf numFmtId="0" fontId="68" fillId="0" borderId="52" xfId="0" applyFont="1" applyFill="1" applyBorder="1" applyAlignment="1">
      <alignment horizontal="center"/>
    </xf>
    <xf numFmtId="0" fontId="68" fillId="0" borderId="53" xfId="0" applyFont="1" applyFill="1" applyBorder="1"/>
    <xf numFmtId="3" fontId="68" fillId="0" borderId="54" xfId="0" applyNumberFormat="1" applyFont="1" applyFill="1" applyBorder="1"/>
    <xf numFmtId="0" fontId="68" fillId="0" borderId="54" xfId="0" applyFont="1" applyFill="1" applyBorder="1"/>
    <xf numFmtId="3" fontId="74" fillId="0" borderId="55" xfId="0" applyNumberFormat="1" applyFont="1" applyFill="1" applyBorder="1"/>
    <xf numFmtId="3" fontId="74" fillId="27" borderId="55" xfId="0" applyNumberFormat="1" applyFont="1" applyFill="1" applyBorder="1"/>
    <xf numFmtId="3" fontId="68" fillId="28" borderId="55" xfId="0" applyNumberFormat="1" applyFont="1" applyFill="1" applyBorder="1"/>
    <xf numFmtId="3" fontId="68" fillId="0" borderId="55" xfId="0" applyNumberFormat="1" applyFont="1" applyFill="1" applyBorder="1"/>
    <xf numFmtId="2" fontId="68" fillId="0" borderId="56" xfId="0" applyNumberFormat="1" applyFont="1" applyFill="1" applyBorder="1" applyAlignment="1">
      <alignment horizontal="center"/>
    </xf>
    <xf numFmtId="3" fontId="79" fillId="0" borderId="0" xfId="0" applyNumberFormat="1" applyFont="1" applyFill="1" applyAlignment="1">
      <alignment horizontal="left"/>
    </xf>
    <xf numFmtId="0" fontId="68" fillId="0" borderId="57" xfId="0" applyFont="1" applyFill="1" applyBorder="1" applyAlignment="1">
      <alignment horizontal="center"/>
    </xf>
    <xf numFmtId="0" fontId="68" fillId="0" borderId="11" xfId="0" applyFont="1" applyFill="1" applyBorder="1"/>
    <xf numFmtId="3" fontId="68" fillId="0" borderId="0" xfId="0" applyNumberFormat="1" applyFont="1" applyFill="1" applyBorder="1"/>
    <xf numFmtId="0" fontId="68" fillId="0" borderId="0" xfId="0" applyFont="1" applyFill="1" applyBorder="1"/>
    <xf numFmtId="3" fontId="74" fillId="0" borderId="58" xfId="0" applyNumberFormat="1" applyFont="1" applyFill="1" applyBorder="1"/>
    <xf numFmtId="3" fontId="74" fillId="27" borderId="58" xfId="0" applyNumberFormat="1" applyFont="1" applyFill="1" applyBorder="1"/>
    <xf numFmtId="3" fontId="68" fillId="28" borderId="58" xfId="0" applyNumberFormat="1" applyFont="1" applyFill="1" applyBorder="1"/>
    <xf numFmtId="3" fontId="68" fillId="0" borderId="58" xfId="0" applyNumberFormat="1" applyFont="1" applyFill="1" applyBorder="1"/>
    <xf numFmtId="2" fontId="68" fillId="0" borderId="59" xfId="0" applyNumberFormat="1" applyFont="1" applyFill="1" applyBorder="1" applyAlignment="1">
      <alignment horizontal="center"/>
    </xf>
    <xf numFmtId="0" fontId="68" fillId="0" borderId="39" xfId="0" applyFont="1" applyFill="1" applyBorder="1" applyAlignment="1">
      <alignment horizontal="center"/>
    </xf>
    <xf numFmtId="0" fontId="68" fillId="0" borderId="60" xfId="0" applyFont="1" applyFill="1" applyBorder="1"/>
    <xf numFmtId="3" fontId="68" fillId="0" borderId="31" xfId="0" applyNumberFormat="1" applyFont="1" applyFill="1" applyBorder="1"/>
    <xf numFmtId="0" fontId="68" fillId="0" borderId="31" xfId="0" applyFont="1" applyFill="1" applyBorder="1"/>
    <xf numFmtId="3" fontId="74" fillId="0" borderId="61" xfId="0" applyNumberFormat="1" applyFont="1" applyFill="1" applyBorder="1"/>
    <xf numFmtId="3" fontId="74" fillId="27" borderId="61" xfId="0" applyNumberFormat="1" applyFont="1" applyFill="1" applyBorder="1"/>
    <xf numFmtId="3" fontId="68" fillId="28" borderId="61" xfId="0" applyNumberFormat="1" applyFont="1" applyFill="1" applyBorder="1"/>
    <xf numFmtId="3" fontId="68" fillId="0" borderId="61" xfId="0" applyNumberFormat="1" applyFont="1" applyFill="1" applyBorder="1"/>
    <xf numFmtId="2" fontId="68" fillId="0" borderId="62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2" fontId="68" fillId="0" borderId="0" xfId="0" applyNumberFormat="1" applyFont="1" applyFill="1" applyBorder="1" applyAlignment="1">
      <alignment horizontal="center"/>
    </xf>
    <xf numFmtId="0" fontId="80" fillId="0" borderId="0" xfId="0" applyFont="1" applyFill="1"/>
    <xf numFmtId="0" fontId="68" fillId="0" borderId="0" xfId="0" applyFont="1" applyFill="1" applyAlignment="1">
      <alignment horizontal="center"/>
    </xf>
    <xf numFmtId="0" fontId="69" fillId="0" borderId="0" xfId="0" applyFont="1" applyAlignment="1">
      <alignment horizontal="center"/>
    </xf>
    <xf numFmtId="0" fontId="68" fillId="41" borderId="46" xfId="0" applyFont="1" applyFill="1" applyBorder="1" applyAlignment="1">
      <alignment horizontal="center"/>
    </xf>
    <xf numFmtId="0" fontId="70" fillId="29" borderId="50" xfId="0" applyFont="1" applyFill="1" applyBorder="1" applyAlignment="1">
      <alignment horizontal="center"/>
    </xf>
    <xf numFmtId="3" fontId="70" fillId="29" borderId="63" xfId="0" applyNumberFormat="1" applyFont="1" applyFill="1" applyBorder="1"/>
    <xf numFmtId="0" fontId="69" fillId="0" borderId="64" xfId="0" applyFont="1" applyFill="1" applyBorder="1" applyAlignment="1">
      <alignment horizontal="center"/>
    </xf>
    <xf numFmtId="3" fontId="69" fillId="0" borderId="15" xfId="0" applyNumberFormat="1" applyFont="1" applyFill="1" applyBorder="1"/>
    <xf numFmtId="3" fontId="69" fillId="0" borderId="10" xfId="0" applyNumberFormat="1" applyFont="1" applyFill="1" applyBorder="1"/>
    <xf numFmtId="3" fontId="69" fillId="0" borderId="22" xfId="0" applyNumberFormat="1" applyFont="1" applyFill="1" applyBorder="1"/>
    <xf numFmtId="3" fontId="70" fillId="29" borderId="65" xfId="0" applyNumberFormat="1" applyFont="1" applyFill="1" applyBorder="1"/>
    <xf numFmtId="0" fontId="69" fillId="0" borderId="57" xfId="0" applyFont="1" applyFill="1" applyBorder="1" applyAlignment="1">
      <alignment horizontal="center"/>
    </xf>
    <xf numFmtId="3" fontId="70" fillId="29" borderId="61" xfId="0" applyNumberFormat="1" applyFont="1" applyFill="1" applyBorder="1"/>
    <xf numFmtId="0" fontId="81" fillId="0" borderId="0" xfId="0" applyFont="1" applyFill="1" applyBorder="1"/>
    <xf numFmtId="4" fontId="70" fillId="0" borderId="0" xfId="0" applyNumberFormat="1" applyFont="1" applyFill="1" applyBorder="1"/>
    <xf numFmtId="3" fontId="70" fillId="0" borderId="0" xfId="0" applyNumberFormat="1" applyFont="1" applyFill="1" applyBorder="1"/>
    <xf numFmtId="0" fontId="82" fillId="0" borderId="0" xfId="0" applyFont="1"/>
    <xf numFmtId="0" fontId="76" fillId="0" borderId="0" xfId="0" applyFont="1" applyFill="1"/>
    <xf numFmtId="0" fontId="70" fillId="0" borderId="60" xfId="0" applyFont="1" applyFill="1" applyBorder="1"/>
    <xf numFmtId="0" fontId="68" fillId="0" borderId="13" xfId="0" applyFont="1" applyFill="1" applyBorder="1" applyAlignment="1">
      <alignment horizontal="center"/>
    </xf>
    <xf numFmtId="0" fontId="68" fillId="0" borderId="14" xfId="0" applyFont="1" applyFill="1" applyBorder="1" applyAlignment="1">
      <alignment horizontal="center"/>
    </xf>
    <xf numFmtId="0" fontId="68" fillId="0" borderId="21" xfId="0" applyFont="1" applyFill="1" applyBorder="1" applyAlignment="1">
      <alignment horizontal="center"/>
    </xf>
    <xf numFmtId="0" fontId="68" fillId="41" borderId="50" xfId="0" applyFont="1" applyFill="1" applyBorder="1" applyAlignment="1">
      <alignment horizontal="center"/>
    </xf>
    <xf numFmtId="0" fontId="68" fillId="0" borderId="66" xfId="0" applyFont="1" applyFill="1" applyBorder="1" applyAlignment="1">
      <alignment horizontal="center"/>
    </xf>
    <xf numFmtId="0" fontId="68" fillId="0" borderId="67" xfId="0" applyFont="1" applyFill="1" applyBorder="1"/>
    <xf numFmtId="3" fontId="68" fillId="0" borderId="27" xfId="0" applyNumberFormat="1" applyFont="1" applyFill="1" applyBorder="1"/>
    <xf numFmtId="3" fontId="68" fillId="0" borderId="35" xfId="0" applyNumberFormat="1" applyFont="1" applyFill="1" applyBorder="1"/>
    <xf numFmtId="0" fontId="68" fillId="0" borderId="64" xfId="0" applyFont="1" applyFill="1" applyBorder="1" applyAlignment="1">
      <alignment horizontal="center"/>
    </xf>
    <xf numFmtId="0" fontId="68" fillId="0" borderId="68" xfId="0" applyFont="1" applyFill="1" applyBorder="1"/>
    <xf numFmtId="3" fontId="68" fillId="0" borderId="15" xfId="0" applyNumberFormat="1" applyFont="1" applyFill="1" applyBorder="1"/>
    <xf numFmtId="3" fontId="68" fillId="0" borderId="10" xfId="0" applyNumberFormat="1" applyFont="1" applyFill="1" applyBorder="1"/>
    <xf numFmtId="3" fontId="68" fillId="0" borderId="22" xfId="0" applyNumberFormat="1" applyFont="1" applyFill="1" applyBorder="1"/>
    <xf numFmtId="0" fontId="68" fillId="25" borderId="68" xfId="0" applyFont="1" applyFill="1" applyBorder="1"/>
    <xf numFmtId="0" fontId="68" fillId="25" borderId="59" xfId="0" applyFont="1" applyFill="1" applyBorder="1"/>
    <xf numFmtId="3" fontId="68" fillId="0" borderId="25" xfId="0" applyNumberFormat="1" applyFont="1" applyFill="1" applyBorder="1"/>
    <xf numFmtId="3" fontId="68" fillId="0" borderId="26" xfId="0" applyNumberFormat="1" applyFont="1" applyFill="1" applyBorder="1"/>
    <xf numFmtId="0" fontId="68" fillId="0" borderId="17" xfId="0" applyFont="1" applyFill="1" applyBorder="1"/>
    <xf numFmtId="0" fontId="68" fillId="0" borderId="23" xfId="0" applyFont="1" applyFill="1" applyBorder="1"/>
    <xf numFmtId="3" fontId="68" fillId="0" borderId="17" xfId="0" applyNumberFormat="1" applyFont="1" applyFill="1" applyBorder="1"/>
    <xf numFmtId="10" fontId="68" fillId="0" borderId="18" xfId="0" applyNumberFormat="1" applyFont="1" applyFill="1" applyBorder="1"/>
    <xf numFmtId="3" fontId="68" fillId="0" borderId="23" xfId="0" applyNumberFormat="1" applyFont="1" applyFill="1" applyBorder="1"/>
    <xf numFmtId="0" fontId="69" fillId="0" borderId="13" xfId="0" applyFont="1" applyBorder="1" applyAlignment="1">
      <alignment horizontal="center" wrapText="1"/>
    </xf>
    <xf numFmtId="0" fontId="83" fillId="0" borderId="21" xfId="0" applyFont="1" applyFill="1" applyBorder="1" applyAlignment="1"/>
    <xf numFmtId="0" fontId="69" fillId="0" borderId="13" xfId="0" applyFont="1" applyBorder="1" applyAlignment="1">
      <alignment wrapText="1"/>
    </xf>
    <xf numFmtId="0" fontId="84" fillId="26" borderId="13" xfId="53" applyFont="1" applyFill="1" applyBorder="1" applyAlignment="1">
      <alignment horizontal="center" vertical="center"/>
    </xf>
    <xf numFmtId="0" fontId="84" fillId="26" borderId="14" xfId="53" applyFont="1" applyFill="1" applyBorder="1" applyAlignment="1">
      <alignment horizontal="center" vertical="center"/>
    </xf>
    <xf numFmtId="0" fontId="69" fillId="25" borderId="14" xfId="53" applyFont="1" applyFill="1" applyBorder="1" applyAlignment="1">
      <alignment horizontal="center" vertical="center"/>
    </xf>
    <xf numFmtId="49" fontId="69" fillId="0" borderId="15" xfId="0" applyNumberFormat="1" applyFont="1" applyFill="1" applyBorder="1" applyAlignment="1">
      <alignment horizontal="center" vertical="top" wrapText="1"/>
    </xf>
    <xf numFmtId="49" fontId="69" fillId="0" borderId="10" xfId="0" applyNumberFormat="1" applyFont="1" applyFill="1" applyBorder="1" applyAlignment="1">
      <alignment horizontal="center" vertical="top" wrapText="1"/>
    </xf>
    <xf numFmtId="49" fontId="69" fillId="42" borderId="22" xfId="0" applyNumberFormat="1" applyFont="1" applyFill="1" applyBorder="1" applyAlignment="1">
      <alignment horizontal="center" vertical="top" wrapText="1"/>
    </xf>
    <xf numFmtId="0" fontId="85" fillId="0" borderId="0" xfId="0" applyFont="1"/>
    <xf numFmtId="0" fontId="69" fillId="0" borderId="69" xfId="0" applyFont="1" applyFill="1" applyBorder="1" applyAlignment="1">
      <alignment horizontal="center"/>
    </xf>
    <xf numFmtId="0" fontId="69" fillId="0" borderId="70" xfId="0" applyFont="1" applyFill="1" applyBorder="1"/>
    <xf numFmtId="4" fontId="69" fillId="0" borderId="15" xfId="0" applyNumberFormat="1" applyFont="1" applyFill="1" applyBorder="1"/>
    <xf numFmtId="3" fontId="69" fillId="42" borderId="22" xfId="0" applyNumberFormat="1" applyFont="1" applyFill="1" applyBorder="1"/>
    <xf numFmtId="4" fontId="69" fillId="0" borderId="10" xfId="0" applyNumberFormat="1" applyFont="1" applyFill="1" applyBorder="1"/>
    <xf numFmtId="0" fontId="69" fillId="0" borderId="71" xfId="0" applyFont="1" applyFill="1" applyBorder="1"/>
    <xf numFmtId="0" fontId="69" fillId="0" borderId="0" xfId="0" applyFont="1" applyFill="1" applyBorder="1"/>
    <xf numFmtId="4" fontId="69" fillId="0" borderId="25" xfId="0" applyNumberFormat="1" applyFont="1" applyFill="1" applyBorder="1"/>
    <xf numFmtId="4" fontId="69" fillId="0" borderId="26" xfId="0" applyNumberFormat="1" applyFont="1" applyFill="1" applyBorder="1"/>
    <xf numFmtId="0" fontId="69" fillId="0" borderId="39" xfId="0" applyFont="1" applyFill="1" applyBorder="1"/>
    <xf numFmtId="0" fontId="83" fillId="0" borderId="39" xfId="0" applyFont="1" applyFill="1" applyBorder="1" applyAlignment="1">
      <alignment horizontal="left"/>
    </xf>
    <xf numFmtId="4" fontId="83" fillId="0" borderId="17" xfId="0" applyNumberFormat="1" applyFont="1" applyFill="1" applyBorder="1"/>
    <xf numFmtId="3" fontId="83" fillId="42" borderId="23" xfId="0" applyNumberFormat="1" applyFont="1" applyFill="1" applyBorder="1"/>
    <xf numFmtId="3" fontId="83" fillId="0" borderId="17" xfId="0" applyNumberFormat="1" applyFont="1" applyFill="1" applyBorder="1"/>
    <xf numFmtId="4" fontId="83" fillId="0" borderId="18" xfId="0" applyNumberFormat="1" applyFont="1" applyFill="1" applyBorder="1"/>
    <xf numFmtId="3" fontId="83" fillId="0" borderId="18" xfId="0" applyNumberFormat="1" applyFont="1" applyFill="1" applyBorder="1"/>
    <xf numFmtId="0" fontId="69" fillId="25" borderId="72" xfId="79" applyFont="1" applyFill="1" applyBorder="1" applyAlignment="1">
      <alignment vertical="center" wrapText="1"/>
    </xf>
    <xf numFmtId="166" fontId="69" fillId="0" borderId="10" xfId="0" applyNumberFormat="1" applyFont="1" applyFill="1" applyBorder="1"/>
    <xf numFmtId="0" fontId="83" fillId="26" borderId="15" xfId="0" applyFont="1" applyFill="1" applyBorder="1"/>
    <xf numFmtId="0" fontId="83" fillId="26" borderId="10" xfId="0" applyFont="1" applyFill="1" applyBorder="1"/>
    <xf numFmtId="4" fontId="83" fillId="26" borderId="10" xfId="0" applyNumberFormat="1" applyFont="1" applyFill="1" applyBorder="1"/>
    <xf numFmtId="0" fontId="70" fillId="29" borderId="46" xfId="0" applyFont="1" applyFill="1" applyBorder="1" applyAlignment="1">
      <alignment horizontal="center"/>
    </xf>
    <xf numFmtId="0" fontId="70" fillId="29" borderId="42" xfId="0" applyFont="1" applyFill="1" applyBorder="1" applyAlignment="1">
      <alignment horizontal="center"/>
    </xf>
    <xf numFmtId="0" fontId="70" fillId="29" borderId="48" xfId="0" applyFont="1" applyFill="1" applyBorder="1" applyAlignment="1">
      <alignment horizontal="center"/>
    </xf>
    <xf numFmtId="0" fontId="70" fillId="0" borderId="66" xfId="0" applyFont="1" applyFill="1" applyBorder="1" applyAlignment="1">
      <alignment horizontal="center"/>
    </xf>
    <xf numFmtId="0" fontId="70" fillId="0" borderId="73" xfId="0" applyFont="1" applyFill="1" applyBorder="1"/>
    <xf numFmtId="4" fontId="70" fillId="29" borderId="63" xfId="0" applyNumberFormat="1" applyFont="1" applyFill="1" applyBorder="1"/>
    <xf numFmtId="0" fontId="70" fillId="0" borderId="64" xfId="0" applyFont="1" applyFill="1" applyBorder="1" applyAlignment="1">
      <alignment horizontal="center"/>
    </xf>
    <xf numFmtId="0" fontId="70" fillId="0" borderId="71" xfId="0" applyFont="1" applyFill="1" applyBorder="1"/>
    <xf numFmtId="4" fontId="70" fillId="29" borderId="65" xfId="0" applyNumberFormat="1" applyFont="1" applyFill="1" applyBorder="1"/>
    <xf numFmtId="4" fontId="70" fillId="29" borderId="74" xfId="0" applyNumberFormat="1" applyFont="1" applyFill="1" applyBorder="1"/>
    <xf numFmtId="0" fontId="70" fillId="0" borderId="75" xfId="0" applyFont="1" applyFill="1" applyBorder="1" applyAlignment="1">
      <alignment horizontal="center"/>
    </xf>
    <xf numFmtId="0" fontId="70" fillId="0" borderId="76" xfId="0" applyFont="1" applyFill="1" applyBorder="1"/>
    <xf numFmtId="3" fontId="70" fillId="29" borderId="16" xfId="0" applyNumberFormat="1" applyFont="1" applyFill="1" applyBorder="1"/>
    <xf numFmtId="4" fontId="70" fillId="29" borderId="16" xfId="0" applyNumberFormat="1" applyFont="1" applyFill="1" applyBorder="1"/>
    <xf numFmtId="0" fontId="70" fillId="0" borderId="17" xfId="0" applyFont="1" applyFill="1" applyBorder="1"/>
    <xf numFmtId="4" fontId="70" fillId="29" borderId="39" xfId="0" applyNumberFormat="1" applyFont="1" applyFill="1" applyBorder="1"/>
    <xf numFmtId="0" fontId="72" fillId="0" borderId="0" xfId="0" applyFont="1"/>
    <xf numFmtId="0" fontId="86" fillId="0" borderId="0" xfId="0" applyFont="1"/>
    <xf numFmtId="0" fontId="69" fillId="0" borderId="0" xfId="79" applyFont="1"/>
    <xf numFmtId="3" fontId="68" fillId="40" borderId="63" xfId="0" applyNumberFormat="1" applyFont="1" applyFill="1" applyBorder="1"/>
    <xf numFmtId="166" fontId="68" fillId="0" borderId="0" xfId="0" applyNumberFormat="1" applyFont="1"/>
    <xf numFmtId="4" fontId="68" fillId="0" borderId="0" xfId="0" applyNumberFormat="1" applyFont="1"/>
    <xf numFmtId="0" fontId="68" fillId="0" borderId="0" xfId="79" applyFont="1"/>
    <xf numFmtId="0" fontId="69" fillId="0" borderId="48" xfId="0" applyFont="1" applyFill="1" applyBorder="1" applyAlignment="1">
      <alignment horizontal="center"/>
    </xf>
    <xf numFmtId="0" fontId="69" fillId="0" borderId="20" xfId="0" applyFont="1" applyFill="1" applyBorder="1" applyAlignment="1">
      <alignment horizontal="center" wrapText="1"/>
    </xf>
    <xf numFmtId="0" fontId="69" fillId="0" borderId="51" xfId="0" applyFont="1" applyFill="1" applyBorder="1" applyAlignment="1">
      <alignment horizontal="center"/>
    </xf>
    <xf numFmtId="0" fontId="69" fillId="0" borderId="43" xfId="0" applyFont="1" applyFill="1" applyBorder="1" applyAlignment="1">
      <alignment horizontal="center"/>
    </xf>
    <xf numFmtId="3" fontId="71" fillId="0" borderId="33" xfId="0" applyNumberFormat="1" applyFont="1" applyFill="1" applyBorder="1"/>
    <xf numFmtId="3" fontId="70" fillId="0" borderId="77" xfId="0" applyNumberFormat="1" applyFont="1" applyFill="1" applyBorder="1"/>
    <xf numFmtId="3" fontId="70" fillId="0" borderId="14" xfId="0" applyNumberFormat="1" applyFont="1" applyFill="1" applyBorder="1"/>
    <xf numFmtId="3" fontId="68" fillId="0" borderId="0" xfId="0" applyNumberFormat="1" applyFont="1" applyFill="1"/>
    <xf numFmtId="3" fontId="71" fillId="0" borderId="22" xfId="0" applyNumberFormat="1" applyFont="1" applyFill="1" applyBorder="1"/>
    <xf numFmtId="3" fontId="70" fillId="0" borderId="72" xfId="0" applyNumberFormat="1" applyFont="1" applyFill="1" applyBorder="1"/>
    <xf numFmtId="3" fontId="70" fillId="0" borderId="10" xfId="0" applyNumberFormat="1" applyFont="1" applyFill="1" applyBorder="1"/>
    <xf numFmtId="3" fontId="68" fillId="25" borderId="37" xfId="0" applyNumberFormat="1" applyFont="1" applyFill="1" applyBorder="1"/>
    <xf numFmtId="3" fontId="68" fillId="25" borderId="78" xfId="0" applyNumberFormat="1" applyFont="1" applyFill="1" applyBorder="1"/>
    <xf numFmtId="3" fontId="87" fillId="0" borderId="0" xfId="0" applyNumberFormat="1" applyFont="1"/>
    <xf numFmtId="3" fontId="87" fillId="0" borderId="0" xfId="0" applyNumberFormat="1" applyFont="1" applyFill="1" applyBorder="1"/>
    <xf numFmtId="0" fontId="71" fillId="0" borderId="0" xfId="0" applyFont="1" applyBorder="1"/>
    <xf numFmtId="0" fontId="88" fillId="0" borderId="0" xfId="0" applyFont="1"/>
    <xf numFmtId="0" fontId="73" fillId="0" borderId="0" xfId="0" applyFont="1"/>
    <xf numFmtId="0" fontId="70" fillId="0" borderId="79" xfId="80" applyFont="1" applyBorder="1"/>
    <xf numFmtId="0" fontId="68" fillId="0" borderId="45" xfId="0" applyFont="1" applyBorder="1"/>
    <xf numFmtId="3" fontId="68" fillId="0" borderId="46" xfId="0" applyNumberFormat="1" applyFont="1" applyBorder="1"/>
    <xf numFmtId="0" fontId="68" fillId="0" borderId="80" xfId="0" applyFont="1" applyBorder="1" applyAlignment="1">
      <alignment horizontal="center"/>
    </xf>
    <xf numFmtId="3" fontId="68" fillId="0" borderId="81" xfId="0" applyNumberFormat="1" applyFont="1" applyFill="1" applyBorder="1"/>
    <xf numFmtId="3" fontId="68" fillId="0" borderId="58" xfId="0" applyNumberFormat="1" applyFont="1" applyBorder="1"/>
    <xf numFmtId="0" fontId="83" fillId="0" borderId="0" xfId="0" applyFont="1"/>
    <xf numFmtId="0" fontId="68" fillId="0" borderId="17" xfId="0" applyFont="1" applyBorder="1" applyAlignment="1">
      <alignment horizontal="center"/>
    </xf>
    <xf numFmtId="3" fontId="74" fillId="0" borderId="61" xfId="0" applyNumberFormat="1" applyFont="1" applyBorder="1"/>
    <xf numFmtId="3" fontId="89" fillId="0" borderId="0" xfId="0" applyNumberFormat="1" applyFont="1" applyBorder="1"/>
    <xf numFmtId="0" fontId="90" fillId="0" borderId="0" xfId="0" applyFont="1"/>
    <xf numFmtId="0" fontId="72" fillId="0" borderId="0" xfId="0" applyFont="1" applyFill="1" applyBorder="1"/>
    <xf numFmtId="0" fontId="89" fillId="0" borderId="0" xfId="0" applyFont="1"/>
    <xf numFmtId="0" fontId="68" fillId="0" borderId="52" xfId="0" applyFont="1" applyBorder="1" applyAlignment="1">
      <alignment horizontal="center"/>
    </xf>
    <xf numFmtId="0" fontId="68" fillId="0" borderId="54" xfId="0" applyFont="1" applyBorder="1"/>
    <xf numFmtId="3" fontId="68" fillId="0" borderId="55" xfId="0" applyNumberFormat="1" applyFont="1" applyBorder="1"/>
    <xf numFmtId="3" fontId="91" fillId="0" borderId="0" xfId="0" applyNumberFormat="1" applyFont="1"/>
    <xf numFmtId="0" fontId="92" fillId="0" borderId="0" xfId="0" applyFont="1"/>
    <xf numFmtId="0" fontId="93" fillId="0" borderId="0" xfId="0" applyFont="1"/>
    <xf numFmtId="0" fontId="93" fillId="0" borderId="24" xfId="0" applyFont="1" applyBorder="1" applyAlignment="1">
      <alignment horizontal="center"/>
    </xf>
    <xf numFmtId="3" fontId="93" fillId="0" borderId="46" xfId="0" applyNumberFormat="1" applyFont="1" applyBorder="1"/>
    <xf numFmtId="3" fontId="89" fillId="0" borderId="0" xfId="0" applyNumberFormat="1" applyFont="1"/>
    <xf numFmtId="0" fontId="68" fillId="0" borderId="36" xfId="0" applyFont="1" applyBorder="1" applyAlignment="1">
      <alignment horizontal="center"/>
    </xf>
    <xf numFmtId="0" fontId="68" fillId="0" borderId="82" xfId="0" applyFont="1" applyBorder="1"/>
    <xf numFmtId="3" fontId="68" fillId="0" borderId="74" xfId="0" applyNumberFormat="1" applyFont="1" applyBorder="1"/>
    <xf numFmtId="3" fontId="74" fillId="0" borderId="0" xfId="0" applyNumberFormat="1" applyFont="1"/>
    <xf numFmtId="0" fontId="68" fillId="0" borderId="0" xfId="0" applyFont="1" applyBorder="1" applyAlignment="1">
      <alignment horizontal="center"/>
    </xf>
    <xf numFmtId="0" fontId="89" fillId="0" borderId="0" xfId="0" applyFont="1" applyFill="1"/>
    <xf numFmtId="0" fontId="68" fillId="0" borderId="83" xfId="0" applyFont="1" applyFill="1" applyBorder="1" applyAlignment="1">
      <alignment horizontal="left"/>
    </xf>
    <xf numFmtId="0" fontId="68" fillId="0" borderId="84" xfId="0" applyFont="1" applyFill="1" applyBorder="1"/>
    <xf numFmtId="0" fontId="74" fillId="0" borderId="84" xfId="0" applyFont="1" applyFill="1" applyBorder="1"/>
    <xf numFmtId="0" fontId="74" fillId="0" borderId="85" xfId="0" applyFont="1" applyFill="1" applyBorder="1"/>
    <xf numFmtId="0" fontId="68" fillId="0" borderId="80" xfId="0" applyFont="1" applyFill="1" applyBorder="1" applyAlignment="1">
      <alignment horizontal="center"/>
    </xf>
    <xf numFmtId="0" fontId="68" fillId="0" borderId="86" xfId="0" applyFont="1" applyFill="1" applyBorder="1"/>
    <xf numFmtId="0" fontId="68" fillId="0" borderId="87" xfId="0" applyFont="1" applyFill="1" applyBorder="1"/>
    <xf numFmtId="0" fontId="74" fillId="0" borderId="87" xfId="0" applyFont="1" applyFill="1" applyBorder="1"/>
    <xf numFmtId="0" fontId="74" fillId="0" borderId="88" xfId="0" applyFont="1" applyFill="1" applyBorder="1"/>
    <xf numFmtId="3" fontId="74" fillId="0" borderId="81" xfId="0" applyNumberFormat="1" applyFont="1" applyFill="1" applyBorder="1"/>
    <xf numFmtId="0" fontId="68" fillId="0" borderId="89" xfId="0" applyFont="1" applyFill="1" applyBorder="1" applyAlignment="1">
      <alignment horizontal="center"/>
    </xf>
    <xf numFmtId="0" fontId="68" fillId="0" borderId="90" xfId="0" applyFont="1" applyFill="1" applyBorder="1"/>
    <xf numFmtId="0" fontId="68" fillId="0" borderId="91" xfId="0" applyFont="1" applyFill="1" applyBorder="1"/>
    <xf numFmtId="0" fontId="74" fillId="0" borderId="91" xfId="0" applyFont="1" applyFill="1" applyBorder="1"/>
    <xf numFmtId="0" fontId="74" fillId="0" borderId="92" xfId="0" applyFont="1" applyFill="1" applyBorder="1"/>
    <xf numFmtId="3" fontId="74" fillId="0" borderId="93" xfId="0" applyNumberFormat="1" applyFont="1" applyFill="1" applyBorder="1"/>
    <xf numFmtId="0" fontId="79" fillId="0" borderId="0" xfId="0" applyFont="1"/>
    <xf numFmtId="0" fontId="68" fillId="0" borderId="17" xfId="0" applyFont="1" applyFill="1" applyBorder="1" applyAlignment="1">
      <alignment horizontal="center"/>
    </xf>
    <xf numFmtId="0" fontId="74" fillId="0" borderId="94" xfId="0" applyFont="1" applyFill="1" applyBorder="1"/>
    <xf numFmtId="0" fontId="74" fillId="0" borderId="95" xfId="0" applyFont="1" applyFill="1" applyBorder="1"/>
    <xf numFmtId="0" fontId="74" fillId="0" borderId="96" xfId="0" applyFont="1" applyFill="1" applyBorder="1"/>
    <xf numFmtId="3" fontId="74" fillId="0" borderId="0" xfId="0" applyNumberFormat="1" applyFont="1" applyFill="1"/>
    <xf numFmtId="2" fontId="79" fillId="0" borderId="0" xfId="0" applyNumberFormat="1" applyFont="1"/>
    <xf numFmtId="0" fontId="94" fillId="0" borderId="0" xfId="0" applyFont="1" applyFill="1"/>
    <xf numFmtId="2" fontId="94" fillId="0" borderId="0" xfId="0" applyNumberFormat="1" applyFont="1" applyFill="1"/>
    <xf numFmtId="0" fontId="92" fillId="0" borderId="0" xfId="0" applyFont="1" applyFill="1" applyBorder="1"/>
    <xf numFmtId="0" fontId="92" fillId="0" borderId="0" xfId="0" applyFont="1" applyFill="1" applyBorder="1" applyAlignment="1"/>
    <xf numFmtId="0" fontId="92" fillId="0" borderId="0" xfId="0" applyFont="1" applyFill="1"/>
    <xf numFmtId="0" fontId="92" fillId="0" borderId="57" xfId="0" applyFont="1" applyFill="1" applyBorder="1"/>
    <xf numFmtId="164" fontId="95" fillId="0" borderId="0" xfId="0" applyNumberFormat="1" applyFont="1" applyFill="1" applyBorder="1"/>
    <xf numFmtId="164" fontId="95" fillId="0" borderId="42" xfId="0" applyNumberFormat="1" applyFont="1" applyFill="1" applyBorder="1"/>
    <xf numFmtId="0" fontId="92" fillId="0" borderId="59" xfId="0" applyFont="1" applyFill="1" applyBorder="1"/>
    <xf numFmtId="0" fontId="96" fillId="0" borderId="42" xfId="0" applyFont="1" applyFill="1" applyBorder="1" applyAlignment="1">
      <alignment horizontal="center"/>
    </xf>
    <xf numFmtId="0" fontId="93" fillId="0" borderId="42" xfId="0" applyFont="1" applyFill="1" applyBorder="1" applyAlignment="1">
      <alignment horizontal="center"/>
    </xf>
    <xf numFmtId="0" fontId="93" fillId="0" borderId="97" xfId="0" applyFont="1" applyFill="1" applyBorder="1" applyAlignment="1">
      <alignment horizontal="center" wrapText="1"/>
    </xf>
    <xf numFmtId="0" fontId="93" fillId="0" borderId="98" xfId="0" applyFont="1" applyFill="1" applyBorder="1" applyAlignment="1">
      <alignment horizontal="center"/>
    </xf>
    <xf numFmtId="0" fontId="93" fillId="0" borderId="45" xfId="0" applyFont="1" applyFill="1" applyBorder="1" applyAlignment="1">
      <alignment horizontal="center"/>
    </xf>
    <xf numFmtId="0" fontId="96" fillId="0" borderId="42" xfId="0" applyFont="1" applyFill="1" applyBorder="1" applyAlignment="1">
      <alignment horizontal="left"/>
    </xf>
    <xf numFmtId="0" fontId="96" fillId="0" borderId="33" xfId="0" applyFont="1" applyFill="1" applyBorder="1" applyAlignment="1">
      <alignment horizontal="center"/>
    </xf>
    <xf numFmtId="0" fontId="95" fillId="0" borderId="0" xfId="0" applyFont="1" applyFill="1"/>
    <xf numFmtId="0" fontId="93" fillId="0" borderId="57" xfId="0" applyFont="1" applyFill="1" applyBorder="1"/>
    <xf numFmtId="0" fontId="93" fillId="0" borderId="99" xfId="0" applyFont="1" applyFill="1" applyBorder="1" applyAlignment="1">
      <alignment horizontal="center" wrapText="1"/>
    </xf>
    <xf numFmtId="0" fontId="93" fillId="0" borderId="100" xfId="0" applyFont="1" applyFill="1" applyBorder="1" applyAlignment="1">
      <alignment horizontal="center"/>
    </xf>
    <xf numFmtId="0" fontId="93" fillId="0" borderId="0" xfId="0" applyFont="1" applyFill="1" applyBorder="1" applyAlignment="1">
      <alignment horizontal="center"/>
    </xf>
    <xf numFmtId="0" fontId="96" fillId="0" borderId="57" xfId="0" applyFont="1" applyFill="1" applyBorder="1" applyAlignment="1">
      <alignment horizontal="left"/>
    </xf>
    <xf numFmtId="0" fontId="96" fillId="0" borderId="34" xfId="0" applyFont="1" applyFill="1" applyBorder="1" applyAlignment="1">
      <alignment horizontal="center"/>
    </xf>
    <xf numFmtId="0" fontId="96" fillId="0" borderId="48" xfId="0" applyFont="1" applyFill="1" applyBorder="1"/>
    <xf numFmtId="0" fontId="93" fillId="0" borderId="101" xfId="0" applyFont="1" applyFill="1" applyBorder="1" applyAlignment="1">
      <alignment horizontal="center" wrapText="1"/>
    </xf>
    <xf numFmtId="0" fontId="93" fillId="0" borderId="102" xfId="0" applyFont="1" applyFill="1" applyBorder="1" applyAlignment="1">
      <alignment horizontal="center"/>
    </xf>
    <xf numFmtId="0" fontId="93" fillId="0" borderId="43" xfId="0" applyFont="1" applyFill="1" applyBorder="1" applyAlignment="1">
      <alignment horizontal="center"/>
    </xf>
    <xf numFmtId="0" fontId="93" fillId="0" borderId="103" xfId="0" applyFont="1" applyFill="1" applyBorder="1" applyAlignment="1">
      <alignment horizontal="center"/>
    </xf>
    <xf numFmtId="0" fontId="93" fillId="40" borderId="93" xfId="0" applyFont="1" applyFill="1" applyBorder="1" applyAlignment="1">
      <alignment horizontal="center"/>
    </xf>
    <xf numFmtId="0" fontId="96" fillId="0" borderId="48" xfId="0" applyFont="1" applyFill="1" applyBorder="1" applyAlignment="1">
      <alignment horizontal="left"/>
    </xf>
    <xf numFmtId="0" fontId="96" fillId="0" borderId="41" xfId="0" applyFont="1" applyFill="1" applyBorder="1"/>
    <xf numFmtId="0" fontId="93" fillId="0" borderId="104" xfId="0" applyFont="1" applyFill="1" applyBorder="1"/>
    <xf numFmtId="0" fontId="93" fillId="0" borderId="83" xfId="0" applyFont="1" applyFill="1" applyBorder="1" applyAlignment="1">
      <alignment horizontal="center"/>
    </xf>
    <xf numFmtId="0" fontId="93" fillId="0" borderId="84" xfId="0" applyFont="1" applyFill="1" applyBorder="1" applyAlignment="1">
      <alignment horizontal="center"/>
    </xf>
    <xf numFmtId="1" fontId="93" fillId="0" borderId="85" xfId="0" applyNumberFormat="1" applyFont="1" applyFill="1" applyBorder="1" applyAlignment="1">
      <alignment horizontal="center"/>
    </xf>
    <xf numFmtId="1" fontId="93" fillId="0" borderId="104" xfId="0" applyNumberFormat="1" applyFont="1" applyFill="1" applyBorder="1" applyAlignment="1">
      <alignment horizontal="center"/>
    </xf>
    <xf numFmtId="0" fontId="93" fillId="0" borderId="57" xfId="0" applyFont="1" applyFill="1" applyBorder="1" applyAlignment="1">
      <alignment horizontal="left"/>
    </xf>
    <xf numFmtId="0" fontId="93" fillId="0" borderId="34" xfId="0" applyFont="1" applyFill="1" applyBorder="1"/>
    <xf numFmtId="0" fontId="93" fillId="0" borderId="105" xfId="0" applyFont="1" applyFill="1" applyBorder="1"/>
    <xf numFmtId="0" fontId="93" fillId="0" borderId="106" xfId="0" applyFont="1" applyFill="1" applyBorder="1" applyAlignment="1">
      <alignment horizontal="center"/>
    </xf>
    <xf numFmtId="0" fontId="93" fillId="0" borderId="107" xfId="0" applyFont="1" applyFill="1" applyBorder="1" applyAlignment="1">
      <alignment horizontal="center"/>
    </xf>
    <xf numFmtId="0" fontId="93" fillId="0" borderId="108" xfId="0" applyFont="1" applyFill="1" applyBorder="1" applyAlignment="1">
      <alignment horizontal="center"/>
    </xf>
    <xf numFmtId="0" fontId="93" fillId="0" borderId="105" xfId="0" applyFont="1" applyFill="1" applyBorder="1" applyAlignment="1">
      <alignment horizontal="center"/>
    </xf>
    <xf numFmtId="0" fontId="93" fillId="40" borderId="109" xfId="0" applyFont="1" applyFill="1" applyBorder="1" applyAlignment="1">
      <alignment horizontal="center"/>
    </xf>
    <xf numFmtId="3" fontId="93" fillId="0" borderId="83" xfId="0" applyNumberFormat="1" applyFont="1" applyFill="1" applyBorder="1"/>
    <xf numFmtId="3" fontId="93" fillId="0" borderId="84" xfId="0" applyNumberFormat="1" applyFont="1" applyFill="1" applyBorder="1"/>
    <xf numFmtId="10" fontId="93" fillId="0" borderId="84" xfId="0" applyNumberFormat="1" applyFont="1" applyFill="1" applyBorder="1"/>
    <xf numFmtId="3" fontId="93" fillId="0" borderId="42" xfId="0" applyNumberFormat="1" applyFont="1" applyFill="1" applyBorder="1" applyAlignment="1">
      <alignment horizontal="left"/>
    </xf>
    <xf numFmtId="3" fontId="93" fillId="0" borderId="33" xfId="0" applyNumberFormat="1" applyFont="1" applyFill="1" applyBorder="1"/>
    <xf numFmtId="0" fontId="93" fillId="0" borderId="110" xfId="0" applyFont="1" applyFill="1" applyBorder="1"/>
    <xf numFmtId="3" fontId="93" fillId="0" borderId="86" xfId="0" applyNumberFormat="1" applyFont="1" applyFill="1" applyBorder="1"/>
    <xf numFmtId="3" fontId="93" fillId="0" borderId="87" xfId="0" applyNumberFormat="1" applyFont="1" applyFill="1" applyBorder="1"/>
    <xf numFmtId="10" fontId="93" fillId="0" borderId="87" xfId="0" applyNumberFormat="1" applyFont="1" applyFill="1" applyBorder="1"/>
    <xf numFmtId="3" fontId="93" fillId="0" borderId="110" xfId="0" applyNumberFormat="1" applyFont="1" applyFill="1" applyBorder="1"/>
    <xf numFmtId="3" fontId="93" fillId="0" borderId="110" xfId="0" applyNumberFormat="1" applyFont="1" applyFill="1" applyBorder="1" applyAlignment="1">
      <alignment horizontal="left"/>
    </xf>
    <xf numFmtId="3" fontId="93" fillId="0" borderId="111" xfId="0" applyNumberFormat="1" applyFont="1" applyFill="1" applyBorder="1"/>
    <xf numFmtId="3" fontId="93" fillId="0" borderId="112" xfId="0" applyNumberFormat="1" applyFont="1" applyFill="1" applyBorder="1" applyAlignment="1">
      <alignment horizontal="left"/>
    </xf>
    <xf numFmtId="3" fontId="93" fillId="0" borderId="113" xfId="0" applyNumberFormat="1" applyFont="1" applyFill="1" applyBorder="1"/>
    <xf numFmtId="3" fontId="96" fillId="40" borderId="57" xfId="0" applyNumberFormat="1" applyFont="1" applyFill="1" applyBorder="1" applyAlignment="1">
      <alignment horizontal="left"/>
    </xf>
    <xf numFmtId="3" fontId="93" fillId="40" borderId="34" xfId="0" applyNumberFormat="1" applyFont="1" applyFill="1" applyBorder="1"/>
    <xf numFmtId="3" fontId="96" fillId="40" borderId="48" xfId="0" applyNumberFormat="1" applyFont="1" applyFill="1" applyBorder="1" applyAlignment="1">
      <alignment horizontal="left"/>
    </xf>
    <xf numFmtId="3" fontId="93" fillId="40" borderId="41" xfId="0" applyNumberFormat="1" applyFont="1" applyFill="1" applyBorder="1"/>
    <xf numFmtId="0" fontId="68" fillId="0" borderId="110" xfId="49" applyFont="1" applyFill="1" applyBorder="1"/>
    <xf numFmtId="3" fontId="68" fillId="0" borderId="87" xfId="49" applyNumberFormat="1" applyFont="1" applyFill="1" applyBorder="1"/>
    <xf numFmtId="3" fontId="95" fillId="0" borderId="0" xfId="0" applyNumberFormat="1" applyFont="1" applyFill="1" applyBorder="1" applyAlignment="1">
      <alignment horizontal="left"/>
    </xf>
    <xf numFmtId="3" fontId="92" fillId="0" borderId="0" xfId="0" applyNumberFormat="1" applyFont="1" applyFill="1" applyBorder="1"/>
    <xf numFmtId="0" fontId="68" fillId="0" borderId="110" xfId="0" applyFont="1" applyFill="1" applyBorder="1"/>
    <xf numFmtId="0" fontId="81" fillId="0" borderId="110" xfId="0" applyFont="1" applyFill="1" applyBorder="1" applyAlignment="1"/>
    <xf numFmtId="3" fontId="83" fillId="0" borderId="0" xfId="0" applyNumberFormat="1" applyFont="1" applyFill="1" applyBorder="1" applyAlignment="1">
      <alignment horizontal="right"/>
    </xf>
    <xf numFmtId="0" fontId="96" fillId="0" borderId="105" xfId="0" applyFont="1" applyFill="1" applyBorder="1"/>
    <xf numFmtId="3" fontId="96" fillId="0" borderId="106" xfId="0" applyNumberFormat="1" applyFont="1" applyFill="1" applyBorder="1"/>
    <xf numFmtId="3" fontId="96" fillId="0" borderId="107" xfId="0" applyNumberFormat="1" applyFont="1" applyFill="1" applyBorder="1"/>
    <xf numFmtId="10" fontId="96" fillId="0" borderId="107" xfId="0" applyNumberFormat="1" applyFont="1" applyFill="1" applyBorder="1"/>
    <xf numFmtId="3" fontId="96" fillId="0" borderId="105" xfId="0" applyNumberFormat="1" applyFont="1" applyFill="1" applyBorder="1"/>
    <xf numFmtId="3" fontId="69" fillId="0" borderId="0" xfId="0" applyNumberFormat="1" applyFont="1" applyFill="1" applyAlignment="1">
      <alignment horizontal="right"/>
    </xf>
    <xf numFmtId="0" fontId="79" fillId="0" borderId="0" xfId="0" applyFont="1" applyFill="1"/>
    <xf numFmtId="0" fontId="88" fillId="0" borderId="0" xfId="0" applyFont="1" applyFill="1" applyAlignment="1">
      <alignment horizontal="left"/>
    </xf>
    <xf numFmtId="3" fontId="69" fillId="0" borderId="0" xfId="0" applyNumberFormat="1" applyFont="1" applyFill="1"/>
    <xf numFmtId="0" fontId="92" fillId="0" borderId="13" xfId="0" applyFont="1" applyFill="1" applyBorder="1" applyAlignment="1">
      <alignment horizontal="center"/>
    </xf>
    <xf numFmtId="3" fontId="69" fillId="0" borderId="21" xfId="0" applyNumberFormat="1" applyFont="1" applyFill="1" applyBorder="1"/>
    <xf numFmtId="0" fontId="92" fillId="0" borderId="15" xfId="0" applyFont="1" applyFill="1" applyBorder="1" applyAlignment="1">
      <alignment horizontal="center"/>
    </xf>
    <xf numFmtId="3" fontId="92" fillId="0" borderId="22" xfId="0" applyNumberFormat="1" applyFont="1" applyFill="1" applyBorder="1"/>
    <xf numFmtId="0" fontId="92" fillId="0" borderId="19" xfId="0" applyFont="1" applyFill="1" applyBorder="1" applyAlignment="1">
      <alignment horizontal="center"/>
    </xf>
    <xf numFmtId="3" fontId="97" fillId="30" borderId="114" xfId="0" applyNumberFormat="1" applyFont="1" applyFill="1" applyBorder="1"/>
    <xf numFmtId="2" fontId="92" fillId="0" borderId="0" xfId="0" applyNumberFormat="1" applyFont="1" applyFill="1"/>
    <xf numFmtId="0" fontId="98" fillId="0" borderId="0" xfId="0" applyFont="1" applyFill="1"/>
    <xf numFmtId="0" fontId="92" fillId="0" borderId="0" xfId="0" applyFont="1" applyFill="1" applyBorder="1" applyAlignment="1">
      <alignment horizontal="center"/>
    </xf>
    <xf numFmtId="0" fontId="92" fillId="0" borderId="0" xfId="0" applyFont="1" applyFill="1" applyAlignment="1">
      <alignment horizontal="center"/>
    </xf>
    <xf numFmtId="1" fontId="92" fillId="0" borderId="0" xfId="0" applyNumberFormat="1" applyFont="1" applyFill="1" applyBorder="1"/>
    <xf numFmtId="1" fontId="92" fillId="0" borderId="0" xfId="0" applyNumberFormat="1" applyFont="1" applyFill="1"/>
    <xf numFmtId="3" fontId="92" fillId="0" borderId="0" xfId="0" applyNumberFormat="1" applyFont="1" applyFill="1"/>
    <xf numFmtId="0" fontId="99" fillId="0" borderId="0" xfId="0" applyFont="1"/>
    <xf numFmtId="0" fontId="80" fillId="0" borderId="0" xfId="0" applyFont="1"/>
    <xf numFmtId="0" fontId="68" fillId="0" borderId="44" xfId="0" applyFont="1" applyBorder="1"/>
    <xf numFmtId="0" fontId="68" fillId="0" borderId="57" xfId="0" applyFont="1" applyBorder="1"/>
    <xf numFmtId="0" fontId="68" fillId="0" borderId="115" xfId="0" applyFont="1" applyBorder="1" applyAlignment="1">
      <alignment horizontal="center"/>
    </xf>
    <xf numFmtId="0" fontId="68" fillId="0" borderId="48" xfId="0" applyFont="1" applyBorder="1" applyAlignment="1">
      <alignment horizontal="center"/>
    </xf>
    <xf numFmtId="0" fontId="68" fillId="0" borderId="49" xfId="0" applyFont="1" applyBorder="1"/>
    <xf numFmtId="0" fontId="68" fillId="0" borderId="43" xfId="0" applyFont="1" applyBorder="1"/>
    <xf numFmtId="0" fontId="68" fillId="0" borderId="43" xfId="0" applyFont="1" applyBorder="1" applyAlignment="1">
      <alignment horizontal="center"/>
    </xf>
    <xf numFmtId="0" fontId="68" fillId="0" borderId="116" xfId="0" applyFont="1" applyBorder="1" applyAlignment="1">
      <alignment horizontal="center"/>
    </xf>
    <xf numFmtId="0" fontId="100" fillId="0" borderId="117" xfId="0" applyFont="1" applyBorder="1" applyAlignment="1">
      <alignment horizontal="center"/>
    </xf>
    <xf numFmtId="0" fontId="68" fillId="0" borderId="57" xfId="0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3" fontId="68" fillId="0" borderId="84" xfId="0" applyNumberFormat="1" applyFont="1" applyBorder="1"/>
    <xf numFmtId="3" fontId="100" fillId="0" borderId="118" xfId="0" applyNumberFormat="1" applyFont="1" applyBorder="1"/>
    <xf numFmtId="3" fontId="68" fillId="31" borderId="24" xfId="0" applyNumberFormat="1" applyFont="1" applyFill="1" applyBorder="1"/>
    <xf numFmtId="3" fontId="68" fillId="0" borderId="0" xfId="0" applyNumberFormat="1" applyFont="1" applyBorder="1"/>
    <xf numFmtId="3" fontId="80" fillId="0" borderId="0" xfId="0" applyNumberFormat="1" applyFont="1" applyFill="1" applyBorder="1"/>
    <xf numFmtId="3" fontId="101" fillId="0" borderId="0" xfId="0" applyNumberFormat="1" applyFont="1" applyFill="1" applyBorder="1"/>
    <xf numFmtId="0" fontId="68" fillId="0" borderId="110" xfId="0" applyFont="1" applyBorder="1" applyAlignment="1">
      <alignment horizontal="center"/>
    </xf>
    <xf numFmtId="0" fontId="68" fillId="0" borderId="119" xfId="0" applyFont="1" applyBorder="1" applyAlignment="1">
      <alignment horizontal="center"/>
    </xf>
    <xf numFmtId="3" fontId="68" fillId="0" borderId="120" xfId="0" applyNumberFormat="1" applyFont="1" applyBorder="1"/>
    <xf numFmtId="3" fontId="100" fillId="0" borderId="121" xfId="0" applyNumberFormat="1" applyFont="1" applyBorder="1"/>
    <xf numFmtId="3" fontId="68" fillId="31" borderId="80" xfId="0" applyNumberFormat="1" applyFont="1" applyFill="1" applyBorder="1"/>
    <xf numFmtId="3" fontId="68" fillId="0" borderId="86" xfId="0" applyNumberFormat="1" applyFont="1" applyBorder="1"/>
    <xf numFmtId="3" fontId="68" fillId="0" borderId="87" xfId="0" applyNumberFormat="1" applyFont="1" applyBorder="1"/>
    <xf numFmtId="0" fontId="68" fillId="0" borderId="122" xfId="0" applyFont="1" applyBorder="1" applyAlignment="1">
      <alignment horizontal="center"/>
    </xf>
    <xf numFmtId="3" fontId="100" fillId="0" borderId="123" xfId="0" applyNumberFormat="1" applyFont="1" applyBorder="1"/>
    <xf numFmtId="3" fontId="68" fillId="31" borderId="25" xfId="0" applyNumberFormat="1" applyFont="1" applyFill="1" applyBorder="1"/>
    <xf numFmtId="3" fontId="102" fillId="29" borderId="17" xfId="0" applyNumberFormat="1" applyFont="1" applyFill="1" applyBorder="1"/>
    <xf numFmtId="0" fontId="103" fillId="0" borderId="0" xfId="0" applyFont="1"/>
    <xf numFmtId="0" fontId="68" fillId="0" borderId="124" xfId="0" applyFont="1" applyBorder="1" applyAlignment="1">
      <alignment horizontal="center"/>
    </xf>
    <xf numFmtId="0" fontId="68" fillId="0" borderId="125" xfId="0" applyFont="1" applyBorder="1" applyAlignment="1">
      <alignment horizontal="center"/>
    </xf>
    <xf numFmtId="3" fontId="74" fillId="29" borderId="126" xfId="0" applyNumberFormat="1" applyFont="1" applyFill="1" applyBorder="1"/>
    <xf numFmtId="3" fontId="68" fillId="0" borderId="127" xfId="0" applyNumberFormat="1" applyFont="1" applyBorder="1"/>
    <xf numFmtId="3" fontId="68" fillId="0" borderId="128" xfId="0" applyNumberFormat="1" applyFont="1" applyBorder="1"/>
    <xf numFmtId="3" fontId="100" fillId="0" borderId="129" xfId="0" applyNumberFormat="1" applyFont="1" applyBorder="1"/>
    <xf numFmtId="3" fontId="100" fillId="0" borderId="88" xfId="0" applyNumberFormat="1" applyFont="1" applyBorder="1"/>
    <xf numFmtId="0" fontId="74" fillId="0" borderId="31" xfId="0" applyFont="1" applyBorder="1"/>
    <xf numFmtId="3" fontId="74" fillId="29" borderId="17" xfId="0" applyNumberFormat="1" applyFont="1" applyFill="1" applyBorder="1"/>
    <xf numFmtId="0" fontId="68" fillId="0" borderId="126" xfId="0" applyFont="1" applyBorder="1" applyAlignment="1">
      <alignment horizontal="center"/>
    </xf>
    <xf numFmtId="0" fontId="68" fillId="0" borderId="28" xfId="0" applyFont="1" applyFill="1" applyBorder="1"/>
    <xf numFmtId="0" fontId="68" fillId="0" borderId="29" xfId="0" applyFont="1" applyFill="1" applyBorder="1"/>
    <xf numFmtId="3" fontId="74" fillId="29" borderId="80" xfId="0" applyNumberFormat="1" applyFont="1" applyFill="1" applyBorder="1"/>
    <xf numFmtId="0" fontId="68" fillId="0" borderId="70" xfId="0" applyFont="1" applyFill="1" applyBorder="1"/>
    <xf numFmtId="3" fontId="68" fillId="0" borderId="130" xfId="0" applyNumberFormat="1" applyFont="1" applyBorder="1"/>
    <xf numFmtId="3" fontId="68" fillId="0" borderId="131" xfId="0" applyNumberFormat="1" applyFont="1" applyBorder="1"/>
    <xf numFmtId="3" fontId="100" fillId="0" borderId="132" xfId="0" applyNumberFormat="1" applyFont="1" applyBorder="1"/>
    <xf numFmtId="0" fontId="81" fillId="0" borderId="0" xfId="0" applyFont="1" applyBorder="1"/>
    <xf numFmtId="0" fontId="74" fillId="0" borderId="31" xfId="0" applyFont="1" applyFill="1" applyBorder="1"/>
    <xf numFmtId="0" fontId="104" fillId="0" borderId="0" xfId="0" applyFont="1"/>
    <xf numFmtId="0" fontId="105" fillId="0" borderId="0" xfId="0" applyFont="1"/>
    <xf numFmtId="3" fontId="106" fillId="0" borderId="0" xfId="0" applyNumberFormat="1" applyFont="1" applyFill="1"/>
    <xf numFmtId="0" fontId="68" fillId="0" borderId="40" xfId="0" applyFont="1" applyBorder="1" applyAlignment="1">
      <alignment horizontal="center"/>
    </xf>
    <xf numFmtId="0" fontId="81" fillId="0" borderId="49" xfId="0" applyFont="1" applyBorder="1" applyAlignment="1">
      <alignment horizontal="center"/>
    </xf>
    <xf numFmtId="0" fontId="81" fillId="0" borderId="133" xfId="0" applyFont="1" applyBorder="1" applyAlignment="1">
      <alignment horizontal="center"/>
    </xf>
    <xf numFmtId="0" fontId="81" fillId="0" borderId="43" xfId="0" applyFont="1" applyBorder="1" applyAlignment="1">
      <alignment horizontal="center"/>
    </xf>
    <xf numFmtId="0" fontId="68" fillId="0" borderId="39" xfId="0" applyFont="1" applyBorder="1" applyAlignment="1">
      <alignment horizontal="center"/>
    </xf>
    <xf numFmtId="0" fontId="68" fillId="0" borderId="31" xfId="0" applyFont="1" applyBorder="1" applyAlignment="1">
      <alignment horizontal="right"/>
    </xf>
    <xf numFmtId="0" fontId="68" fillId="0" borderId="31" xfId="0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81" fillId="0" borderId="60" xfId="0" applyFont="1" applyBorder="1" applyAlignment="1">
      <alignment horizontal="center"/>
    </xf>
    <xf numFmtId="0" fontId="81" fillId="0" borderId="95" xfId="0" applyFont="1" applyBorder="1" applyAlignment="1">
      <alignment horizontal="center"/>
    </xf>
    <xf numFmtId="0" fontId="81" fillId="0" borderId="31" xfId="0" applyFont="1" applyBorder="1" applyAlignment="1">
      <alignment horizontal="center"/>
    </xf>
    <xf numFmtId="0" fontId="68" fillId="24" borderId="17" xfId="0" applyFont="1" applyFill="1" applyBorder="1" applyAlignment="1">
      <alignment horizontal="center"/>
    </xf>
    <xf numFmtId="3" fontId="74" fillId="29" borderId="52" xfId="0" applyNumberFormat="1" applyFont="1" applyFill="1" applyBorder="1"/>
    <xf numFmtId="3" fontId="68" fillId="0" borderId="26" xfId="0" applyNumberFormat="1" applyFont="1" applyBorder="1"/>
    <xf numFmtId="3" fontId="81" fillId="0" borderId="11" xfId="0" applyNumberFormat="1" applyFont="1" applyBorder="1"/>
    <xf numFmtId="3" fontId="107" fillId="0" borderId="100" xfId="0" applyNumberFormat="1" applyFont="1" applyFill="1" applyBorder="1"/>
    <xf numFmtId="3" fontId="81" fillId="0" borderId="0" xfId="0" applyNumberFormat="1" applyFont="1" applyFill="1" applyBorder="1"/>
    <xf numFmtId="3" fontId="108" fillId="0" borderId="34" xfId="0" applyNumberFormat="1" applyFont="1" applyFill="1" applyBorder="1"/>
    <xf numFmtId="3" fontId="68" fillId="24" borderId="126" xfId="0" applyNumberFormat="1" applyFont="1" applyFill="1" applyBorder="1"/>
    <xf numFmtId="3" fontId="68" fillId="0" borderId="134" xfId="0" applyNumberFormat="1" applyFont="1" applyBorder="1"/>
    <xf numFmtId="0" fontId="68" fillId="0" borderId="29" xfId="0" applyFont="1" applyBorder="1" applyAlignment="1">
      <alignment horizontal="center"/>
    </xf>
    <xf numFmtId="3" fontId="68" fillId="0" borderId="135" xfId="0" applyNumberFormat="1" applyFont="1" applyBorder="1"/>
    <xf numFmtId="3" fontId="81" fillId="0" borderId="87" xfId="0" applyNumberFormat="1" applyFont="1" applyFill="1" applyBorder="1"/>
    <xf numFmtId="3" fontId="81" fillId="0" borderId="88" xfId="0" applyNumberFormat="1" applyFont="1" applyFill="1" applyBorder="1"/>
    <xf numFmtId="3" fontId="108" fillId="0" borderId="111" xfId="0" applyNumberFormat="1" applyFont="1" applyFill="1" applyBorder="1"/>
    <xf numFmtId="3" fontId="68" fillId="0" borderId="111" xfId="0" applyNumberFormat="1" applyFont="1" applyBorder="1"/>
    <xf numFmtId="3" fontId="109" fillId="0" borderId="87" xfId="0" applyNumberFormat="1" applyFont="1" applyFill="1" applyBorder="1"/>
    <xf numFmtId="0" fontId="68" fillId="0" borderId="136" xfId="0" applyFont="1" applyBorder="1" applyAlignment="1">
      <alignment horizontal="center"/>
    </xf>
    <xf numFmtId="0" fontId="68" fillId="0" borderId="136" xfId="0" applyFont="1" applyBorder="1"/>
    <xf numFmtId="3" fontId="81" fillId="0" borderId="137" xfId="0" applyNumberFormat="1" applyFont="1" applyFill="1" applyBorder="1"/>
    <xf numFmtId="3" fontId="108" fillId="0" borderId="113" xfId="0" applyNumberFormat="1" applyFont="1" applyFill="1" applyBorder="1"/>
    <xf numFmtId="3" fontId="68" fillId="0" borderId="138" xfId="0" applyNumberFormat="1" applyFont="1" applyBorder="1"/>
    <xf numFmtId="3" fontId="68" fillId="0" borderId="139" xfId="0" applyNumberFormat="1" applyFont="1" applyBorder="1"/>
    <xf numFmtId="0" fontId="81" fillId="0" borderId="70" xfId="0" applyFont="1" applyBorder="1" applyAlignment="1">
      <alignment horizontal="left"/>
    </xf>
    <xf numFmtId="0" fontId="81" fillId="0" borderId="70" xfId="0" applyFont="1" applyBorder="1"/>
    <xf numFmtId="3" fontId="81" fillId="0" borderId="71" xfId="0" applyNumberFormat="1" applyFont="1" applyBorder="1"/>
    <xf numFmtId="3" fontId="81" fillId="0" borderId="22" xfId="0" applyNumberFormat="1" applyFont="1" applyBorder="1"/>
    <xf numFmtId="3" fontId="81" fillId="0" borderId="135" xfId="0" applyNumberFormat="1" applyFont="1" applyBorder="1"/>
    <xf numFmtId="3" fontId="81" fillId="0" borderId="140" xfId="0" applyNumberFormat="1" applyFont="1" applyBorder="1"/>
    <xf numFmtId="3" fontId="81" fillId="0" borderId="34" xfId="0" applyNumberFormat="1" applyFont="1" applyBorder="1"/>
    <xf numFmtId="3" fontId="81" fillId="0" borderId="111" xfId="0" applyNumberFormat="1" applyFont="1" applyBorder="1"/>
    <xf numFmtId="0" fontId="68" fillId="0" borderId="141" xfId="0" applyFont="1" applyBorder="1" applyAlignment="1">
      <alignment horizontal="center"/>
    </xf>
    <xf numFmtId="3" fontId="81" fillId="0" borderId="92" xfId="0" applyNumberFormat="1" applyFont="1" applyFill="1" applyBorder="1"/>
    <xf numFmtId="3" fontId="108" fillId="0" borderId="139" xfId="0" applyNumberFormat="1" applyFont="1" applyFill="1" applyBorder="1"/>
    <xf numFmtId="3" fontId="81" fillId="0" borderId="139" xfId="0" applyNumberFormat="1" applyFont="1" applyBorder="1"/>
    <xf numFmtId="0" fontId="72" fillId="0" borderId="0" xfId="0" applyFont="1" applyBorder="1"/>
    <xf numFmtId="3" fontId="81" fillId="0" borderId="142" xfId="0" applyNumberFormat="1" applyFont="1" applyBorder="1"/>
    <xf numFmtId="0" fontId="81" fillId="0" borderId="0" xfId="0" applyFont="1"/>
    <xf numFmtId="3" fontId="81" fillId="0" borderId="72" xfId="0" applyNumberFormat="1" applyFont="1" applyBorder="1"/>
    <xf numFmtId="0" fontId="93" fillId="0" borderId="0" xfId="0" applyFont="1" applyFill="1"/>
    <xf numFmtId="0" fontId="68" fillId="0" borderId="98" xfId="0" applyFont="1" applyBorder="1" applyAlignment="1">
      <alignment horizontal="center"/>
    </xf>
    <xf numFmtId="0" fontId="69" fillId="0" borderId="47" xfId="0" applyFont="1" applyBorder="1" applyAlignment="1">
      <alignment horizontal="left"/>
    </xf>
    <xf numFmtId="0" fontId="74" fillId="0" borderId="24" xfId="0" applyFont="1" applyBorder="1" applyAlignment="1">
      <alignment horizontal="center"/>
    </xf>
    <xf numFmtId="0" fontId="74" fillId="0" borderId="45" xfId="0" applyFont="1" applyBorder="1" applyAlignment="1">
      <alignment horizontal="center"/>
    </xf>
    <xf numFmtId="0" fontId="70" fillId="0" borderId="97" xfId="0" applyFont="1" applyBorder="1" applyAlignment="1">
      <alignment horizontal="center"/>
    </xf>
    <xf numFmtId="0" fontId="69" fillId="0" borderId="46" xfId="0" applyFont="1" applyBorder="1" applyAlignment="1">
      <alignment horizontal="center"/>
    </xf>
    <xf numFmtId="0" fontId="68" fillId="0" borderId="48" xfId="0" applyFont="1" applyBorder="1"/>
    <xf numFmtId="0" fontId="74" fillId="0" borderId="43" xfId="0" applyFont="1" applyBorder="1"/>
    <xf numFmtId="0" fontId="68" fillId="0" borderId="102" xfId="0" applyFont="1" applyBorder="1" applyAlignment="1">
      <alignment horizontal="center"/>
    </xf>
    <xf numFmtId="0" fontId="74" fillId="0" borderId="51" xfId="0" applyFont="1" applyBorder="1" applyAlignment="1">
      <alignment horizontal="left"/>
    </xf>
    <xf numFmtId="0" fontId="74" fillId="0" borderId="143" xfId="0" applyFont="1" applyBorder="1" applyAlignment="1">
      <alignment horizontal="center"/>
    </xf>
    <xf numFmtId="0" fontId="74" fillId="0" borderId="43" xfId="0" applyFont="1" applyBorder="1" applyAlignment="1">
      <alignment horizontal="center"/>
    </xf>
    <xf numFmtId="0" fontId="70" fillId="0" borderId="101" xfId="0" applyFont="1" applyBorder="1" applyAlignment="1">
      <alignment horizontal="center"/>
    </xf>
    <xf numFmtId="0" fontId="70" fillId="0" borderId="102" xfId="0" applyFont="1" applyBorder="1" applyAlignment="1">
      <alignment horizontal="center"/>
    </xf>
    <xf numFmtId="0" fontId="69" fillId="0" borderId="50" xfId="0" applyFont="1" applyBorder="1" applyAlignment="1">
      <alignment horizontal="center"/>
    </xf>
    <xf numFmtId="0" fontId="74" fillId="29" borderId="48" xfId="0" applyFont="1" applyFill="1" applyBorder="1"/>
    <xf numFmtId="0" fontId="74" fillId="29" borderId="43" xfId="0" applyFont="1" applyFill="1" applyBorder="1"/>
    <xf numFmtId="0" fontId="70" fillId="29" borderId="95" xfId="0" applyFont="1" applyFill="1" applyBorder="1" applyAlignment="1">
      <alignment horizontal="center"/>
    </xf>
    <xf numFmtId="0" fontId="83" fillId="29" borderId="51" xfId="0" applyFont="1" applyFill="1" applyBorder="1" applyAlignment="1">
      <alignment horizontal="left"/>
    </xf>
    <xf numFmtId="3" fontId="74" fillId="29" borderId="31" xfId="0" applyNumberFormat="1" applyFont="1" applyFill="1" applyBorder="1"/>
    <xf numFmtId="3" fontId="71" fillId="29" borderId="31" xfId="0" applyNumberFormat="1" applyFont="1" applyFill="1" applyBorder="1"/>
    <xf numFmtId="3" fontId="71" fillId="29" borderId="95" xfId="0" applyNumberFormat="1" applyFont="1" applyFill="1" applyBorder="1"/>
    <xf numFmtId="3" fontId="69" fillId="29" borderId="61" xfId="0" applyNumberFormat="1" applyFont="1" applyFill="1" applyBorder="1"/>
    <xf numFmtId="0" fontId="70" fillId="0" borderId="57" xfId="0" applyFont="1" applyBorder="1"/>
    <xf numFmtId="0" fontId="72" fillId="0" borderId="57" xfId="0" applyFont="1" applyBorder="1"/>
    <xf numFmtId="0" fontId="72" fillId="0" borderId="28" xfId="0" applyFont="1" applyBorder="1"/>
    <xf numFmtId="0" fontId="72" fillId="0" borderId="128" xfId="0" applyFont="1" applyBorder="1" applyAlignment="1">
      <alignment horizontal="center"/>
    </xf>
    <xf numFmtId="0" fontId="88" fillId="0" borderId="144" xfId="0" applyFont="1" applyBorder="1" applyAlignment="1">
      <alignment horizontal="left"/>
    </xf>
    <xf numFmtId="3" fontId="81" fillId="0" borderId="126" xfId="0" applyNumberFormat="1" applyFont="1" applyBorder="1"/>
    <xf numFmtId="3" fontId="72" fillId="0" borderId="28" xfId="0" applyNumberFormat="1" applyFont="1" applyBorder="1"/>
    <xf numFmtId="3" fontId="72" fillId="0" borderId="127" xfId="0" applyNumberFormat="1" applyFont="1" applyBorder="1"/>
    <xf numFmtId="3" fontId="72" fillId="0" borderId="128" xfId="0" applyNumberFormat="1" applyFont="1" applyBorder="1"/>
    <xf numFmtId="3" fontId="88" fillId="0" borderId="145" xfId="0" applyNumberFormat="1" applyFont="1" applyBorder="1"/>
    <xf numFmtId="0" fontId="72" fillId="0" borderId="0" xfId="0" applyFont="1" applyAlignment="1">
      <alignment horizontal="center" wrapText="1"/>
    </xf>
    <xf numFmtId="0" fontId="88" fillId="0" borderId="57" xfId="0" applyFont="1" applyBorder="1"/>
    <xf numFmtId="0" fontId="88" fillId="0" borderId="0" xfId="0" applyFont="1" applyBorder="1"/>
    <xf numFmtId="0" fontId="88" fillId="32" borderId="28" xfId="0" applyFont="1" applyFill="1" applyBorder="1"/>
    <xf numFmtId="0" fontId="88" fillId="32" borderId="144" xfId="0" applyFont="1" applyFill="1" applyBorder="1" applyAlignment="1">
      <alignment horizontal="left"/>
    </xf>
    <xf numFmtId="3" fontId="88" fillId="32" borderId="126" xfId="0" applyNumberFormat="1" applyFont="1" applyFill="1" applyBorder="1"/>
    <xf numFmtId="3" fontId="88" fillId="32" borderId="28" xfId="0" applyNumberFormat="1" applyFont="1" applyFill="1" applyBorder="1"/>
    <xf numFmtId="3" fontId="88" fillId="32" borderId="127" xfId="0" applyNumberFormat="1" applyFont="1" applyFill="1" applyBorder="1"/>
    <xf numFmtId="3" fontId="88" fillId="32" borderId="128" xfId="0" applyNumberFormat="1" applyFont="1" applyFill="1" applyBorder="1"/>
    <xf numFmtId="0" fontId="70" fillId="0" borderId="128" xfId="0" applyFont="1" applyBorder="1" applyAlignment="1">
      <alignment horizontal="center"/>
    </xf>
    <xf numFmtId="0" fontId="69" fillId="0" borderId="144" xfId="0" applyFont="1" applyBorder="1" applyAlignment="1">
      <alignment horizontal="left"/>
    </xf>
    <xf numFmtId="3" fontId="68" fillId="0" borderId="126" xfId="0" applyNumberFormat="1" applyFont="1" applyBorder="1"/>
    <xf numFmtId="3" fontId="70" fillId="0" borderId="28" xfId="0" applyNumberFormat="1" applyFont="1" applyBorder="1"/>
    <xf numFmtId="3" fontId="70" fillId="0" borderId="127" xfId="0" applyNumberFormat="1" applyFont="1" applyBorder="1"/>
    <xf numFmtId="3" fontId="70" fillId="0" borderId="128" xfId="0" applyNumberFormat="1" applyFont="1" applyBorder="1"/>
    <xf numFmtId="3" fontId="69" fillId="0" borderId="145" xfId="0" applyNumberFormat="1" applyFont="1" applyBorder="1"/>
    <xf numFmtId="0" fontId="70" fillId="0" borderId="29" xfId="0" applyFont="1" applyFill="1" applyBorder="1"/>
    <xf numFmtId="0" fontId="70" fillId="0" borderId="28" xfId="0" applyFont="1" applyFill="1" applyBorder="1"/>
    <xf numFmtId="0" fontId="69" fillId="0" borderId="144" xfId="0" applyFont="1" applyFill="1" applyBorder="1" applyAlignment="1">
      <alignment horizontal="left"/>
    </xf>
    <xf numFmtId="0" fontId="69" fillId="0" borderId="146" xfId="0" applyFont="1" applyFill="1" applyBorder="1" applyAlignment="1">
      <alignment horizontal="left"/>
    </xf>
    <xf numFmtId="0" fontId="69" fillId="0" borderId="146" xfId="0" applyFont="1" applyBorder="1" applyAlignment="1">
      <alignment horizontal="left"/>
    </xf>
    <xf numFmtId="0" fontId="74" fillId="29" borderId="39" xfId="0" applyFont="1" applyFill="1" applyBorder="1"/>
    <xf numFmtId="0" fontId="74" fillId="29" borderId="31" xfId="0" applyFont="1" applyFill="1" applyBorder="1"/>
    <xf numFmtId="0" fontId="83" fillId="29" borderId="62" xfId="0" applyFont="1" applyFill="1" applyBorder="1" applyAlignment="1">
      <alignment horizontal="left"/>
    </xf>
    <xf numFmtId="0" fontId="70" fillId="0" borderId="69" xfId="0" applyFont="1" applyBorder="1"/>
    <xf numFmtId="0" fontId="70" fillId="0" borderId="136" xfId="0" applyFont="1" applyBorder="1"/>
    <xf numFmtId="0" fontId="70" fillId="0" borderId="137" xfId="0" applyFont="1" applyBorder="1" applyAlignment="1">
      <alignment horizontal="center"/>
    </xf>
    <xf numFmtId="0" fontId="69" fillId="0" borderId="147" xfId="0" applyFont="1" applyBorder="1" applyAlignment="1">
      <alignment horizontal="left"/>
    </xf>
    <xf numFmtId="3" fontId="70" fillId="0" borderId="136" xfId="0" applyNumberFormat="1" applyFont="1" applyBorder="1"/>
    <xf numFmtId="3" fontId="70" fillId="0" borderId="137" xfId="0" applyNumberFormat="1" applyFont="1" applyBorder="1"/>
    <xf numFmtId="3" fontId="69" fillId="0" borderId="148" xfId="0" applyNumberFormat="1" applyFont="1" applyBorder="1"/>
    <xf numFmtId="0" fontId="70" fillId="0" borderId="48" xfId="0" applyFont="1" applyBorder="1"/>
    <xf numFmtId="0" fontId="70" fillId="0" borderId="43" xfId="0" applyFont="1" applyBorder="1"/>
    <xf numFmtId="0" fontId="70" fillId="0" borderId="51" xfId="0" applyFont="1" applyBorder="1" applyAlignment="1">
      <alignment horizontal="left"/>
    </xf>
    <xf numFmtId="3" fontId="68" fillId="0" borderId="143" xfId="0" applyNumberFormat="1" applyFont="1" applyBorder="1"/>
    <xf numFmtId="3" fontId="70" fillId="0" borderId="43" xfId="0" applyNumberFormat="1" applyFont="1" applyBorder="1"/>
    <xf numFmtId="3" fontId="70" fillId="0" borderId="102" xfId="0" applyNumberFormat="1" applyFont="1" applyBorder="1"/>
    <xf numFmtId="3" fontId="69" fillId="0" borderId="50" xfId="0" applyNumberFormat="1" applyFont="1" applyBorder="1"/>
    <xf numFmtId="0" fontId="69" fillId="0" borderId="0" xfId="0" applyFont="1" applyAlignment="1">
      <alignment horizontal="left"/>
    </xf>
    <xf numFmtId="0" fontId="104" fillId="0" borderId="0" xfId="0" applyFont="1" applyFill="1"/>
    <xf numFmtId="0" fontId="104" fillId="0" borderId="0" xfId="0" applyFont="1" applyAlignment="1">
      <alignment horizontal="center"/>
    </xf>
    <xf numFmtId="0" fontId="104" fillId="0" borderId="0" xfId="0" applyFont="1" applyAlignment="1">
      <alignment horizontal="left"/>
    </xf>
    <xf numFmtId="0" fontId="100" fillId="0" borderId="0" xfId="0" applyFont="1"/>
    <xf numFmtId="0" fontId="110" fillId="0" borderId="0" xfId="0" applyFont="1"/>
    <xf numFmtId="0" fontId="68" fillId="0" borderId="0" xfId="0" applyFont="1" applyAlignment="1">
      <alignment horizontal="center"/>
    </xf>
    <xf numFmtId="3" fontId="68" fillId="0" borderId="11" xfId="0" applyNumberFormat="1" applyFont="1" applyBorder="1"/>
    <xf numFmtId="3" fontId="68" fillId="0" borderId="119" xfId="0" applyNumberFormat="1" applyFont="1" applyBorder="1"/>
    <xf numFmtId="3" fontId="81" fillId="0" borderId="119" xfId="0" applyNumberFormat="1" applyFont="1" applyBorder="1"/>
    <xf numFmtId="3" fontId="81" fillId="0" borderId="29" xfId="0" applyNumberFormat="1" applyFont="1" applyFill="1" applyBorder="1"/>
    <xf numFmtId="3" fontId="81" fillId="0" borderId="136" xfId="0" applyNumberFormat="1" applyFont="1" applyFill="1" applyBorder="1"/>
    <xf numFmtId="3" fontId="68" fillId="0" borderId="100" xfId="0" applyNumberFormat="1" applyFont="1" applyBorder="1"/>
    <xf numFmtId="3" fontId="81" fillId="0" borderId="87" xfId="0" applyNumberFormat="1" applyFont="1" applyBorder="1"/>
    <xf numFmtId="0" fontId="74" fillId="29" borderId="36" xfId="0" applyFont="1" applyFill="1" applyBorder="1" applyAlignment="1">
      <alignment horizontal="center"/>
    </xf>
    <xf numFmtId="0" fontId="100" fillId="0" borderId="149" xfId="0" applyFont="1" applyBorder="1" applyAlignment="1">
      <alignment horizontal="center"/>
    </xf>
    <xf numFmtId="0" fontId="68" fillId="31" borderId="25" xfId="0" applyFont="1" applyFill="1" applyBorder="1" applyAlignment="1">
      <alignment horizontal="center"/>
    </xf>
    <xf numFmtId="0" fontId="74" fillId="29" borderId="25" xfId="0" applyFont="1" applyFill="1" applyBorder="1" applyAlignment="1">
      <alignment horizontal="center"/>
    </xf>
    <xf numFmtId="0" fontId="100" fillId="0" borderId="150" xfId="0" applyFont="1" applyBorder="1" applyAlignment="1">
      <alignment horizontal="center"/>
    </xf>
    <xf numFmtId="0" fontId="74" fillId="29" borderId="143" xfId="0" applyFont="1" applyFill="1" applyBorder="1" applyAlignment="1">
      <alignment horizontal="center"/>
    </xf>
    <xf numFmtId="0" fontId="68" fillId="31" borderId="143" xfId="0" applyFont="1" applyFill="1" applyBorder="1" applyAlignment="1">
      <alignment horizontal="center"/>
    </xf>
    <xf numFmtId="0" fontId="68" fillId="0" borderId="119" xfId="80" applyFont="1" applyBorder="1" applyAlignment="1">
      <alignment horizontal="center"/>
    </xf>
    <xf numFmtId="3" fontId="93" fillId="0" borderId="146" xfId="80" applyNumberFormat="1" applyFont="1" applyFill="1" applyBorder="1"/>
    <xf numFmtId="3" fontId="100" fillId="0" borderId="0" xfId="0" applyNumberFormat="1" applyFont="1"/>
    <xf numFmtId="0" fontId="111" fillId="0" borderId="0" xfId="0" applyFont="1"/>
    <xf numFmtId="0" fontId="100" fillId="0" borderId="38" xfId="0" applyFont="1" applyFill="1" applyBorder="1" applyAlignment="1">
      <alignment horizontal="center"/>
    </xf>
    <xf numFmtId="0" fontId="68" fillId="24" borderId="25" xfId="0" applyFont="1" applyFill="1" applyBorder="1" applyAlignment="1">
      <alignment horizontal="center"/>
    </xf>
    <xf numFmtId="0" fontId="100" fillId="0" borderId="34" xfId="0" applyFont="1" applyFill="1" applyBorder="1" applyAlignment="1">
      <alignment horizontal="center"/>
    </xf>
    <xf numFmtId="0" fontId="100" fillId="0" borderId="41" xfId="0" applyFont="1" applyFill="1" applyBorder="1" applyAlignment="1">
      <alignment horizontal="center"/>
    </xf>
    <xf numFmtId="0" fontId="68" fillId="24" borderId="143" xfId="0" applyFont="1" applyFill="1" applyBorder="1" applyAlignment="1">
      <alignment horizontal="center"/>
    </xf>
    <xf numFmtId="0" fontId="74" fillId="29" borderId="17" xfId="0" applyFont="1" applyFill="1" applyBorder="1" applyAlignment="1">
      <alignment horizontal="center"/>
    </xf>
    <xf numFmtId="0" fontId="100" fillId="0" borderId="23" xfId="0" applyFont="1" applyFill="1" applyBorder="1" applyAlignment="1">
      <alignment horizontal="center"/>
    </xf>
    <xf numFmtId="3" fontId="81" fillId="0" borderId="0" xfId="0" applyNumberFormat="1" applyFont="1"/>
    <xf numFmtId="0" fontId="112" fillId="0" borderId="0" xfId="0" applyFont="1"/>
    <xf numFmtId="0" fontId="113" fillId="0" borderId="0" xfId="0" applyFont="1"/>
    <xf numFmtId="3" fontId="112" fillId="0" borderId="0" xfId="0" applyNumberFormat="1" applyFont="1"/>
    <xf numFmtId="4" fontId="114" fillId="0" borderId="0" xfId="0" applyNumberFormat="1" applyFont="1"/>
    <xf numFmtId="0" fontId="93" fillId="29" borderId="0" xfId="0" applyFont="1" applyFill="1"/>
    <xf numFmtId="0" fontId="68" fillId="29" borderId="0" xfId="0" applyFont="1" applyFill="1"/>
    <xf numFmtId="4" fontId="115" fillId="0" borderId="18" xfId="0" applyNumberFormat="1" applyFont="1" applyBorder="1"/>
    <xf numFmtId="0" fontId="64" fillId="36" borderId="21" xfId="0" applyFont="1" applyFill="1" applyBorder="1" applyAlignment="1">
      <alignment horizontal="center" wrapText="1"/>
    </xf>
    <xf numFmtId="0" fontId="64" fillId="36" borderId="14" xfId="0" applyFont="1" applyFill="1" applyBorder="1" applyAlignment="1">
      <alignment horizontal="center" wrapText="1"/>
    </xf>
    <xf numFmtId="4" fontId="59" fillId="36" borderId="10" xfId="0" applyNumberFormat="1" applyFont="1" applyFill="1" applyBorder="1"/>
    <xf numFmtId="4" fontId="64" fillId="36" borderId="18" xfId="0" applyNumberFormat="1" applyFont="1" applyFill="1" applyBorder="1"/>
    <xf numFmtId="4" fontId="59" fillId="36" borderId="22" xfId="0" applyNumberFormat="1" applyFont="1" applyFill="1" applyBorder="1"/>
    <xf numFmtId="4" fontId="64" fillId="36" borderId="23" xfId="0" applyNumberFormat="1" applyFont="1" applyFill="1" applyBorder="1"/>
    <xf numFmtId="3" fontId="70" fillId="0" borderId="15" xfId="0" applyNumberFormat="1" applyFont="1" applyFill="1" applyBorder="1"/>
    <xf numFmtId="0" fontId="70" fillId="36" borderId="32" xfId="0" applyFont="1" applyFill="1" applyBorder="1" applyAlignment="1">
      <alignment horizontal="center"/>
    </xf>
    <xf numFmtId="0" fontId="70" fillId="36" borderId="12" xfId="0" applyFont="1" applyFill="1" applyBorder="1" applyAlignment="1">
      <alignment horizontal="center"/>
    </xf>
    <xf numFmtId="3" fontId="70" fillId="36" borderId="10" xfId="0" applyNumberFormat="1" applyFont="1" applyFill="1" applyBorder="1"/>
    <xf numFmtId="3" fontId="70" fillId="36" borderId="37" xfId="0" applyNumberFormat="1" applyFont="1" applyFill="1" applyBorder="1"/>
    <xf numFmtId="3" fontId="72" fillId="36" borderId="18" xfId="0" applyNumberFormat="1" applyFont="1" applyFill="1" applyBorder="1"/>
    <xf numFmtId="3" fontId="70" fillId="36" borderId="12" xfId="0" applyNumberFormat="1" applyFont="1" applyFill="1" applyBorder="1"/>
    <xf numFmtId="3" fontId="70" fillId="36" borderId="18" xfId="0" applyNumberFormat="1" applyFont="1" applyFill="1" applyBorder="1"/>
    <xf numFmtId="1" fontId="93" fillId="40" borderId="55" xfId="0" applyNumberFormat="1" applyFont="1" applyFill="1" applyBorder="1" applyAlignment="1">
      <alignment horizontal="center"/>
    </xf>
    <xf numFmtId="0" fontId="93" fillId="36" borderId="107" xfId="0" applyFont="1" applyFill="1" applyBorder="1" applyAlignment="1">
      <alignment horizontal="center"/>
    </xf>
    <xf numFmtId="0" fontId="93" fillId="36" borderId="103" xfId="0" applyFont="1" applyFill="1" applyBorder="1" applyAlignment="1">
      <alignment horizontal="center"/>
    </xf>
    <xf numFmtId="16" fontId="93" fillId="36" borderId="55" xfId="0" applyNumberFormat="1" applyFont="1" applyFill="1" applyBorder="1" applyAlignment="1">
      <alignment horizontal="center"/>
    </xf>
    <xf numFmtId="0" fontId="93" fillId="36" borderId="105" xfId="0" applyFont="1" applyFill="1" applyBorder="1" applyAlignment="1">
      <alignment horizontal="center"/>
    </xf>
    <xf numFmtId="4" fontId="93" fillId="36" borderId="124" xfId="0" applyNumberFormat="1" applyFont="1" applyFill="1" applyBorder="1"/>
    <xf numFmtId="0" fontId="93" fillId="36" borderId="42" xfId="0" applyFont="1" applyFill="1" applyBorder="1" applyAlignment="1">
      <alignment horizontal="center"/>
    </xf>
    <xf numFmtId="0" fontId="93" fillId="36" borderId="57" xfId="0" applyFont="1" applyFill="1" applyBorder="1" applyAlignment="1">
      <alignment horizontal="center"/>
    </xf>
    <xf numFmtId="0" fontId="93" fillId="36" borderId="151" xfId="0" applyFont="1" applyFill="1" applyBorder="1" applyAlignment="1">
      <alignment horizontal="center"/>
    </xf>
    <xf numFmtId="0" fontId="93" fillId="36" borderId="152" xfId="0" applyFont="1" applyFill="1" applyBorder="1" applyAlignment="1">
      <alignment horizontal="center"/>
    </xf>
    <xf numFmtId="3" fontId="93" fillId="36" borderId="153" xfId="0" applyNumberFormat="1" applyFont="1" applyFill="1" applyBorder="1"/>
    <xf numFmtId="3" fontId="96" fillId="36" borderId="152" xfId="0" applyNumberFormat="1" applyFont="1" applyFill="1" applyBorder="1"/>
    <xf numFmtId="4" fontId="63" fillId="0" borderId="0" xfId="0" applyNumberFormat="1" applyFont="1" applyFill="1"/>
    <xf numFmtId="4" fontId="92" fillId="0" borderId="0" xfId="0" applyNumberFormat="1" applyFont="1" applyFill="1"/>
    <xf numFmtId="4" fontId="70" fillId="40" borderId="22" xfId="0" applyNumberFormat="1" applyFont="1" applyFill="1" applyBorder="1"/>
    <xf numFmtId="4" fontId="70" fillId="40" borderId="38" xfId="0" applyNumberFormat="1" applyFont="1" applyFill="1" applyBorder="1"/>
    <xf numFmtId="4" fontId="72" fillId="40" borderId="23" xfId="0" applyNumberFormat="1" applyFont="1" applyFill="1" applyBorder="1"/>
    <xf numFmtId="4" fontId="70" fillId="40" borderId="35" xfId="0" applyNumberFormat="1" applyFont="1" applyFill="1" applyBorder="1"/>
    <xf numFmtId="4" fontId="70" fillId="40" borderId="23" xfId="0" applyNumberFormat="1" applyFont="1" applyFill="1" applyBorder="1"/>
    <xf numFmtId="10" fontId="69" fillId="0" borderId="17" xfId="0" applyNumberFormat="1" applyFont="1" applyBorder="1" applyAlignment="1">
      <alignment horizontal="center"/>
    </xf>
    <xf numFmtId="10" fontId="69" fillId="0" borderId="23" xfId="0" applyNumberFormat="1" applyFont="1" applyBorder="1" applyAlignment="1">
      <alignment horizontal="center"/>
    </xf>
    <xf numFmtId="3" fontId="68" fillId="24" borderId="15" xfId="0" applyNumberFormat="1" applyFont="1" applyFill="1" applyBorder="1"/>
    <xf numFmtId="0" fontId="70" fillId="37" borderId="0" xfId="0" applyFont="1" applyFill="1"/>
    <xf numFmtId="0" fontId="93" fillId="36" borderId="46" xfId="0" applyFont="1" applyFill="1" applyBorder="1" applyAlignment="1">
      <alignment horizontal="center"/>
    </xf>
    <xf numFmtId="0" fontId="93" fillId="40" borderId="46" xfId="0" applyFont="1" applyFill="1" applyBorder="1" applyAlignment="1">
      <alignment horizontal="center"/>
    </xf>
    <xf numFmtId="0" fontId="93" fillId="0" borderId="124" xfId="0" applyFont="1" applyFill="1" applyBorder="1" applyAlignment="1">
      <alignment horizontal="center"/>
    </xf>
    <xf numFmtId="0" fontId="93" fillId="36" borderId="124" xfId="0" applyFont="1" applyFill="1" applyBorder="1" applyAlignment="1">
      <alignment horizontal="center"/>
    </xf>
    <xf numFmtId="0" fontId="93" fillId="40" borderId="145" xfId="0" applyFont="1" applyFill="1" applyBorder="1" applyAlignment="1">
      <alignment horizontal="center"/>
    </xf>
    <xf numFmtId="0" fontId="88" fillId="0" borderId="14" xfId="0" applyFont="1" applyBorder="1" applyAlignment="1">
      <alignment horizontal="right"/>
    </xf>
    <xf numFmtId="0" fontId="68" fillId="0" borderId="10" xfId="0" applyFont="1" applyBorder="1" applyAlignment="1">
      <alignment horizontal="right"/>
    </xf>
    <xf numFmtId="3" fontId="68" fillId="37" borderId="87" xfId="0" applyNumberFormat="1" applyFont="1" applyFill="1" applyBorder="1"/>
    <xf numFmtId="3" fontId="69" fillId="40" borderId="22" xfId="0" applyNumberFormat="1" applyFont="1" applyFill="1" applyBorder="1"/>
    <xf numFmtId="3" fontId="96" fillId="37" borderId="109" xfId="0" applyNumberFormat="1" applyFont="1" applyFill="1" applyBorder="1"/>
    <xf numFmtId="4" fontId="93" fillId="37" borderId="124" xfId="0" applyNumberFormat="1" applyFont="1" applyFill="1" applyBorder="1"/>
    <xf numFmtId="4" fontId="96" fillId="37" borderId="105" xfId="0" applyNumberFormat="1" applyFont="1" applyFill="1" applyBorder="1"/>
    <xf numFmtId="4" fontId="70" fillId="40" borderId="10" xfId="0" applyNumberFormat="1" applyFont="1" applyFill="1" applyBorder="1"/>
    <xf numFmtId="4" fontId="70" fillId="40" borderId="37" xfId="0" applyNumberFormat="1" applyFont="1" applyFill="1" applyBorder="1"/>
    <xf numFmtId="4" fontId="72" fillId="40" borderId="18" xfId="0" applyNumberFormat="1" applyFont="1" applyFill="1" applyBorder="1"/>
    <xf numFmtId="4" fontId="70" fillId="40" borderId="12" xfId="0" applyNumberFormat="1" applyFont="1" applyFill="1" applyBorder="1"/>
    <xf numFmtId="4" fontId="70" fillId="40" borderId="18" xfId="0" applyNumberFormat="1" applyFont="1" applyFill="1" applyBorder="1"/>
    <xf numFmtId="0" fontId="68" fillId="36" borderId="46" xfId="0" applyFont="1" applyFill="1" applyBorder="1" applyAlignment="1">
      <alignment horizontal="center"/>
    </xf>
    <xf numFmtId="0" fontId="68" fillId="36" borderId="50" xfId="0" applyFont="1" applyFill="1" applyBorder="1" applyAlignment="1">
      <alignment horizontal="center"/>
    </xf>
    <xf numFmtId="0" fontId="68" fillId="43" borderId="46" xfId="0" applyFont="1" applyFill="1" applyBorder="1" applyAlignment="1">
      <alignment horizontal="center"/>
    </xf>
    <xf numFmtId="0" fontId="68" fillId="43" borderId="50" xfId="0" applyFont="1" applyFill="1" applyBorder="1" applyAlignment="1">
      <alignment horizontal="center"/>
    </xf>
    <xf numFmtId="0" fontId="68" fillId="40" borderId="39" xfId="0" applyFont="1" applyFill="1" applyBorder="1"/>
    <xf numFmtId="0" fontId="70" fillId="0" borderId="68" xfId="0" applyFont="1" applyFill="1" applyBorder="1"/>
    <xf numFmtId="0" fontId="70" fillId="0" borderId="154" xfId="0" applyFont="1" applyFill="1" applyBorder="1"/>
    <xf numFmtId="0" fontId="68" fillId="0" borderId="66" xfId="0" applyFont="1" applyFill="1" applyBorder="1" applyAlignment="1">
      <alignment horizontal="right"/>
    </xf>
    <xf numFmtId="0" fontId="68" fillId="0" borderId="64" xfId="0" applyFont="1" applyFill="1" applyBorder="1" applyAlignment="1">
      <alignment horizontal="right"/>
    </xf>
    <xf numFmtId="0" fontId="68" fillId="0" borderId="155" xfId="0" applyFont="1" applyFill="1" applyBorder="1" applyAlignment="1">
      <alignment horizontal="center"/>
    </xf>
    <xf numFmtId="0" fontId="68" fillId="25" borderId="156" xfId="0" applyFont="1" applyFill="1" applyBorder="1"/>
    <xf numFmtId="0" fontId="68" fillId="0" borderId="15" xfId="0" applyFont="1" applyBorder="1" applyAlignment="1">
      <alignment horizontal="center"/>
    </xf>
    <xf numFmtId="0" fontId="68" fillId="0" borderId="157" xfId="0" applyFont="1" applyBorder="1" applyAlignment="1">
      <alignment horizontal="center"/>
    </xf>
    <xf numFmtId="0" fontId="102" fillId="0" borderId="17" xfId="0" applyFont="1" applyBorder="1" applyAlignment="1">
      <alignment horizontal="center"/>
    </xf>
    <xf numFmtId="0" fontId="102" fillId="0" borderId="31" xfId="0" applyFont="1" applyFill="1" applyBorder="1"/>
    <xf numFmtId="3" fontId="102" fillId="0" borderId="0" xfId="0" applyNumberFormat="1" applyFont="1"/>
    <xf numFmtId="0" fontId="116" fillId="0" borderId="0" xfId="0" applyFont="1"/>
    <xf numFmtId="0" fontId="102" fillId="0" borderId="0" xfId="0" applyFont="1"/>
    <xf numFmtId="3" fontId="74" fillId="29" borderId="25" xfId="0" applyNumberFormat="1" applyFont="1" applyFill="1" applyBorder="1"/>
    <xf numFmtId="3" fontId="68" fillId="0" borderId="99" xfId="0" applyNumberFormat="1" applyFont="1" applyBorder="1"/>
    <xf numFmtId="3" fontId="68" fillId="0" borderId="158" xfId="0" applyNumberFormat="1" applyFont="1" applyBorder="1"/>
    <xf numFmtId="3" fontId="102" fillId="29" borderId="15" xfId="0" applyNumberFormat="1" applyFont="1" applyFill="1" applyBorder="1"/>
    <xf numFmtId="3" fontId="81" fillId="24" borderId="15" xfId="0" applyNumberFormat="1" applyFont="1" applyFill="1" applyBorder="1"/>
    <xf numFmtId="4" fontId="81" fillId="0" borderId="0" xfId="0" applyNumberFormat="1" applyFont="1"/>
    <xf numFmtId="0" fontId="3" fillId="0" borderId="0" xfId="50" applyFont="1" applyBorder="1" applyAlignment="1">
      <alignment horizontal="center"/>
    </xf>
    <xf numFmtId="0" fontId="3" fillId="0" borderId="0" xfId="50" applyFont="1" applyBorder="1"/>
    <xf numFmtId="0" fontId="3" fillId="0" borderId="0" xfId="50" applyFont="1" applyFill="1" applyBorder="1"/>
    <xf numFmtId="0" fontId="3" fillId="0" borderId="0" xfId="50" applyBorder="1"/>
    <xf numFmtId="9" fontId="82" fillId="0" borderId="0" xfId="0" applyNumberFormat="1" applyFont="1"/>
    <xf numFmtId="0" fontId="68" fillId="0" borderId="75" xfId="0" applyFont="1" applyFill="1" applyBorder="1" applyAlignment="1">
      <alignment horizontal="center" wrapText="1"/>
    </xf>
    <xf numFmtId="0" fontId="68" fillId="0" borderId="20" xfId="0" applyFont="1" applyFill="1" applyBorder="1" applyAlignment="1">
      <alignment horizontal="center" wrapText="1"/>
    </xf>
    <xf numFmtId="0" fontId="68" fillId="0" borderId="114" xfId="0" applyFont="1" applyFill="1" applyBorder="1" applyAlignment="1">
      <alignment horizontal="center" wrapText="1"/>
    </xf>
    <xf numFmtId="0" fontId="106" fillId="0" borderId="15" xfId="0" applyFont="1" applyBorder="1"/>
    <xf numFmtId="3" fontId="70" fillId="0" borderId="21" xfId="0" applyNumberFormat="1" applyFont="1" applyFill="1" applyBorder="1"/>
    <xf numFmtId="3" fontId="70" fillId="0" borderId="22" xfId="0" applyNumberFormat="1" applyFont="1" applyFill="1" applyBorder="1"/>
    <xf numFmtId="3" fontId="70" fillId="0" borderId="36" xfId="0" applyNumberFormat="1" applyFont="1" applyFill="1" applyBorder="1"/>
    <xf numFmtId="3" fontId="70" fillId="0" borderId="27" xfId="0" applyNumberFormat="1" applyFont="1" applyFill="1" applyBorder="1"/>
    <xf numFmtId="3" fontId="70" fillId="0" borderId="24" xfId="0" applyNumberFormat="1" applyFont="1" applyFill="1" applyBorder="1"/>
    <xf numFmtId="0" fontId="34" fillId="0" borderId="0" xfId="0" applyFont="1"/>
    <xf numFmtId="3" fontId="82" fillId="0" borderId="0" xfId="0" applyNumberFormat="1" applyFont="1"/>
    <xf numFmtId="3" fontId="81" fillId="0" borderId="10" xfId="0" applyNumberFormat="1" applyFont="1" applyBorder="1"/>
    <xf numFmtId="9" fontId="62" fillId="36" borderId="22" xfId="0" applyNumberFormat="1" applyFont="1" applyFill="1" applyBorder="1"/>
    <xf numFmtId="9" fontId="62" fillId="0" borderId="22" xfId="0" applyNumberFormat="1" applyFont="1" applyBorder="1"/>
    <xf numFmtId="9" fontId="62" fillId="0" borderId="22" xfId="0" applyNumberFormat="1" applyFont="1" applyFill="1" applyBorder="1"/>
    <xf numFmtId="9" fontId="66" fillId="39" borderId="114" xfId="0" applyNumberFormat="1" applyFont="1" applyFill="1" applyBorder="1"/>
    <xf numFmtId="3" fontId="57" fillId="44" borderId="10" xfId="0" applyNumberFormat="1" applyFont="1" applyFill="1" applyBorder="1"/>
    <xf numFmtId="3" fontId="81" fillId="0" borderId="30" xfId="0" applyNumberFormat="1" applyFont="1" applyFill="1" applyBorder="1"/>
    <xf numFmtId="3" fontId="81" fillId="0" borderId="159" xfId="0" applyNumberFormat="1" applyFont="1" applyFill="1" applyBorder="1"/>
    <xf numFmtId="3" fontId="81" fillId="0" borderId="160" xfId="0" applyNumberFormat="1" applyFont="1" applyFill="1" applyBorder="1"/>
    <xf numFmtId="3" fontId="74" fillId="29" borderId="95" xfId="0" applyNumberFormat="1" applyFont="1" applyFill="1" applyBorder="1"/>
    <xf numFmtId="3" fontId="74" fillId="29" borderId="161" xfId="0" applyNumberFormat="1" applyFont="1" applyFill="1" applyBorder="1"/>
    <xf numFmtId="0" fontId="81" fillId="0" borderId="43" xfId="0" applyFont="1" applyBorder="1"/>
    <xf numFmtId="3" fontId="81" fillId="0" borderId="43" xfId="0" applyNumberFormat="1" applyFont="1" applyBorder="1"/>
    <xf numFmtId="3" fontId="81" fillId="0" borderId="49" xfId="0" applyNumberFormat="1" applyFont="1" applyBorder="1"/>
    <xf numFmtId="3" fontId="81" fillId="0" borderId="102" xfId="0" applyNumberFormat="1" applyFont="1" applyBorder="1"/>
    <xf numFmtId="3" fontId="108" fillId="0" borderId="41" xfId="0" applyNumberFormat="1" applyFont="1" applyFill="1" applyBorder="1"/>
    <xf numFmtId="3" fontId="81" fillId="24" borderId="25" xfId="0" applyNumberFormat="1" applyFont="1" applyFill="1" applyBorder="1"/>
    <xf numFmtId="0" fontId="81" fillId="0" borderId="71" xfId="0" applyFont="1" applyBorder="1"/>
    <xf numFmtId="3" fontId="102" fillId="29" borderId="160" xfId="0" applyNumberFormat="1" applyFont="1" applyFill="1" applyBorder="1"/>
    <xf numFmtId="3" fontId="102" fillId="29" borderId="72" xfId="0" applyNumberFormat="1" applyFont="1" applyFill="1" applyBorder="1"/>
    <xf numFmtId="3" fontId="81" fillId="24" borderId="64" xfId="0" applyNumberFormat="1" applyFont="1" applyFill="1" applyBorder="1"/>
    <xf numFmtId="0" fontId="41" fillId="0" borderId="0" xfId="0" applyFont="1"/>
    <xf numFmtId="3" fontId="0" fillId="0" borderId="0" xfId="0" applyNumberFormat="1"/>
    <xf numFmtId="4" fontId="70" fillId="0" borderId="0" xfId="0" applyNumberFormat="1" applyFont="1"/>
    <xf numFmtId="3" fontId="68" fillId="0" borderId="162" xfId="0" applyNumberFormat="1" applyFont="1" applyBorder="1"/>
    <xf numFmtId="3" fontId="68" fillId="0" borderId="141" xfId="0" applyNumberFormat="1" applyFont="1" applyBorder="1"/>
    <xf numFmtId="3" fontId="81" fillId="0" borderId="137" xfId="0" applyNumberFormat="1" applyFont="1" applyBorder="1"/>
    <xf numFmtId="3" fontId="117" fillId="40" borderId="41" xfId="0" applyNumberFormat="1" applyFont="1" applyFill="1" applyBorder="1"/>
    <xf numFmtId="3" fontId="68" fillId="0" borderId="122" xfId="0" applyNumberFormat="1" applyFont="1" applyBorder="1"/>
    <xf numFmtId="3" fontId="68" fillId="0" borderId="91" xfId="0" applyNumberFormat="1" applyFont="1" applyBorder="1"/>
    <xf numFmtId="3" fontId="68" fillId="24" borderId="25" xfId="0" applyNumberFormat="1" applyFont="1" applyFill="1" applyBorder="1"/>
    <xf numFmtId="3" fontId="68" fillId="0" borderId="163" xfId="0" applyNumberFormat="1" applyFont="1" applyBorder="1"/>
    <xf numFmtId="0" fontId="68" fillId="31" borderId="36" xfId="0" applyFont="1" applyFill="1" applyBorder="1" applyAlignment="1">
      <alignment horizontal="center"/>
    </xf>
    <xf numFmtId="3" fontId="102" fillId="29" borderId="164" xfId="0" applyNumberFormat="1" applyFont="1" applyFill="1" applyBorder="1"/>
    <xf numFmtId="3" fontId="102" fillId="29" borderId="95" xfId="0" applyNumberFormat="1" applyFont="1" applyFill="1" applyBorder="1"/>
    <xf numFmtId="3" fontId="68" fillId="31" borderId="75" xfId="0" applyNumberFormat="1" applyFont="1" applyFill="1" applyBorder="1"/>
    <xf numFmtId="3" fontId="68" fillId="31" borderId="165" xfId="0" applyNumberFormat="1" applyFont="1" applyFill="1" applyBorder="1"/>
    <xf numFmtId="3" fontId="102" fillId="29" borderId="31" xfId="0" applyNumberFormat="1" applyFont="1" applyFill="1" applyBorder="1"/>
    <xf numFmtId="3" fontId="81" fillId="31" borderId="39" xfId="0" applyNumberFormat="1" applyFont="1" applyFill="1" applyBorder="1"/>
    <xf numFmtId="3" fontId="81" fillId="31" borderId="95" xfId="0" applyNumberFormat="1" applyFont="1" applyFill="1" applyBorder="1"/>
    <xf numFmtId="3" fontId="81" fillId="0" borderId="160" xfId="0" applyNumberFormat="1" applyFont="1" applyBorder="1"/>
    <xf numFmtId="3" fontId="102" fillId="29" borderId="159" xfId="0" applyNumberFormat="1" applyFont="1" applyFill="1" applyBorder="1"/>
    <xf numFmtId="3" fontId="102" fillId="29" borderId="163" xfId="0" applyNumberFormat="1" applyFont="1" applyFill="1" applyBorder="1"/>
    <xf numFmtId="3" fontId="68" fillId="0" borderId="88" xfId="0" applyNumberFormat="1" applyFont="1" applyBorder="1"/>
    <xf numFmtId="0" fontId="74" fillId="43" borderId="0" xfId="0" applyFont="1" applyFill="1"/>
    <xf numFmtId="0" fontId="68" fillId="43" borderId="0" xfId="0" applyFont="1" applyFill="1"/>
    <xf numFmtId="0" fontId="99" fillId="43" borderId="0" xfId="0" applyFont="1" applyFill="1"/>
    <xf numFmtId="0" fontId="118" fillId="0" borderId="0" xfId="0" applyFont="1"/>
    <xf numFmtId="3" fontId="0" fillId="0" borderId="10" xfId="0" applyNumberFormat="1" applyBorder="1"/>
    <xf numFmtId="4" fontId="93" fillId="0" borderId="110" xfId="0" applyNumberFormat="1" applyFont="1" applyFill="1" applyBorder="1"/>
    <xf numFmtId="3" fontId="41" fillId="0" borderId="10" xfId="0" applyNumberFormat="1" applyFont="1" applyBorder="1"/>
    <xf numFmtId="0" fontId="74" fillId="29" borderId="46" xfId="0" applyFont="1" applyFill="1" applyBorder="1" applyAlignment="1">
      <alignment horizontal="center"/>
    </xf>
    <xf numFmtId="0" fontId="74" fillId="29" borderId="50" xfId="0" applyFont="1" applyFill="1" applyBorder="1" applyAlignment="1">
      <alignment horizontal="center"/>
    </xf>
    <xf numFmtId="0" fontId="68" fillId="0" borderId="45" xfId="0" applyFont="1" applyBorder="1" applyAlignment="1">
      <alignment horizontal="right"/>
    </xf>
    <xf numFmtId="0" fontId="68" fillId="0" borderId="82" xfId="0" applyFont="1" applyBorder="1" applyAlignment="1">
      <alignment horizontal="center"/>
    </xf>
    <xf numFmtId="3" fontId="74" fillId="29" borderId="166" xfId="0" applyNumberFormat="1" applyFont="1" applyFill="1" applyBorder="1"/>
    <xf numFmtId="3" fontId="74" fillId="29" borderId="39" xfId="0" applyNumberFormat="1" applyFont="1" applyFill="1" applyBorder="1"/>
    <xf numFmtId="3" fontId="74" fillId="29" borderId="23" xfId="0" applyNumberFormat="1" applyFont="1" applyFill="1" applyBorder="1"/>
    <xf numFmtId="3" fontId="70" fillId="0" borderId="12" xfId="0" applyNumberFormat="1" applyFont="1" applyFill="1" applyBorder="1"/>
    <xf numFmtId="0" fontId="119" fillId="0" borderId="0" xfId="0" applyFont="1"/>
    <xf numFmtId="0" fontId="120" fillId="0" borderId="0" xfId="0" applyFont="1"/>
    <xf numFmtId="0" fontId="121" fillId="0" borderId="0" xfId="50" applyFont="1"/>
    <xf numFmtId="0" fontId="122" fillId="0" borderId="0" xfId="50" applyFont="1" applyFill="1"/>
    <xf numFmtId="0" fontId="123" fillId="45" borderId="195" xfId="0" applyFont="1" applyFill="1" applyBorder="1" applyAlignment="1">
      <alignment horizontal="left" vertical="center"/>
    </xf>
    <xf numFmtId="0" fontId="123" fillId="45" borderId="195" xfId="0" applyFont="1" applyFill="1" applyBorder="1" applyAlignment="1">
      <alignment horizontal="center" vertical="center"/>
    </xf>
    <xf numFmtId="0" fontId="124" fillId="45" borderId="195" xfId="0" applyFont="1" applyFill="1" applyBorder="1" applyAlignment="1">
      <alignment horizontal="center" vertical="center"/>
    </xf>
    <xf numFmtId="0" fontId="119" fillId="40" borderId="0" xfId="0" applyFont="1" applyFill="1" applyBorder="1" applyAlignment="1">
      <alignment vertical="center"/>
    </xf>
    <xf numFmtId="3" fontId="119" fillId="40" borderId="0" xfId="0" applyNumberFormat="1" applyFont="1" applyFill="1" applyBorder="1" applyAlignment="1">
      <alignment vertical="center"/>
    </xf>
    <xf numFmtId="0" fontId="119" fillId="39" borderId="196" xfId="0" applyFont="1" applyFill="1" applyBorder="1" applyAlignment="1">
      <alignment horizontal="left"/>
    </xf>
    <xf numFmtId="0" fontId="119" fillId="39" borderId="197" xfId="0" applyFont="1" applyFill="1" applyBorder="1" applyAlignment="1">
      <alignment horizontal="left"/>
    </xf>
    <xf numFmtId="3" fontId="125" fillId="39" borderId="195" xfId="0" applyNumberFormat="1" applyFont="1" applyFill="1" applyBorder="1" applyAlignment="1">
      <alignment horizontal="right" vertical="center"/>
    </xf>
    <xf numFmtId="3" fontId="119" fillId="39" borderId="195" xfId="0" applyNumberFormat="1" applyFont="1" applyFill="1" applyBorder="1" applyAlignment="1">
      <alignment horizontal="right" vertical="center"/>
    </xf>
    <xf numFmtId="0" fontId="126" fillId="0" borderId="198" xfId="0" applyFont="1" applyBorder="1" applyAlignment="1">
      <alignment horizontal="left" indent="2"/>
    </xf>
    <xf numFmtId="0" fontId="126" fillId="0" borderId="197" xfId="0" applyFont="1" applyBorder="1" applyAlignment="1">
      <alignment horizontal="left" indent="2"/>
    </xf>
    <xf numFmtId="3" fontId="127" fillId="0" borderId="195" xfId="0" applyNumberFormat="1" applyFont="1" applyBorder="1" applyAlignment="1">
      <alignment horizontal="right" vertical="center"/>
    </xf>
    <xf numFmtId="3" fontId="126" fillId="0" borderId="195" xfId="0" applyNumberFormat="1" applyFont="1" applyBorder="1" applyAlignment="1">
      <alignment horizontal="right" vertical="center"/>
    </xf>
    <xf numFmtId="0" fontId="119" fillId="39" borderId="198" xfId="0" applyFont="1" applyFill="1" applyBorder="1" applyAlignment="1">
      <alignment horizontal="left"/>
    </xf>
    <xf numFmtId="0" fontId="128" fillId="0" borderId="0" xfId="50" applyFont="1"/>
    <xf numFmtId="0" fontId="122" fillId="0" borderId="0" xfId="50" applyFont="1"/>
    <xf numFmtId="3" fontId="74" fillId="29" borderId="60" xfId="0" applyNumberFormat="1" applyFont="1" applyFill="1" applyBorder="1"/>
    <xf numFmtId="3" fontId="74" fillId="29" borderId="94" xfId="0" applyNumberFormat="1" applyFont="1" applyFill="1" applyBorder="1"/>
    <xf numFmtId="3" fontId="74" fillId="29" borderId="18" xfId="0" applyNumberFormat="1" applyFont="1" applyFill="1" applyBorder="1"/>
    <xf numFmtId="3" fontId="68" fillId="24" borderId="39" xfId="0" applyNumberFormat="1" applyFont="1" applyFill="1" applyBorder="1"/>
    <xf numFmtId="3" fontId="68" fillId="24" borderId="18" xfId="0" applyNumberFormat="1" applyFont="1" applyFill="1" applyBorder="1"/>
    <xf numFmtId="3" fontId="68" fillId="0" borderId="167" xfId="0" applyNumberFormat="1" applyFont="1" applyBorder="1"/>
    <xf numFmtId="3" fontId="68" fillId="0" borderId="168" xfId="0" applyNumberFormat="1" applyFont="1" applyBorder="1"/>
    <xf numFmtId="3" fontId="81" fillId="0" borderId="71" xfId="0" applyNumberFormat="1" applyFont="1" applyFill="1" applyBorder="1"/>
    <xf numFmtId="3" fontId="102" fillId="29" borderId="71" xfId="0" applyNumberFormat="1" applyFont="1" applyFill="1" applyBorder="1"/>
    <xf numFmtId="3" fontId="102" fillId="29" borderId="169" xfId="0" applyNumberFormat="1" applyFont="1" applyFill="1" applyBorder="1"/>
    <xf numFmtId="3" fontId="102" fillId="29" borderId="22" xfId="0" applyNumberFormat="1" applyFont="1" applyFill="1" applyBorder="1"/>
    <xf numFmtId="3" fontId="81" fillId="24" borderId="71" xfId="0" applyNumberFormat="1" applyFont="1" applyFill="1" applyBorder="1"/>
    <xf numFmtId="3" fontId="81" fillId="24" borderId="10" xfId="0" applyNumberFormat="1" applyFont="1" applyFill="1" applyBorder="1"/>
    <xf numFmtId="3" fontId="74" fillId="29" borderId="170" xfId="0" applyNumberFormat="1" applyFont="1" applyFill="1" applyBorder="1"/>
    <xf numFmtId="3" fontId="81" fillId="0" borderId="37" xfId="0" applyNumberFormat="1" applyFont="1" applyBorder="1"/>
    <xf numFmtId="3" fontId="68" fillId="0" borderId="171" xfId="0" applyNumberFormat="1" applyFont="1" applyBorder="1"/>
    <xf numFmtId="3" fontId="68" fillId="0" borderId="171" xfId="0" applyNumberFormat="1" applyFont="1" applyFill="1" applyBorder="1"/>
    <xf numFmtId="3" fontId="68" fillId="0" borderId="129" xfId="0" applyNumberFormat="1" applyFont="1" applyBorder="1"/>
    <xf numFmtId="3" fontId="93" fillId="0" borderId="88" xfId="0" applyNumberFormat="1" applyFont="1" applyBorder="1"/>
    <xf numFmtId="3" fontId="93" fillId="0" borderId="88" xfId="80" applyNumberFormat="1" applyFont="1" applyFill="1" applyBorder="1"/>
    <xf numFmtId="3" fontId="68" fillId="0" borderId="172" xfId="0" applyNumberFormat="1" applyFont="1" applyBorder="1"/>
    <xf numFmtId="3" fontId="68" fillId="31" borderId="0" xfId="0" applyNumberFormat="1" applyFont="1" applyFill="1" applyBorder="1"/>
    <xf numFmtId="3" fontId="81" fillId="31" borderId="31" xfId="0" applyNumberFormat="1" applyFont="1" applyFill="1" applyBorder="1"/>
    <xf numFmtId="3" fontId="100" fillId="0" borderId="34" xfId="0" applyNumberFormat="1" applyFont="1" applyBorder="1" applyAlignment="1">
      <alignment horizontal="center"/>
    </xf>
    <xf numFmtId="3" fontId="100" fillId="0" borderId="41" xfId="0" applyNumberFormat="1" applyFont="1" applyBorder="1"/>
    <xf numFmtId="3" fontId="100" fillId="0" borderId="34" xfId="0" applyNumberFormat="1" applyFont="1" applyBorder="1"/>
    <xf numFmtId="3" fontId="100" fillId="0" borderId="111" xfId="0" applyNumberFormat="1" applyFont="1" applyBorder="1"/>
    <xf numFmtId="3" fontId="100" fillId="0" borderId="139" xfId="0" applyNumberFormat="1" applyFont="1" applyBorder="1"/>
    <xf numFmtId="3" fontId="68" fillId="0" borderId="173" xfId="0" applyNumberFormat="1" applyFont="1" applyBorder="1"/>
    <xf numFmtId="3" fontId="93" fillId="0" borderId="111" xfId="0" applyNumberFormat="1" applyFont="1" applyBorder="1"/>
    <xf numFmtId="3" fontId="93" fillId="0" borderId="111" xfId="80" applyNumberFormat="1" applyFont="1" applyFill="1" applyBorder="1"/>
    <xf numFmtId="0" fontId="81" fillId="0" borderId="111" xfId="0" applyFont="1" applyBorder="1"/>
    <xf numFmtId="3" fontId="81" fillId="0" borderId="113" xfId="0" applyNumberFormat="1" applyFont="1" applyFill="1" applyBorder="1"/>
    <xf numFmtId="3" fontId="68" fillId="31" borderId="34" xfId="0" applyNumberFormat="1" applyFont="1" applyFill="1" applyBorder="1"/>
    <xf numFmtId="3" fontId="81" fillId="31" borderId="23" xfId="0" applyNumberFormat="1" applyFont="1" applyFill="1" applyBorder="1"/>
    <xf numFmtId="3" fontId="100" fillId="0" borderId="38" xfId="0" applyNumberFormat="1" applyFont="1" applyBorder="1" applyAlignment="1">
      <alignment horizontal="center"/>
    </xf>
    <xf numFmtId="0" fontId="68" fillId="0" borderId="49" xfId="0" applyFont="1" applyBorder="1" applyAlignment="1">
      <alignment horizontal="center"/>
    </xf>
    <xf numFmtId="0" fontId="68" fillId="0" borderId="60" xfId="0" applyFont="1" applyBorder="1" applyAlignment="1">
      <alignment horizontal="center"/>
    </xf>
    <xf numFmtId="3" fontId="81" fillId="0" borderId="163" xfId="0" applyNumberFormat="1" applyFont="1" applyBorder="1"/>
    <xf numFmtId="3" fontId="81" fillId="0" borderId="122" xfId="0" applyNumberFormat="1" applyFont="1" applyBorder="1"/>
    <xf numFmtId="3" fontId="68" fillId="24" borderId="31" xfId="0" applyNumberFormat="1" applyFont="1" applyFill="1" applyBorder="1"/>
    <xf numFmtId="3" fontId="100" fillId="0" borderId="41" xfId="0" applyNumberFormat="1" applyFont="1" applyBorder="1" applyAlignment="1">
      <alignment horizontal="center"/>
    </xf>
    <xf numFmtId="3" fontId="100" fillId="0" borderId="23" xfId="0" applyNumberFormat="1" applyFont="1" applyBorder="1"/>
    <xf numFmtId="3" fontId="81" fillId="0" borderId="174" xfId="0" applyNumberFormat="1" applyFont="1" applyBorder="1"/>
    <xf numFmtId="3" fontId="81" fillId="0" borderId="125" xfId="0" applyNumberFormat="1" applyFont="1" applyBorder="1"/>
    <xf numFmtId="3" fontId="108" fillId="0" borderId="22" xfId="0" applyNumberFormat="1" applyFont="1" applyBorder="1"/>
    <xf numFmtId="3" fontId="129" fillId="0" borderId="111" xfId="0" applyNumberFormat="1" applyFont="1" applyBorder="1"/>
    <xf numFmtId="3" fontId="81" fillId="24" borderId="22" xfId="0" applyNumberFormat="1" applyFont="1" applyFill="1" applyBorder="1"/>
    <xf numFmtId="3" fontId="129" fillId="0" borderId="41" xfId="0" applyNumberFormat="1" applyFont="1" applyBorder="1"/>
    <xf numFmtId="0" fontId="68" fillId="0" borderId="89" xfId="0" applyFont="1" applyBorder="1" applyAlignment="1">
      <alignment horizontal="center"/>
    </xf>
    <xf numFmtId="0" fontId="68" fillId="0" borderId="143" xfId="0" applyFont="1" applyBorder="1" applyAlignment="1">
      <alignment horizontal="center"/>
    </xf>
    <xf numFmtId="0" fontId="81" fillId="0" borderId="82" xfId="0" applyFont="1" applyBorder="1"/>
    <xf numFmtId="3" fontId="102" fillId="29" borderId="36" xfId="0" applyNumberFormat="1" applyFont="1" applyFill="1" applyBorder="1"/>
    <xf numFmtId="3" fontId="81" fillId="0" borderId="175" xfId="0" applyNumberFormat="1" applyFont="1" applyBorder="1"/>
    <xf numFmtId="3" fontId="81" fillId="0" borderId="82" xfId="0" applyNumberFormat="1" applyFont="1" applyBorder="1"/>
    <xf numFmtId="3" fontId="81" fillId="24" borderId="36" xfId="0" applyNumberFormat="1" applyFont="1" applyFill="1" applyBorder="1"/>
    <xf numFmtId="3" fontId="108" fillId="0" borderId="38" xfId="0" applyNumberFormat="1" applyFont="1" applyFill="1" applyBorder="1"/>
    <xf numFmtId="0" fontId="81" fillId="0" borderId="19" xfId="0" applyFont="1" applyBorder="1" applyAlignment="1">
      <alignment horizontal="center"/>
    </xf>
    <xf numFmtId="0" fontId="81" fillId="0" borderId="76" xfId="0" applyFont="1" applyBorder="1"/>
    <xf numFmtId="3" fontId="102" fillId="29" borderId="19" xfId="0" applyNumberFormat="1" applyFont="1" applyFill="1" applyBorder="1"/>
    <xf numFmtId="3" fontId="81" fillId="0" borderId="76" xfId="0" applyNumberFormat="1" applyFont="1" applyBorder="1"/>
    <xf numFmtId="3" fontId="81" fillId="0" borderId="20" xfId="0" applyNumberFormat="1" applyFont="1" applyBorder="1"/>
    <xf numFmtId="3" fontId="81" fillId="0" borderId="176" xfId="0" applyNumberFormat="1" applyFont="1" applyBorder="1"/>
    <xf numFmtId="3" fontId="81" fillId="0" borderId="133" xfId="0" applyNumberFormat="1" applyFont="1" applyBorder="1"/>
    <xf numFmtId="3" fontId="108" fillId="0" borderId="114" xfId="0" applyNumberFormat="1" applyFont="1" applyFill="1" applyBorder="1"/>
    <xf numFmtId="3" fontId="81" fillId="24" borderId="19" xfId="0" applyNumberFormat="1" applyFont="1" applyFill="1" applyBorder="1"/>
    <xf numFmtId="3" fontId="81" fillId="0" borderId="114" xfId="0" applyNumberFormat="1" applyFont="1" applyBorder="1"/>
    <xf numFmtId="0" fontId="68" fillId="0" borderId="103" xfId="0" applyFont="1" applyBorder="1" applyAlignment="1">
      <alignment horizontal="center"/>
    </xf>
    <xf numFmtId="3" fontId="68" fillId="0" borderId="177" xfId="0" applyNumberFormat="1" applyFont="1" applyBorder="1"/>
    <xf numFmtId="0" fontId="102" fillId="0" borderId="64" xfId="0" applyFont="1" applyBorder="1" applyAlignment="1">
      <alignment horizontal="center"/>
    </xf>
    <xf numFmtId="0" fontId="102" fillId="0" borderId="163" xfId="0" applyFont="1" applyBorder="1" applyAlignment="1">
      <alignment horizontal="left"/>
    </xf>
    <xf numFmtId="0" fontId="102" fillId="0" borderId="71" xfId="0" applyFont="1" applyBorder="1"/>
    <xf numFmtId="3" fontId="102" fillId="0" borderId="178" xfId="0" applyNumberFormat="1" applyFont="1" applyBorder="1"/>
    <xf numFmtId="3" fontId="102" fillId="0" borderId="160" xfId="0" applyNumberFormat="1" applyFont="1" applyBorder="1"/>
    <xf numFmtId="3" fontId="130" fillId="0" borderId="179" xfId="0" applyNumberFormat="1" applyFont="1" applyBorder="1"/>
    <xf numFmtId="3" fontId="81" fillId="31" borderId="15" xfId="0" applyNumberFormat="1" applyFont="1" applyFill="1" applyBorder="1"/>
    <xf numFmtId="3" fontId="81" fillId="0" borderId="178" xfId="0" applyNumberFormat="1" applyFont="1" applyBorder="1"/>
    <xf numFmtId="0" fontId="68" fillId="0" borderId="11" xfId="80" applyFont="1" applyBorder="1" applyAlignment="1">
      <alignment horizontal="center"/>
    </xf>
    <xf numFmtId="3" fontId="93" fillId="0" borderId="59" xfId="80" applyNumberFormat="1" applyFont="1" applyFill="1" applyBorder="1"/>
    <xf numFmtId="3" fontId="68" fillId="0" borderId="90" xfId="0" applyNumberFormat="1" applyFont="1" applyBorder="1"/>
    <xf numFmtId="3" fontId="68" fillId="0" borderId="92" xfId="0" applyNumberFormat="1" applyFont="1" applyBorder="1"/>
    <xf numFmtId="3" fontId="68" fillId="31" borderId="126" xfId="0" applyNumberFormat="1" applyFont="1" applyFill="1" applyBorder="1"/>
    <xf numFmtId="3" fontId="81" fillId="0" borderId="173" xfId="0" applyNumberFormat="1" applyFont="1" applyBorder="1"/>
    <xf numFmtId="0" fontId="102" fillId="0" borderId="15" xfId="0" applyFont="1" applyBorder="1" applyAlignment="1">
      <alignment horizontal="center"/>
    </xf>
    <xf numFmtId="3" fontId="68" fillId="31" borderId="15" xfId="0" applyNumberFormat="1" applyFont="1" applyFill="1" applyBorder="1"/>
    <xf numFmtId="3" fontId="81" fillId="0" borderId="159" xfId="0" applyNumberFormat="1" applyFont="1" applyBorder="1"/>
    <xf numFmtId="3" fontId="81" fillId="0" borderId="169" xfId="0" applyNumberFormat="1" applyFont="1" applyBorder="1"/>
    <xf numFmtId="0" fontId="68" fillId="0" borderId="30" xfId="0" applyFont="1" applyBorder="1" applyAlignment="1">
      <alignment horizontal="center"/>
    </xf>
    <xf numFmtId="3" fontId="74" fillId="29" borderId="89" xfId="0" applyNumberFormat="1" applyFont="1" applyFill="1" applyBorder="1"/>
    <xf numFmtId="3" fontId="81" fillId="0" borderId="91" xfId="0" applyNumberFormat="1" applyFont="1" applyFill="1" applyBorder="1"/>
    <xf numFmtId="3" fontId="81" fillId="0" borderId="100" xfId="0" applyNumberFormat="1" applyFont="1" applyFill="1" applyBorder="1"/>
    <xf numFmtId="0" fontId="81" fillId="0" borderId="71" xfId="0" applyFont="1" applyBorder="1" applyAlignment="1">
      <alignment horizontal="left"/>
    </xf>
    <xf numFmtId="0" fontId="70" fillId="0" borderId="66" xfId="0" applyFont="1" applyFill="1" applyBorder="1" applyAlignment="1">
      <alignment horizontal="right"/>
    </xf>
    <xf numFmtId="0" fontId="70" fillId="0" borderId="67" xfId="0" applyFont="1" applyFill="1" applyBorder="1"/>
    <xf numFmtId="0" fontId="70" fillId="0" borderId="64" xfId="0" applyFont="1" applyFill="1" applyBorder="1" applyAlignment="1">
      <alignment horizontal="right"/>
    </xf>
    <xf numFmtId="0" fontId="70" fillId="0" borderId="155" xfId="0" applyFont="1" applyFill="1" applyBorder="1" applyAlignment="1">
      <alignment horizontal="right"/>
    </xf>
    <xf numFmtId="0" fontId="70" fillId="0" borderId="124" xfId="0" applyFont="1" applyBorder="1" applyAlignment="1">
      <alignment horizontal="right"/>
    </xf>
    <xf numFmtId="0" fontId="70" fillId="0" borderId="144" xfId="0" applyFont="1" applyBorder="1"/>
    <xf numFmtId="0" fontId="70" fillId="0" borderId="110" xfId="0" applyFont="1" applyBorder="1" applyAlignment="1">
      <alignment horizontal="right"/>
    </xf>
    <xf numFmtId="0" fontId="70" fillId="0" borderId="146" xfId="0" applyFont="1" applyBorder="1"/>
    <xf numFmtId="0" fontId="70" fillId="0" borderId="103" xfId="0" applyFont="1" applyBorder="1" applyAlignment="1">
      <alignment horizontal="right"/>
    </xf>
    <xf numFmtId="0" fontId="70" fillId="0" borderId="180" xfId="0" applyFont="1" applyBorder="1"/>
    <xf numFmtId="0" fontId="69" fillId="0" borderId="57" xfId="0" applyFont="1" applyBorder="1"/>
    <xf numFmtId="0" fontId="69" fillId="0" borderId="59" xfId="0" applyFont="1" applyBorder="1"/>
    <xf numFmtId="0" fontId="70" fillId="0" borderId="62" xfId="0" applyFont="1" applyBorder="1"/>
    <xf numFmtId="0" fontId="0" fillId="0" borderId="0" xfId="0" applyFont="1"/>
    <xf numFmtId="3" fontId="0" fillId="0" borderId="71" xfId="0" applyNumberFormat="1" applyFont="1" applyBorder="1"/>
    <xf numFmtId="3" fontId="0" fillId="0" borderId="10" xfId="0" applyNumberFormat="1" applyFont="1" applyBorder="1"/>
    <xf numFmtId="3" fontId="118" fillId="0" borderId="10" xfId="0" applyNumberFormat="1" applyFont="1" applyBorder="1"/>
    <xf numFmtId="3" fontId="44" fillId="0" borderId="10" xfId="0" applyNumberFormat="1" applyFont="1" applyBorder="1"/>
    <xf numFmtId="0" fontId="131" fillId="36" borderId="36" xfId="0" applyFont="1" applyFill="1" applyBorder="1" applyAlignment="1">
      <alignment horizontal="center"/>
    </xf>
    <xf numFmtId="0" fontId="131" fillId="36" borderId="25" xfId="0" applyFont="1" applyFill="1" applyBorder="1" applyAlignment="1">
      <alignment horizontal="center"/>
    </xf>
    <xf numFmtId="0" fontId="131" fillId="36" borderId="143" xfId="0" applyFont="1" applyFill="1" applyBorder="1" applyAlignment="1">
      <alignment horizontal="center"/>
    </xf>
    <xf numFmtId="0" fontId="131" fillId="36" borderId="17" xfId="0" applyFont="1" applyFill="1" applyBorder="1" applyAlignment="1">
      <alignment horizontal="center"/>
    </xf>
    <xf numFmtId="3" fontId="131" fillId="36" borderId="126" xfId="0" applyNumberFormat="1" applyFont="1" applyFill="1" applyBorder="1"/>
    <xf numFmtId="3" fontId="131" fillId="36" borderId="80" xfId="0" applyNumberFormat="1" applyFont="1" applyFill="1" applyBorder="1"/>
    <xf numFmtId="3" fontId="132" fillId="36" borderId="15" xfId="0" applyNumberFormat="1" applyFont="1" applyFill="1" applyBorder="1"/>
    <xf numFmtId="3" fontId="131" fillId="36" borderId="36" xfId="0" applyNumberFormat="1" applyFont="1" applyFill="1" applyBorder="1"/>
    <xf numFmtId="3" fontId="131" fillId="36" borderId="89" xfId="0" applyNumberFormat="1" applyFont="1" applyFill="1" applyBorder="1"/>
    <xf numFmtId="3" fontId="131" fillId="36" borderId="157" xfId="0" applyNumberFormat="1" applyFont="1" applyFill="1" applyBorder="1"/>
    <xf numFmtId="3" fontId="132" fillId="36" borderId="143" xfId="0" applyNumberFormat="1" applyFont="1" applyFill="1" applyBorder="1"/>
    <xf numFmtId="3" fontId="131" fillId="36" borderId="17" xfId="0" applyNumberFormat="1" applyFont="1" applyFill="1" applyBorder="1"/>
    <xf numFmtId="3" fontId="81" fillId="0" borderId="68" xfId="0" applyNumberFormat="1" applyFont="1" applyFill="1" applyBorder="1"/>
    <xf numFmtId="3" fontId="81" fillId="0" borderId="181" xfId="0" applyNumberFormat="1" applyFont="1" applyFill="1" applyBorder="1"/>
    <xf numFmtId="0" fontId="44" fillId="0" borderId="10" xfId="0" applyFont="1" applyFill="1" applyBorder="1"/>
    <xf numFmtId="0" fontId="45" fillId="0" borderId="10" xfId="0" applyFont="1" applyFill="1" applyBorder="1" applyAlignment="1">
      <alignment horizontal="right"/>
    </xf>
    <xf numFmtId="3" fontId="45" fillId="0" borderId="10" xfId="0" applyNumberFormat="1" applyFont="1" applyBorder="1"/>
    <xf numFmtId="3" fontId="133" fillId="0" borderId="0" xfId="0" applyNumberFormat="1" applyFont="1"/>
    <xf numFmtId="0" fontId="68" fillId="0" borderId="10" xfId="0" applyFont="1" applyBorder="1" applyAlignment="1">
      <alignment horizontal="center"/>
    </xf>
    <xf numFmtId="0" fontId="68" fillId="0" borderId="10" xfId="0" applyFont="1" applyBorder="1"/>
    <xf numFmtId="10" fontId="68" fillId="0" borderId="10" xfId="0" applyNumberFormat="1" applyFont="1" applyBorder="1"/>
    <xf numFmtId="3" fontId="41" fillId="0" borderId="0" xfId="0" applyNumberFormat="1" applyFont="1" applyBorder="1"/>
    <xf numFmtId="0" fontId="45" fillId="0" borderId="0" xfId="0" applyFont="1" applyFill="1" applyBorder="1" applyAlignment="1">
      <alignment horizontal="left"/>
    </xf>
    <xf numFmtId="0" fontId="0" fillId="0" borderId="42" xfId="0" applyBorder="1"/>
    <xf numFmtId="0" fontId="41" fillId="0" borderId="14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4" fillId="0" borderId="15" xfId="0" applyFont="1" applyBorder="1"/>
    <xf numFmtId="3" fontId="44" fillId="0" borderId="22" xfId="0" applyNumberFormat="1" applyFont="1" applyBorder="1"/>
    <xf numFmtId="0" fontId="70" fillId="0" borderId="57" xfId="0" applyFont="1" applyBorder="1" applyAlignment="1">
      <alignment vertical="center"/>
    </xf>
    <xf numFmtId="0" fontId="70" fillId="0" borderId="54" xfId="0" applyFont="1" applyBorder="1" applyAlignment="1">
      <alignment vertical="center"/>
    </xf>
    <xf numFmtId="0" fontId="72" fillId="0" borderId="128" xfId="0" applyFont="1" applyBorder="1" applyAlignment="1">
      <alignment horizontal="center" vertical="center"/>
    </xf>
    <xf numFmtId="0" fontId="69" fillId="0" borderId="56" xfId="0" applyFont="1" applyBorder="1" applyAlignment="1">
      <alignment horizontal="left" vertical="center" wrapText="1"/>
    </xf>
    <xf numFmtId="3" fontId="68" fillId="0" borderId="52" xfId="0" applyNumberFormat="1" applyFont="1" applyBorder="1" applyAlignment="1">
      <alignment vertical="center"/>
    </xf>
    <xf numFmtId="3" fontId="70" fillId="0" borderId="54" xfId="0" applyNumberFormat="1" applyFont="1" applyBorder="1" applyAlignment="1">
      <alignment vertical="center"/>
    </xf>
    <xf numFmtId="3" fontId="70" fillId="0" borderId="84" xfId="0" applyNumberFormat="1" applyFont="1" applyBorder="1" applyAlignment="1">
      <alignment vertical="center"/>
    </xf>
    <xf numFmtId="3" fontId="69" fillId="0" borderId="55" xfId="0" applyNumberFormat="1" applyFont="1" applyBorder="1" applyAlignment="1">
      <alignment vertical="center"/>
    </xf>
    <xf numFmtId="0" fontId="134" fillId="0" borderId="146" xfId="0" applyFont="1" applyFill="1" applyBorder="1" applyAlignment="1">
      <alignment horizontal="left"/>
    </xf>
    <xf numFmtId="4" fontId="59" fillId="0" borderId="10" xfId="0" applyNumberFormat="1" applyFont="1" applyFill="1" applyBorder="1"/>
    <xf numFmtId="3" fontId="59" fillId="0" borderId="74" xfId="0" applyNumberFormat="1" applyFont="1" applyBorder="1"/>
    <xf numFmtId="3" fontId="106" fillId="0" borderId="0" xfId="0" applyNumberFormat="1" applyFont="1" applyFill="1" applyAlignment="1">
      <alignment horizontal="left"/>
    </xf>
    <xf numFmtId="0" fontId="23" fillId="0" borderId="0" xfId="50" applyFont="1" applyFill="1" applyAlignment="1">
      <alignment vertical="center"/>
    </xf>
    <xf numFmtId="0" fontId="23" fillId="0" borderId="0" xfId="50" applyFont="1" applyAlignment="1">
      <alignment vertical="center"/>
    </xf>
    <xf numFmtId="0" fontId="119" fillId="39" borderId="199" xfId="0" applyFont="1" applyFill="1" applyBorder="1" applyAlignment="1">
      <alignment horizontal="left"/>
    </xf>
    <xf numFmtId="0" fontId="126" fillId="0" borderId="199" xfId="0" applyFont="1" applyBorder="1" applyAlignment="1">
      <alignment horizontal="left" indent="2"/>
    </xf>
    <xf numFmtId="0" fontId="126" fillId="0" borderId="199" xfId="0" applyFont="1" applyBorder="1" applyAlignment="1">
      <alignment horizontal="left" wrapText="1" indent="2"/>
    </xf>
    <xf numFmtId="0" fontId="66" fillId="39" borderId="10" xfId="0" applyFont="1" applyFill="1" applyBorder="1" applyAlignment="1">
      <alignment horizontal="center" vertical="center" wrapText="1"/>
    </xf>
    <xf numFmtId="0" fontId="66" fillId="39" borderId="22" xfId="0" applyFont="1" applyFill="1" applyBorder="1" applyAlignment="1">
      <alignment horizontal="center" vertical="center" wrapText="1"/>
    </xf>
    <xf numFmtId="10" fontId="68" fillId="0" borderId="14" xfId="0" applyNumberFormat="1" applyFont="1" applyBorder="1"/>
    <xf numFmtId="167" fontId="69" fillId="26" borderId="21" xfId="0" applyNumberFormat="1" applyFont="1" applyFill="1" applyBorder="1" applyAlignment="1">
      <alignment horizontal="center" wrapText="1"/>
    </xf>
    <xf numFmtId="167" fontId="69" fillId="26" borderId="14" xfId="0" applyNumberFormat="1" applyFont="1" applyFill="1" applyBorder="1" applyAlignment="1">
      <alignment horizontal="center" wrapText="1"/>
    </xf>
    <xf numFmtId="0" fontId="82" fillId="0" borderId="0" xfId="0" applyFont="1" applyAlignment="1">
      <alignment horizontal="right"/>
    </xf>
    <xf numFmtId="4" fontId="50" fillId="0" borderId="10" xfId="53" applyNumberFormat="1" applyFont="1" applyFill="1" applyBorder="1"/>
    <xf numFmtId="0" fontId="88" fillId="32" borderId="0" xfId="0" applyFont="1" applyFill="1" applyBorder="1"/>
    <xf numFmtId="0" fontId="72" fillId="0" borderId="100" xfId="0" applyFont="1" applyBorder="1" applyAlignment="1">
      <alignment horizontal="center"/>
    </xf>
    <xf numFmtId="0" fontId="88" fillId="32" borderId="59" xfId="0" applyFont="1" applyFill="1" applyBorder="1" applyAlignment="1">
      <alignment horizontal="left"/>
    </xf>
    <xf numFmtId="3" fontId="88" fillId="32" borderId="25" xfId="0" applyNumberFormat="1" applyFont="1" applyFill="1" applyBorder="1"/>
    <xf numFmtId="3" fontId="88" fillId="32" borderId="0" xfId="0" applyNumberFormat="1" applyFont="1" applyFill="1" applyBorder="1"/>
    <xf numFmtId="3" fontId="88" fillId="32" borderId="99" xfId="0" applyNumberFormat="1" applyFont="1" applyFill="1" applyBorder="1"/>
    <xf numFmtId="3" fontId="88" fillId="32" borderId="100" xfId="0" applyNumberFormat="1" applyFont="1" applyFill="1" applyBorder="1"/>
    <xf numFmtId="3" fontId="88" fillId="0" borderId="58" xfId="0" applyNumberFormat="1" applyFont="1" applyBorder="1"/>
    <xf numFmtId="0" fontId="70" fillId="0" borderId="182" xfId="0" applyFont="1" applyBorder="1"/>
    <xf numFmtId="0" fontId="72" fillId="0" borderId="142" xfId="0" applyFont="1" applyBorder="1" applyAlignment="1">
      <alignment horizontal="center"/>
    </xf>
    <xf numFmtId="0" fontId="69" fillId="0" borderId="183" xfId="0" applyFont="1" applyBorder="1" applyAlignment="1">
      <alignment horizontal="left"/>
    </xf>
    <xf numFmtId="3" fontId="68" fillId="0" borderId="184" xfId="0" applyNumberFormat="1" applyFont="1" applyBorder="1"/>
    <xf numFmtId="3" fontId="70" fillId="0" borderId="182" xfId="0" applyNumberFormat="1" applyFont="1" applyBorder="1"/>
    <xf numFmtId="3" fontId="70" fillId="0" borderId="185" xfId="0" applyNumberFormat="1" applyFont="1" applyBorder="1"/>
    <xf numFmtId="3" fontId="69" fillId="0" borderId="166" xfId="0" applyNumberFormat="1" applyFont="1" applyBorder="1"/>
    <xf numFmtId="3" fontId="68" fillId="0" borderId="27" xfId="0" applyNumberFormat="1" applyFont="1" applyBorder="1"/>
    <xf numFmtId="9" fontId="70" fillId="42" borderId="0" xfId="0" applyNumberFormat="1" applyFont="1" applyFill="1" applyAlignment="1">
      <alignment horizontal="center"/>
    </xf>
    <xf numFmtId="10" fontId="135" fillId="44" borderId="10" xfId="0" applyNumberFormat="1" applyFont="1" applyFill="1" applyBorder="1"/>
    <xf numFmtId="10" fontId="62" fillId="36" borderId="22" xfId="0" applyNumberFormat="1" applyFont="1" applyFill="1" applyBorder="1"/>
    <xf numFmtId="10" fontId="62" fillId="0" borderId="22" xfId="0" applyNumberFormat="1" applyFont="1" applyBorder="1"/>
    <xf numFmtId="10" fontId="62" fillId="0" borderId="22" xfId="0" applyNumberFormat="1" applyFont="1" applyFill="1" applyBorder="1"/>
    <xf numFmtId="10" fontId="66" fillId="39" borderId="114" xfId="0" applyNumberFormat="1" applyFont="1" applyFill="1" applyBorder="1"/>
    <xf numFmtId="9" fontId="135" fillId="44" borderId="10" xfId="0" applyNumberFormat="1" applyFont="1" applyFill="1" applyBorder="1" applyAlignment="1">
      <alignment horizontal="center"/>
    </xf>
    <xf numFmtId="9" fontId="136" fillId="36" borderId="200" xfId="0" applyNumberFormat="1" applyFont="1" applyFill="1" applyBorder="1" applyAlignment="1">
      <alignment horizontal="center"/>
    </xf>
    <xf numFmtId="10" fontId="75" fillId="44" borderId="10" xfId="0" applyNumberFormat="1" applyFont="1" applyFill="1" applyBorder="1"/>
    <xf numFmtId="3" fontId="68" fillId="0" borderId="140" xfId="0" applyNumberFormat="1" applyFont="1" applyBorder="1"/>
    <xf numFmtId="3" fontId="81" fillId="0" borderId="186" xfId="0" applyNumberFormat="1" applyFont="1" applyBorder="1"/>
    <xf numFmtId="0" fontId="81" fillId="0" borderId="170" xfId="0" applyFont="1" applyBorder="1" applyAlignment="1">
      <alignment horizontal="center"/>
    </xf>
    <xf numFmtId="0" fontId="72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3" fontId="81" fillId="0" borderId="0" xfId="0" applyNumberFormat="1" applyFont="1" applyAlignment="1">
      <alignment vertical="center"/>
    </xf>
    <xf numFmtId="3" fontId="114" fillId="0" borderId="0" xfId="0" applyNumberFormat="1" applyFont="1" applyAlignment="1">
      <alignment vertical="center"/>
    </xf>
    <xf numFmtId="3" fontId="80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0" fontId="68" fillId="0" borderId="0" xfId="0" applyFont="1" applyAlignment="1">
      <alignment vertical="center"/>
    </xf>
    <xf numFmtId="0" fontId="113" fillId="0" borderId="0" xfId="0" applyFont="1" applyAlignment="1">
      <alignment vertical="center"/>
    </xf>
    <xf numFmtId="0" fontId="112" fillId="0" borderId="0" xfId="0" applyFont="1" applyAlignment="1">
      <alignment vertical="center"/>
    </xf>
    <xf numFmtId="3" fontId="112" fillId="0" borderId="0" xfId="0" applyNumberFormat="1" applyFont="1" applyAlignment="1">
      <alignment vertical="center"/>
    </xf>
    <xf numFmtId="4" fontId="114" fillId="0" borderId="0" xfId="0" applyNumberFormat="1" applyFont="1" applyAlignment="1">
      <alignment vertical="center"/>
    </xf>
    <xf numFmtId="3" fontId="68" fillId="0" borderId="72" xfId="0" applyNumberFormat="1" applyFont="1" applyBorder="1"/>
    <xf numFmtId="3" fontId="68" fillId="0" borderId="71" xfId="0" applyNumberFormat="1" applyFont="1" applyBorder="1"/>
    <xf numFmtId="0" fontId="70" fillId="36" borderId="26" xfId="0" applyFont="1" applyFill="1" applyBorder="1" applyAlignment="1">
      <alignment horizontal="center" wrapText="1"/>
    </xf>
    <xf numFmtId="0" fontId="70" fillId="40" borderId="32" xfId="0" applyFont="1" applyFill="1" applyBorder="1" applyAlignment="1">
      <alignment horizontal="center"/>
    </xf>
    <xf numFmtId="0" fontId="68" fillId="0" borderId="44" xfId="0" applyFont="1" applyBorder="1" applyAlignment="1">
      <alignment horizontal="center" wrapText="1"/>
    </xf>
    <xf numFmtId="0" fontId="68" fillId="0" borderId="37" xfId="0" applyFont="1" applyBorder="1" applyAlignment="1">
      <alignment horizontal="center"/>
    </xf>
    <xf numFmtId="10" fontId="68" fillId="0" borderId="162" xfId="0" applyNumberFormat="1" applyFont="1" applyBorder="1"/>
    <xf numFmtId="0" fontId="68" fillId="0" borderId="135" xfId="0" applyFont="1" applyBorder="1" applyAlignment="1">
      <alignment horizontal="center"/>
    </xf>
    <xf numFmtId="0" fontId="68" fillId="0" borderId="187" xfId="0" applyFont="1" applyBorder="1" applyAlignment="1">
      <alignment horizontal="center"/>
    </xf>
    <xf numFmtId="10" fontId="68" fillId="40" borderId="163" xfId="0" applyNumberFormat="1" applyFont="1" applyFill="1" applyBorder="1"/>
    <xf numFmtId="3" fontId="74" fillId="40" borderId="65" xfId="0" applyNumberFormat="1" applyFont="1" applyFill="1" applyBorder="1"/>
    <xf numFmtId="0" fontId="46" fillId="40" borderId="174" xfId="0" applyFont="1" applyFill="1" applyBorder="1"/>
    <xf numFmtId="3" fontId="102" fillId="40" borderId="74" xfId="0" applyNumberFormat="1" applyFont="1" applyFill="1" applyBorder="1"/>
    <xf numFmtId="10" fontId="68" fillId="0" borderId="60" xfId="0" applyNumberFormat="1" applyFont="1" applyBorder="1"/>
    <xf numFmtId="3" fontId="74" fillId="29" borderId="61" xfId="0" applyNumberFormat="1" applyFont="1" applyFill="1" applyBorder="1"/>
    <xf numFmtId="3" fontId="53" fillId="29" borderId="61" xfId="0" applyNumberFormat="1" applyFont="1" applyFill="1" applyBorder="1"/>
    <xf numFmtId="0" fontId="74" fillId="0" borderId="13" xfId="0" applyFont="1" applyBorder="1" applyAlignment="1">
      <alignment horizontal="center"/>
    </xf>
    <xf numFmtId="0" fontId="74" fillId="0" borderId="21" xfId="0" applyFont="1" applyBorder="1" applyAlignment="1">
      <alignment horizontal="center"/>
    </xf>
    <xf numFmtId="0" fontId="100" fillId="46" borderId="25" xfId="0" applyFont="1" applyFill="1" applyBorder="1" applyAlignment="1">
      <alignment horizontal="center"/>
    </xf>
    <xf numFmtId="0" fontId="100" fillId="46" borderId="34" xfId="0" applyFont="1" applyFill="1" applyBorder="1" applyAlignment="1">
      <alignment horizontal="center"/>
    </xf>
    <xf numFmtId="0" fontId="68" fillId="46" borderId="25" xfId="0" applyFont="1" applyFill="1" applyBorder="1" applyAlignment="1">
      <alignment horizontal="center"/>
    </xf>
    <xf numFmtId="0" fontId="68" fillId="46" borderId="34" xfId="0" applyFont="1" applyFill="1" applyBorder="1" applyAlignment="1">
      <alignment horizontal="center"/>
    </xf>
    <xf numFmtId="3" fontId="81" fillId="46" borderId="188" xfId="0" applyNumberFormat="1" applyFont="1" applyFill="1" applyBorder="1"/>
    <xf numFmtId="3" fontId="81" fillId="46" borderId="126" xfId="0" applyNumberFormat="1" applyFont="1" applyFill="1" applyBorder="1"/>
    <xf numFmtId="3" fontId="81" fillId="46" borderId="173" xfId="0" applyNumberFormat="1" applyFont="1" applyFill="1" applyBorder="1"/>
    <xf numFmtId="3" fontId="81" fillId="46" borderId="15" xfId="0" applyNumberFormat="1" applyFont="1" applyFill="1" applyBorder="1"/>
    <xf numFmtId="3" fontId="81" fillId="46" borderId="22" xfId="0" applyNumberFormat="1" applyFont="1" applyFill="1" applyBorder="1"/>
    <xf numFmtId="3" fontId="81" fillId="46" borderId="25" xfId="0" applyNumberFormat="1" applyFont="1" applyFill="1" applyBorder="1"/>
    <xf numFmtId="3" fontId="81" fillId="46" borderId="34" xfId="0" applyNumberFormat="1" applyFont="1" applyFill="1" applyBorder="1"/>
    <xf numFmtId="3" fontId="81" fillId="46" borderId="80" xfId="0" applyNumberFormat="1" applyFont="1" applyFill="1" applyBorder="1"/>
    <xf numFmtId="3" fontId="81" fillId="46" borderId="111" xfId="0" applyNumberFormat="1" applyFont="1" applyFill="1" applyBorder="1"/>
    <xf numFmtId="3" fontId="102" fillId="46" borderId="15" xfId="0" applyNumberFormat="1" applyFont="1" applyFill="1" applyBorder="1"/>
    <xf numFmtId="3" fontId="102" fillId="46" borderId="22" xfId="0" applyNumberFormat="1" applyFont="1" applyFill="1" applyBorder="1"/>
    <xf numFmtId="3" fontId="74" fillId="46" borderId="17" xfId="0" applyNumberFormat="1" applyFont="1" applyFill="1" applyBorder="1"/>
    <xf numFmtId="3" fontId="74" fillId="46" borderId="23" xfId="0" applyNumberFormat="1" applyFont="1" applyFill="1" applyBorder="1"/>
    <xf numFmtId="0" fontId="81" fillId="0" borderId="72" xfId="0" applyFont="1" applyBorder="1"/>
    <xf numFmtId="4" fontId="68" fillId="0" borderId="11" xfId="0" applyNumberFormat="1" applyFont="1" applyBorder="1"/>
    <xf numFmtId="4" fontId="81" fillId="0" borderId="167" xfId="0" applyNumberFormat="1" applyFont="1" applyBorder="1"/>
    <xf numFmtId="4" fontId="106" fillId="0" borderId="11" xfId="0" applyNumberFormat="1" applyFont="1" applyBorder="1"/>
    <xf numFmtId="3" fontId="68" fillId="0" borderId="10" xfId="0" applyNumberFormat="1" applyFont="1" applyBorder="1"/>
    <xf numFmtId="4" fontId="68" fillId="0" borderId="26" xfId="0" applyNumberFormat="1" applyFont="1" applyBorder="1"/>
    <xf numFmtId="0" fontId="69" fillId="46" borderId="17" xfId="0" applyFont="1" applyFill="1" applyBorder="1" applyAlignment="1">
      <alignment horizontal="center"/>
    </xf>
    <xf numFmtId="0" fontId="69" fillId="46" borderId="23" xfId="0" applyFont="1" applyFill="1" applyBorder="1" applyAlignment="1">
      <alignment horizontal="center"/>
    </xf>
    <xf numFmtId="0" fontId="137" fillId="0" borderId="0" xfId="0" applyFont="1" applyAlignment="1">
      <alignment vertical="center"/>
    </xf>
    <xf numFmtId="4" fontId="68" fillId="0" borderId="0" xfId="0" applyNumberFormat="1" applyFont="1" applyAlignment="1">
      <alignment vertical="center"/>
    </xf>
    <xf numFmtId="3" fontId="96" fillId="29" borderId="80" xfId="0" applyNumberFormat="1" applyFont="1" applyFill="1" applyBorder="1"/>
    <xf numFmtId="3" fontId="96" fillId="29" borderId="126" xfId="0" applyNumberFormat="1" applyFont="1" applyFill="1" applyBorder="1"/>
    <xf numFmtId="3" fontId="96" fillId="29" borderId="89" xfId="0" applyNumberFormat="1" applyFont="1" applyFill="1" applyBorder="1"/>
    <xf numFmtId="3" fontId="138" fillId="0" borderId="0" xfId="0" applyNumberFormat="1" applyFont="1" applyAlignment="1">
      <alignment vertical="center"/>
    </xf>
    <xf numFmtId="3" fontId="139" fillId="0" borderId="0" xfId="0" applyNumberFormat="1" applyFont="1" applyAlignment="1">
      <alignment vertical="center"/>
    </xf>
    <xf numFmtId="3" fontId="106" fillId="0" borderId="0" xfId="0" applyNumberFormat="1" applyFont="1"/>
    <xf numFmtId="3" fontId="138" fillId="0" borderId="0" xfId="0" applyNumberFormat="1" applyFont="1"/>
    <xf numFmtId="4" fontId="106" fillId="0" borderId="0" xfId="0" applyNumberFormat="1" applyFont="1"/>
    <xf numFmtId="3" fontId="68" fillId="41" borderId="63" xfId="0" applyNumberFormat="1" applyFont="1" applyFill="1" applyBorder="1"/>
    <xf numFmtId="3" fontId="68" fillId="41" borderId="61" xfId="0" applyNumberFormat="1" applyFont="1" applyFill="1" applyBorder="1"/>
    <xf numFmtId="3" fontId="93" fillId="40" borderId="145" xfId="0" applyNumberFormat="1" applyFont="1" applyFill="1" applyBorder="1"/>
    <xf numFmtId="3" fontId="93" fillId="36" borderId="98" xfId="0" applyNumberFormat="1" applyFont="1" applyFill="1" applyBorder="1"/>
    <xf numFmtId="3" fontId="93" fillId="36" borderId="87" xfId="0" applyNumberFormat="1" applyFont="1" applyFill="1" applyBorder="1"/>
    <xf numFmtId="3" fontId="93" fillId="36" borderId="128" xfId="0" applyNumberFormat="1" applyFont="1" applyFill="1" applyBorder="1"/>
    <xf numFmtId="3" fontId="140" fillId="0" borderId="0" xfId="0" applyNumberFormat="1" applyFont="1"/>
    <xf numFmtId="3" fontId="140" fillId="0" borderId="143" xfId="0" applyNumberFormat="1" applyFont="1" applyFill="1" applyBorder="1"/>
    <xf numFmtId="3" fontId="140" fillId="0" borderId="40" xfId="0" applyNumberFormat="1" applyFont="1" applyFill="1" applyBorder="1"/>
    <xf numFmtId="0" fontId="73" fillId="0" borderId="0" xfId="80" applyFont="1" applyAlignment="1">
      <alignment horizontal="left"/>
    </xf>
    <xf numFmtId="0" fontId="73" fillId="0" borderId="0" xfId="80" applyFont="1" applyAlignment="1">
      <alignment horizontal="center"/>
    </xf>
    <xf numFmtId="0" fontId="73" fillId="0" borderId="0" xfId="80" applyFont="1" applyAlignment="1"/>
    <xf numFmtId="0" fontId="141" fillId="0" borderId="0" xfId="80" applyFont="1"/>
    <xf numFmtId="0" fontId="134" fillId="0" borderId="0" xfId="80" applyFont="1"/>
    <xf numFmtId="2" fontId="142" fillId="0" borderId="0" xfId="80" applyNumberFormat="1" applyFont="1" applyAlignment="1">
      <alignment horizontal="center"/>
    </xf>
    <xf numFmtId="0" fontId="142" fillId="0" borderId="0" xfId="80" applyFont="1"/>
    <xf numFmtId="0" fontId="82" fillId="0" borderId="0" xfId="80" applyFont="1" applyAlignment="1">
      <alignment horizontal="left"/>
    </xf>
    <xf numFmtId="0" fontId="143" fillId="0" borderId="0" xfId="80" applyFont="1" applyAlignment="1">
      <alignment horizontal="left"/>
    </xf>
    <xf numFmtId="49" fontId="144" fillId="0" borderId="0" xfId="80" applyNumberFormat="1" applyFont="1" applyAlignment="1">
      <alignment horizontal="center" wrapText="1"/>
    </xf>
    <xf numFmtId="0" fontId="145" fillId="0" borderId="0" xfId="80" applyFont="1" applyAlignment="1">
      <alignment horizontal="left"/>
    </xf>
    <xf numFmtId="0" fontId="145" fillId="0" borderId="0" xfId="80" applyFont="1" applyAlignment="1">
      <alignment horizontal="center"/>
    </xf>
    <xf numFmtId="0" fontId="145" fillId="0" borderId="0" xfId="80" applyFont="1" applyAlignment="1"/>
    <xf numFmtId="0" fontId="145" fillId="0" borderId="0" xfId="80" applyFont="1"/>
    <xf numFmtId="0" fontId="146" fillId="0" borderId="0" xfId="80" applyFont="1"/>
    <xf numFmtId="0" fontId="141" fillId="0" borderId="0" xfId="80" applyFont="1" applyAlignment="1">
      <alignment horizontal="center"/>
    </xf>
    <xf numFmtId="0" fontId="141" fillId="0" borderId="0" xfId="80" applyFont="1" applyAlignment="1"/>
    <xf numFmtId="0" fontId="147" fillId="0" borderId="0" xfId="80" applyFont="1"/>
    <xf numFmtId="14" fontId="148" fillId="0" borderId="0" xfId="80" applyNumberFormat="1" applyFont="1"/>
    <xf numFmtId="49" fontId="144" fillId="0" borderId="0" xfId="80" applyNumberFormat="1" applyFont="1" applyAlignment="1">
      <alignment horizontal="center"/>
    </xf>
    <xf numFmtId="0" fontId="134" fillId="0" borderId="66" xfId="80" applyFont="1" applyBorder="1" applyAlignment="1">
      <alignment horizontal="center"/>
    </xf>
    <xf numFmtId="0" fontId="134" fillId="0" borderId="32" xfId="80" applyFont="1" applyBorder="1" applyAlignment="1">
      <alignment horizontal="center"/>
    </xf>
    <xf numFmtId="0" fontId="134" fillId="0" borderId="44" xfId="80" applyFont="1" applyBorder="1" applyAlignment="1"/>
    <xf numFmtId="0" fontId="134" fillId="0" borderId="189" xfId="80" applyFont="1" applyBorder="1"/>
    <xf numFmtId="0" fontId="149" fillId="0" borderId="63" xfId="80" applyFont="1" applyBorder="1" applyAlignment="1">
      <alignment horizontal="center"/>
    </xf>
    <xf numFmtId="0" fontId="149" fillId="0" borderId="21" xfId="80" applyFont="1" applyBorder="1" applyAlignment="1">
      <alignment horizontal="center"/>
    </xf>
    <xf numFmtId="0" fontId="134" fillId="0" borderId="33" xfId="80" applyFont="1" applyBorder="1" applyAlignment="1">
      <alignment horizontal="center"/>
    </xf>
    <xf numFmtId="0" fontId="149" fillId="0" borderId="24" xfId="80" applyFont="1" applyBorder="1" applyAlignment="1">
      <alignment horizontal="center"/>
    </xf>
    <xf numFmtId="0" fontId="149" fillId="0" borderId="33" xfId="80" applyFont="1" applyBorder="1" applyAlignment="1">
      <alignment horizontal="center"/>
    </xf>
    <xf numFmtId="0" fontId="134" fillId="0" borderId="201" xfId="80" applyFont="1" applyBorder="1" applyAlignment="1">
      <alignment horizontal="center"/>
    </xf>
    <xf numFmtId="0" fontId="134" fillId="0" borderId="202" xfId="80" applyFont="1" applyBorder="1" applyAlignment="1">
      <alignment horizontal="center"/>
    </xf>
    <xf numFmtId="0" fontId="134" fillId="0" borderId="203" xfId="80" applyFont="1" applyBorder="1" applyAlignment="1"/>
    <xf numFmtId="0" fontId="134" fillId="0" borderId="203" xfId="80" applyFont="1" applyBorder="1"/>
    <xf numFmtId="0" fontId="149" fillId="0" borderId="204" xfId="80" applyFont="1" applyBorder="1" applyAlignment="1">
      <alignment horizontal="center"/>
    </xf>
    <xf numFmtId="0" fontId="149" fillId="0" borderId="205" xfId="80" applyFont="1" applyBorder="1" applyAlignment="1">
      <alignment horizontal="center"/>
    </xf>
    <xf numFmtId="0" fontId="134" fillId="0" borderId="206" xfId="80" applyFont="1" applyBorder="1" applyAlignment="1">
      <alignment horizontal="center"/>
    </xf>
    <xf numFmtId="0" fontId="134" fillId="0" borderId="207" xfId="80" applyFont="1" applyBorder="1" applyAlignment="1">
      <alignment horizontal="center"/>
    </xf>
    <xf numFmtId="0" fontId="149" fillId="0" borderId="208" xfId="80" applyFont="1" applyBorder="1" applyAlignment="1">
      <alignment horizontal="center"/>
    </xf>
    <xf numFmtId="0" fontId="149" fillId="0" borderId="207" xfId="80" applyFont="1" applyBorder="1" applyAlignment="1">
      <alignment horizontal="center"/>
    </xf>
    <xf numFmtId="0" fontId="150" fillId="33" borderId="69" xfId="80" applyFont="1" applyFill="1" applyBorder="1" applyAlignment="1">
      <alignment horizontal="center"/>
    </xf>
    <xf numFmtId="0" fontId="150" fillId="33" borderId="12" xfId="80" applyFont="1" applyFill="1" applyBorder="1" applyAlignment="1">
      <alignment horizontal="center"/>
    </xf>
    <xf numFmtId="0" fontId="150" fillId="33" borderId="12" xfId="80" applyFont="1" applyFill="1" applyBorder="1" applyAlignment="1"/>
    <xf numFmtId="0" fontId="150" fillId="33" borderId="190" xfId="80" applyFont="1" applyFill="1" applyBorder="1" applyAlignment="1">
      <alignment horizontal="left"/>
    </xf>
    <xf numFmtId="3" fontId="150" fillId="33" borderId="191" xfId="80" applyNumberFormat="1" applyFont="1" applyFill="1" applyBorder="1" applyAlignment="1">
      <alignment horizontal="right"/>
    </xf>
    <xf numFmtId="3" fontId="150" fillId="33" borderId="35" xfId="80" applyNumberFormat="1" applyFont="1" applyFill="1" applyBorder="1" applyAlignment="1">
      <alignment horizontal="right"/>
    </xf>
    <xf numFmtId="3" fontId="150" fillId="33" borderId="27" xfId="80" applyNumberFormat="1" applyFont="1" applyFill="1" applyBorder="1" applyAlignment="1">
      <alignment horizontal="right"/>
    </xf>
    <xf numFmtId="3" fontId="150" fillId="33" borderId="12" xfId="80" applyNumberFormat="1" applyFont="1" applyFill="1" applyBorder="1" applyAlignment="1">
      <alignment horizontal="right"/>
    </xf>
    <xf numFmtId="0" fontId="134" fillId="29" borderId="64" xfId="80" applyFont="1" applyFill="1" applyBorder="1" applyAlignment="1">
      <alignment horizontal="center"/>
    </xf>
    <xf numFmtId="0" fontId="134" fillId="29" borderId="10" xfId="80" applyFont="1" applyFill="1" applyBorder="1" applyAlignment="1">
      <alignment horizontal="center"/>
    </xf>
    <xf numFmtId="0" fontId="134" fillId="29" borderId="163" xfId="80" applyFont="1" applyFill="1" applyBorder="1" applyAlignment="1"/>
    <xf numFmtId="0" fontId="134" fillId="29" borderId="163" xfId="80" applyFont="1" applyFill="1" applyBorder="1"/>
    <xf numFmtId="3" fontId="149" fillId="29" borderId="65" xfId="80" applyNumberFormat="1" applyFont="1" applyFill="1" applyBorder="1"/>
    <xf numFmtId="3" fontId="149" fillId="29" borderId="22" xfId="80" applyNumberFormat="1" applyFont="1" applyFill="1" applyBorder="1"/>
    <xf numFmtId="3" fontId="149" fillId="29" borderId="15" xfId="80" applyNumberFormat="1" applyFont="1" applyFill="1" applyBorder="1"/>
    <xf numFmtId="3" fontId="149" fillId="29" borderId="10" xfId="80" applyNumberFormat="1" applyFont="1" applyFill="1" applyBorder="1"/>
    <xf numFmtId="0" fontId="134" fillId="0" borderId="64" xfId="80" applyFont="1" applyFill="1" applyBorder="1" applyAlignment="1">
      <alignment horizontal="center"/>
    </xf>
    <xf numFmtId="0" fontId="134" fillId="0" borderId="10" xfId="80" applyFont="1" applyFill="1" applyBorder="1" applyAlignment="1">
      <alignment horizontal="center"/>
    </xf>
    <xf numFmtId="0" fontId="134" fillId="0" borderId="163" xfId="80" applyFont="1" applyFill="1" applyBorder="1" applyAlignment="1"/>
    <xf numFmtId="0" fontId="134" fillId="0" borderId="163" xfId="80" applyFont="1" applyFill="1" applyBorder="1"/>
    <xf numFmtId="3" fontId="149" fillId="0" borderId="65" xfId="80" applyNumberFormat="1" applyFont="1" applyFill="1" applyBorder="1"/>
    <xf numFmtId="3" fontId="149" fillId="0" borderId="22" xfId="80" applyNumberFormat="1" applyFont="1" applyFill="1" applyBorder="1"/>
    <xf numFmtId="3" fontId="149" fillId="47" borderId="22" xfId="80" applyNumberFormat="1" applyFont="1" applyFill="1" applyBorder="1"/>
    <xf numFmtId="3" fontId="134" fillId="0" borderId="10" xfId="80" applyNumberFormat="1" applyFont="1" applyFill="1" applyBorder="1"/>
    <xf numFmtId="3" fontId="134" fillId="0" borderId="22" xfId="80" applyNumberFormat="1" applyFont="1" applyFill="1" applyBorder="1"/>
    <xf numFmtId="3" fontId="149" fillId="0" borderId="15" xfId="80" applyNumberFormat="1" applyFont="1" applyFill="1" applyBorder="1"/>
    <xf numFmtId="3" fontId="149" fillId="0" borderId="10" xfId="80" applyNumberFormat="1" applyFont="1" applyFill="1" applyBorder="1"/>
    <xf numFmtId="2" fontId="151" fillId="0" borderId="0" xfId="80" applyNumberFormat="1" applyFont="1" applyAlignment="1">
      <alignment horizontal="left" wrapText="1"/>
    </xf>
    <xf numFmtId="3" fontId="149" fillId="37" borderId="65" xfId="80" applyNumberFormat="1" applyFont="1" applyFill="1" applyBorder="1"/>
    <xf numFmtId="3" fontId="149" fillId="25" borderId="22" xfId="80" applyNumberFormat="1" applyFont="1" applyFill="1" applyBorder="1"/>
    <xf numFmtId="3" fontId="149" fillId="29" borderId="65" xfId="80" applyNumberFormat="1" applyFont="1" applyFill="1" applyBorder="1" applyAlignment="1">
      <alignment horizontal="right"/>
    </xf>
    <xf numFmtId="3" fontId="149" fillId="29" borderId="22" xfId="80" applyNumberFormat="1" applyFont="1" applyFill="1" applyBorder="1" applyAlignment="1">
      <alignment horizontal="right"/>
    </xf>
    <xf numFmtId="3" fontId="149" fillId="29" borderId="15" xfId="80" applyNumberFormat="1" applyFont="1" applyFill="1" applyBorder="1" applyAlignment="1">
      <alignment horizontal="right"/>
    </xf>
    <xf numFmtId="3" fontId="149" fillId="29" borderId="10" xfId="80" applyNumberFormat="1" applyFont="1" applyFill="1" applyBorder="1" applyAlignment="1">
      <alignment horizontal="right"/>
    </xf>
    <xf numFmtId="0" fontId="148" fillId="0" borderId="64" xfId="80" applyFont="1" applyBorder="1" applyAlignment="1">
      <alignment horizontal="center"/>
    </xf>
    <xf numFmtId="0" fontId="148" fillId="0" borderId="163" xfId="80" applyFont="1" applyBorder="1"/>
    <xf numFmtId="3" fontId="149" fillId="25" borderId="65" xfId="80" applyNumberFormat="1" applyFont="1" applyFill="1" applyBorder="1" applyAlignment="1">
      <alignment horizontal="right"/>
    </xf>
    <xf numFmtId="3" fontId="149" fillId="25" borderId="22" xfId="80" applyNumberFormat="1" applyFont="1" applyFill="1" applyBorder="1" applyAlignment="1">
      <alignment horizontal="right"/>
    </xf>
    <xf numFmtId="3" fontId="149" fillId="47" borderId="22" xfId="80" applyNumberFormat="1" applyFont="1" applyFill="1" applyBorder="1" applyAlignment="1">
      <alignment horizontal="right"/>
    </xf>
    <xf numFmtId="3" fontId="149" fillId="0" borderId="15" xfId="80" applyNumberFormat="1" applyFont="1" applyFill="1" applyBorder="1" applyAlignment="1">
      <alignment horizontal="right"/>
    </xf>
    <xf numFmtId="3" fontId="149" fillId="0" borderId="10" xfId="80" applyNumberFormat="1" applyFont="1" applyFill="1" applyBorder="1" applyAlignment="1">
      <alignment horizontal="right"/>
    </xf>
    <xf numFmtId="3" fontId="144" fillId="0" borderId="15" xfId="80" applyNumberFormat="1" applyFont="1" applyFill="1" applyBorder="1" applyAlignment="1">
      <alignment horizontal="right"/>
    </xf>
    <xf numFmtId="3" fontId="144" fillId="0" borderId="10" xfId="80" applyNumberFormat="1" applyFont="1" applyFill="1" applyBorder="1" applyAlignment="1">
      <alignment horizontal="right"/>
    </xf>
    <xf numFmtId="3" fontId="149" fillId="0" borderId="65" xfId="80" applyNumberFormat="1" applyFont="1" applyFill="1" applyBorder="1" applyAlignment="1">
      <alignment horizontal="right"/>
    </xf>
    <xf numFmtId="3" fontId="149" fillId="0" borderId="22" xfId="80" applyNumberFormat="1" applyFont="1" applyFill="1" applyBorder="1" applyAlignment="1">
      <alignment horizontal="right"/>
    </xf>
    <xf numFmtId="0" fontId="134" fillId="29" borderId="75" xfId="80" applyFont="1" applyFill="1" applyBorder="1" applyAlignment="1">
      <alignment horizontal="center" vertical="center"/>
    </xf>
    <xf numFmtId="0" fontId="134" fillId="29" borderId="20" xfId="80" applyFont="1" applyFill="1" applyBorder="1" applyAlignment="1">
      <alignment horizontal="center" vertical="center"/>
    </xf>
    <xf numFmtId="0" fontId="134" fillId="29" borderId="176" xfId="80" applyFont="1" applyFill="1" applyBorder="1" applyAlignment="1">
      <alignment vertical="center"/>
    </xf>
    <xf numFmtId="3" fontId="149" fillId="29" borderId="16" xfId="80" applyNumberFormat="1" applyFont="1" applyFill="1" applyBorder="1" applyAlignment="1">
      <alignment horizontal="right" vertical="center"/>
    </xf>
    <xf numFmtId="3" fontId="149" fillId="29" borderId="114" xfId="80" applyNumberFormat="1" applyFont="1" applyFill="1" applyBorder="1" applyAlignment="1">
      <alignment horizontal="right" vertical="center"/>
    </xf>
    <xf numFmtId="3" fontId="149" fillId="29" borderId="19" xfId="80" applyNumberFormat="1" applyFont="1" applyFill="1" applyBorder="1" applyAlignment="1">
      <alignment horizontal="right" vertical="center"/>
    </xf>
    <xf numFmtId="3" fontId="149" fillId="43" borderId="114" xfId="80" applyNumberFormat="1" applyFont="1" applyFill="1" applyBorder="1" applyAlignment="1">
      <alignment horizontal="right" vertical="center"/>
    </xf>
    <xf numFmtId="3" fontId="149" fillId="29" borderId="20" xfId="80" applyNumberFormat="1" applyFont="1" applyFill="1" applyBorder="1" applyAlignment="1">
      <alignment horizontal="right" vertical="center"/>
    </xf>
    <xf numFmtId="0" fontId="150" fillId="33" borderId="13" xfId="80" applyFont="1" applyFill="1" applyBorder="1" applyAlignment="1">
      <alignment horizontal="center"/>
    </xf>
    <xf numFmtId="0" fontId="150" fillId="33" borderId="73" xfId="80" applyFont="1" applyFill="1" applyBorder="1" applyAlignment="1">
      <alignment horizontal="center"/>
    </xf>
    <xf numFmtId="0" fontId="150" fillId="33" borderId="14" xfId="80" applyFont="1" applyFill="1" applyBorder="1" applyAlignment="1"/>
    <xf numFmtId="0" fontId="150" fillId="33" borderId="189" xfId="80" applyFont="1" applyFill="1" applyBorder="1" applyAlignment="1">
      <alignment horizontal="left"/>
    </xf>
    <xf numFmtId="3" fontId="150" fillId="33" borderId="63" xfId="80" applyNumberFormat="1" applyFont="1" applyFill="1" applyBorder="1" applyAlignment="1">
      <alignment horizontal="right"/>
    </xf>
    <xf numFmtId="3" fontId="150" fillId="33" borderId="21" xfId="80" applyNumberFormat="1" applyFont="1" applyFill="1" applyBorder="1" applyAlignment="1">
      <alignment horizontal="right"/>
    </xf>
    <xf numFmtId="3" fontId="150" fillId="33" borderId="13" xfId="80" applyNumberFormat="1" applyFont="1" applyFill="1" applyBorder="1" applyAlignment="1">
      <alignment horizontal="right"/>
    </xf>
    <xf numFmtId="3" fontId="152" fillId="33" borderId="14" xfId="80" applyNumberFormat="1" applyFont="1" applyFill="1" applyBorder="1" applyAlignment="1">
      <alignment horizontal="right"/>
    </xf>
    <xf numFmtId="3" fontId="152" fillId="33" borderId="21" xfId="80" applyNumberFormat="1" applyFont="1" applyFill="1" applyBorder="1" applyAlignment="1">
      <alignment horizontal="right"/>
    </xf>
    <xf numFmtId="0" fontId="152" fillId="33" borderId="13" xfId="80" applyFont="1" applyFill="1" applyBorder="1" applyAlignment="1">
      <alignment horizontal="center"/>
    </xf>
    <xf numFmtId="0" fontId="144" fillId="33" borderId="21" xfId="80" applyFont="1" applyFill="1" applyBorder="1" applyAlignment="1">
      <alignment horizontal="center"/>
    </xf>
    <xf numFmtId="0" fontId="134" fillId="0" borderId="15" xfId="80" applyFont="1" applyBorder="1" applyAlignment="1">
      <alignment horizontal="center"/>
    </xf>
    <xf numFmtId="0" fontId="134" fillId="0" borderId="71" xfId="80" applyFont="1" applyBorder="1" applyAlignment="1">
      <alignment horizontal="center"/>
    </xf>
    <xf numFmtId="3" fontId="153" fillId="0" borderId="65" xfId="80" applyNumberFormat="1" applyFont="1" applyFill="1" applyBorder="1"/>
    <xf numFmtId="49" fontId="151" fillId="0" borderId="15" xfId="80" applyNumberFormat="1" applyFont="1" applyFill="1" applyBorder="1" applyAlignment="1">
      <alignment horizontal="center"/>
    </xf>
    <xf numFmtId="0" fontId="151" fillId="0" borderId="22" xfId="80" applyFont="1" applyBorder="1" applyAlignment="1">
      <alignment horizontal="center"/>
    </xf>
    <xf numFmtId="0" fontId="134" fillId="0" borderId="163" xfId="80" applyFont="1" applyBorder="1"/>
    <xf numFmtId="3" fontId="149" fillId="25" borderId="65" xfId="80" applyNumberFormat="1" applyFont="1" applyFill="1" applyBorder="1"/>
    <xf numFmtId="0" fontId="154" fillId="0" borderId="163" xfId="80" applyFont="1" applyFill="1" applyBorder="1"/>
    <xf numFmtId="3" fontId="134" fillId="0" borderId="0" xfId="80" applyNumberFormat="1" applyFont="1" applyFill="1" applyBorder="1" applyAlignment="1">
      <alignment horizontal="left" wrapText="1"/>
    </xf>
    <xf numFmtId="0" fontId="134" fillId="48" borderId="15" xfId="80" applyFont="1" applyFill="1" applyBorder="1" applyAlignment="1">
      <alignment horizontal="center"/>
    </xf>
    <xf numFmtId="0" fontId="134" fillId="48" borderId="71" xfId="80" applyFont="1" applyFill="1" applyBorder="1" applyAlignment="1">
      <alignment horizontal="center"/>
    </xf>
    <xf numFmtId="0" fontId="134" fillId="48" borderId="163" xfId="80" applyFont="1" applyFill="1" applyBorder="1" applyAlignment="1"/>
    <xf numFmtId="3" fontId="149" fillId="48" borderId="65" xfId="80" applyNumberFormat="1" applyFont="1" applyFill="1" applyBorder="1"/>
    <xf numFmtId="3" fontId="149" fillId="48" borderId="22" xfId="80" applyNumberFormat="1" applyFont="1" applyFill="1" applyBorder="1"/>
    <xf numFmtId="3" fontId="149" fillId="48" borderId="15" xfId="80" applyNumberFormat="1" applyFont="1" applyFill="1" applyBorder="1"/>
    <xf numFmtId="2" fontId="134" fillId="48" borderId="10" xfId="80" applyNumberFormat="1" applyFont="1" applyFill="1" applyBorder="1"/>
    <xf numFmtId="3" fontId="134" fillId="48" borderId="22" xfId="80" applyNumberFormat="1" applyFont="1" applyFill="1" applyBorder="1"/>
    <xf numFmtId="49" fontId="151" fillId="48" borderId="15" xfId="80" applyNumberFormat="1" applyFont="1" applyFill="1" applyBorder="1" applyAlignment="1">
      <alignment horizontal="center"/>
    </xf>
    <xf numFmtId="0" fontId="151" fillId="48" borderId="22" xfId="80" applyFont="1" applyFill="1" applyBorder="1" applyAlignment="1">
      <alignment horizontal="center"/>
    </xf>
    <xf numFmtId="0" fontId="134" fillId="0" borderId="82" xfId="80" applyFont="1" applyBorder="1" applyAlignment="1">
      <alignment horizontal="center"/>
    </xf>
    <xf numFmtId="3" fontId="149" fillId="0" borderId="74" xfId="80" applyNumberFormat="1" applyFont="1" applyFill="1" applyBorder="1"/>
    <xf numFmtId="3" fontId="149" fillId="0" borderId="38" xfId="80" applyNumberFormat="1" applyFont="1" applyFill="1" applyBorder="1"/>
    <xf numFmtId="3" fontId="149" fillId="47" borderId="38" xfId="80" applyNumberFormat="1" applyFont="1" applyFill="1" applyBorder="1"/>
    <xf numFmtId="0" fontId="151" fillId="0" borderId="38" xfId="80" applyFont="1" applyBorder="1" applyAlignment="1">
      <alignment horizontal="center"/>
    </xf>
    <xf numFmtId="3" fontId="155" fillId="34" borderId="23" xfId="80" applyNumberFormat="1" applyFont="1" applyFill="1" applyBorder="1"/>
    <xf numFmtId="0" fontId="134" fillId="34" borderId="17" xfId="80" applyFont="1" applyFill="1" applyBorder="1" applyAlignment="1">
      <alignment horizontal="center"/>
    </xf>
    <xf numFmtId="0" fontId="148" fillId="29" borderId="27" xfId="80" applyFont="1" applyFill="1" applyBorder="1" applyAlignment="1">
      <alignment horizontal="center"/>
    </xf>
    <xf numFmtId="0" fontId="148" fillId="29" borderId="70" xfId="80" applyFont="1" applyFill="1" applyBorder="1" applyAlignment="1">
      <alignment horizontal="center"/>
    </xf>
    <xf numFmtId="0" fontId="148" fillId="29" borderId="12" xfId="80" applyFont="1" applyFill="1" applyBorder="1" applyAlignment="1"/>
    <xf numFmtId="0" fontId="148" fillId="29" borderId="190" xfId="80" applyFont="1" applyFill="1" applyBorder="1" applyAlignment="1">
      <alignment horizontal="center"/>
    </xf>
    <xf numFmtId="3" fontId="156" fillId="43" borderId="65" xfId="80" applyNumberFormat="1" applyFont="1" applyFill="1" applyBorder="1"/>
    <xf numFmtId="3" fontId="156" fillId="43" borderId="22" xfId="80" applyNumberFormat="1" applyFont="1" applyFill="1" applyBorder="1"/>
    <xf numFmtId="3" fontId="156" fillId="43" borderId="15" xfId="80" applyNumberFormat="1" applyFont="1" applyFill="1" applyBorder="1"/>
    <xf numFmtId="3" fontId="134" fillId="43" borderId="14" xfId="80" applyNumberFormat="1" applyFont="1" applyFill="1" applyBorder="1"/>
    <xf numFmtId="3" fontId="134" fillId="43" borderId="22" xfId="80" applyNumberFormat="1" applyFont="1" applyFill="1" applyBorder="1"/>
    <xf numFmtId="0" fontId="157" fillId="29" borderId="35" xfId="80" applyFont="1" applyFill="1" applyBorder="1" applyAlignment="1">
      <alignment horizontal="center"/>
    </xf>
    <xf numFmtId="0" fontId="134" fillId="0" borderId="10" xfId="80" applyFont="1" applyBorder="1" applyAlignment="1"/>
    <xf numFmtId="0" fontId="158" fillId="0" borderId="65" xfId="80" applyFont="1" applyBorder="1"/>
    <xf numFmtId="0" fontId="158" fillId="0" borderId="22" xfId="80" applyFont="1" applyBorder="1"/>
    <xf numFmtId="0" fontId="158" fillId="47" borderId="22" xfId="80" applyFont="1" applyFill="1" applyBorder="1"/>
    <xf numFmtId="0" fontId="148" fillId="29" borderId="15" xfId="80" applyFont="1" applyFill="1" applyBorder="1" applyAlignment="1">
      <alignment horizontal="center"/>
    </xf>
    <xf numFmtId="0" fontId="148" fillId="43" borderId="71" xfId="80" applyFont="1" applyFill="1" applyBorder="1" applyAlignment="1">
      <alignment horizontal="center"/>
    </xf>
    <xf numFmtId="0" fontId="148" fillId="43" borderId="10" xfId="80" applyFont="1" applyFill="1" applyBorder="1" applyAlignment="1"/>
    <xf numFmtId="0" fontId="148" fillId="43" borderId="163" xfId="80" applyFont="1" applyFill="1" applyBorder="1" applyAlignment="1">
      <alignment horizontal="center"/>
    </xf>
    <xf numFmtId="3" fontId="156" fillId="29" borderId="65" xfId="80" applyNumberFormat="1" applyFont="1" applyFill="1" applyBorder="1" applyAlignment="1">
      <alignment horizontal="right"/>
    </xf>
    <xf numFmtId="3" fontId="156" fillId="29" borderId="22" xfId="80" applyNumberFormat="1" applyFont="1" applyFill="1" applyBorder="1" applyAlignment="1">
      <alignment horizontal="right"/>
    </xf>
    <xf numFmtId="3" fontId="156" fillId="29" borderId="15" xfId="80" applyNumberFormat="1" applyFont="1" applyFill="1" applyBorder="1" applyAlignment="1">
      <alignment horizontal="right"/>
    </xf>
    <xf numFmtId="3" fontId="134" fillId="29" borderId="10" xfId="80" applyNumberFormat="1" applyFont="1" applyFill="1" applyBorder="1" applyAlignment="1">
      <alignment horizontal="right"/>
    </xf>
    <xf numFmtId="3" fontId="134" fillId="29" borderId="22" xfId="80" applyNumberFormat="1" applyFont="1" applyFill="1" applyBorder="1" applyAlignment="1">
      <alignment horizontal="right"/>
    </xf>
    <xf numFmtId="0" fontId="148" fillId="43" borderId="15" xfId="80" applyFont="1" applyFill="1" applyBorder="1" applyAlignment="1">
      <alignment horizontal="center"/>
    </xf>
    <xf numFmtId="0" fontId="157" fillId="29" borderId="22" xfId="80" applyFont="1" applyFill="1" applyBorder="1" applyAlignment="1">
      <alignment horizontal="center"/>
    </xf>
    <xf numFmtId="0" fontId="134" fillId="0" borderId="27" xfId="80" applyFont="1" applyBorder="1" applyAlignment="1">
      <alignment horizontal="center"/>
    </xf>
    <xf numFmtId="0" fontId="134" fillId="0" borderId="70" xfId="80" applyFont="1" applyBorder="1" applyAlignment="1">
      <alignment horizontal="center"/>
    </xf>
    <xf numFmtId="0" fontId="134" fillId="0" borderId="12" xfId="80" applyFont="1" applyBorder="1" applyAlignment="1"/>
    <xf numFmtId="0" fontId="134" fillId="0" borderId="190" xfId="80" applyFont="1" applyBorder="1"/>
    <xf numFmtId="3" fontId="149" fillId="25" borderId="191" xfId="80" applyNumberFormat="1" applyFont="1" applyFill="1" applyBorder="1" applyAlignment="1">
      <alignment horizontal="right"/>
    </xf>
    <xf numFmtId="3" fontId="149" fillId="25" borderId="35" xfId="80" applyNumberFormat="1" applyFont="1" applyFill="1" applyBorder="1" applyAlignment="1">
      <alignment horizontal="right"/>
    </xf>
    <xf numFmtId="3" fontId="149" fillId="47" borderId="35" xfId="80" applyNumberFormat="1" applyFont="1" applyFill="1" applyBorder="1" applyAlignment="1">
      <alignment horizontal="right"/>
    </xf>
    <xf numFmtId="0" fontId="151" fillId="0" borderId="35" xfId="80" applyFont="1" applyBorder="1" applyAlignment="1">
      <alignment horizontal="center"/>
    </xf>
    <xf numFmtId="3" fontId="156" fillId="29" borderId="22" xfId="80" applyNumberFormat="1" applyFont="1" applyFill="1" applyBorder="1"/>
    <xf numFmtId="3" fontId="134" fillId="43" borderId="10" xfId="80" applyNumberFormat="1" applyFont="1" applyFill="1" applyBorder="1"/>
    <xf numFmtId="0" fontId="157" fillId="43" borderId="22" xfId="80" applyFont="1" applyFill="1" applyBorder="1" applyAlignment="1">
      <alignment horizontal="center"/>
    </xf>
    <xf numFmtId="3" fontId="159" fillId="0" borderId="65" xfId="80" applyNumberFormat="1" applyFont="1" applyFill="1" applyBorder="1"/>
    <xf numFmtId="3" fontId="134" fillId="0" borderId="0" xfId="80" applyNumberFormat="1" applyFont="1" applyFill="1" applyBorder="1" applyAlignment="1">
      <alignment wrapText="1"/>
    </xf>
    <xf numFmtId="0" fontId="134" fillId="0" borderId="37" xfId="80" applyFont="1" applyBorder="1" applyAlignment="1"/>
    <xf numFmtId="0" fontId="134" fillId="0" borderId="174" xfId="80" applyFont="1" applyBorder="1" applyAlignment="1">
      <alignment horizontal="left"/>
    </xf>
    <xf numFmtId="0" fontId="134" fillId="0" borderId="36" xfId="80" applyFont="1" applyBorder="1" applyAlignment="1">
      <alignment horizontal="center"/>
    </xf>
    <xf numFmtId="3" fontId="156" fillId="0" borderId="65" xfId="80" applyNumberFormat="1" applyFont="1" applyFill="1" applyBorder="1"/>
    <xf numFmtId="3" fontId="156" fillId="0" borderId="22" xfId="80" applyNumberFormat="1" applyFont="1" applyFill="1" applyBorder="1"/>
    <xf numFmtId="3" fontId="156" fillId="47" borderId="22" xfId="80" applyNumberFormat="1" applyFont="1" applyFill="1" applyBorder="1"/>
    <xf numFmtId="3" fontId="149" fillId="25" borderId="74" xfId="80" applyNumberFormat="1" applyFont="1" applyFill="1" applyBorder="1" applyAlignment="1">
      <alignment horizontal="right"/>
    </xf>
    <xf numFmtId="3" fontId="149" fillId="25" borderId="38" xfId="80" applyNumberFormat="1" applyFont="1" applyFill="1" applyBorder="1" applyAlignment="1">
      <alignment horizontal="right"/>
    </xf>
    <xf numFmtId="3" fontId="149" fillId="47" borderId="38" xfId="80" applyNumberFormat="1" applyFont="1" applyFill="1" applyBorder="1" applyAlignment="1">
      <alignment horizontal="right"/>
    </xf>
    <xf numFmtId="3" fontId="149" fillId="0" borderId="74" xfId="80" applyNumberFormat="1" applyFont="1" applyFill="1" applyBorder="1" applyAlignment="1">
      <alignment horizontal="right"/>
    </xf>
    <xf numFmtId="3" fontId="149" fillId="0" borderId="38" xfId="80" applyNumberFormat="1" applyFont="1" applyFill="1" applyBorder="1" applyAlignment="1">
      <alignment horizontal="right"/>
    </xf>
    <xf numFmtId="0" fontId="154" fillId="0" borderId="163" xfId="80" applyFont="1" applyBorder="1"/>
    <xf numFmtId="0" fontId="150" fillId="33" borderId="96" xfId="80" applyFont="1" applyFill="1" applyBorder="1" applyAlignment="1">
      <alignment horizontal="left"/>
    </xf>
    <xf numFmtId="3" fontId="150" fillId="33" borderId="61" xfId="80" applyNumberFormat="1" applyFont="1" applyFill="1" applyBorder="1"/>
    <xf numFmtId="3" fontId="150" fillId="33" borderId="23" xfId="80" applyNumberFormat="1" applyFont="1" applyFill="1" applyBorder="1"/>
    <xf numFmtId="3" fontId="150" fillId="33" borderId="17" xfId="80" applyNumberFormat="1" applyFont="1" applyFill="1" applyBorder="1"/>
    <xf numFmtId="3" fontId="152" fillId="33" borderId="18" xfId="80" applyNumberFormat="1" applyFont="1" applyFill="1" applyBorder="1"/>
    <xf numFmtId="3" fontId="152" fillId="33" borderId="23" xfId="80" applyNumberFormat="1" applyFont="1" applyFill="1" applyBorder="1"/>
    <xf numFmtId="3" fontId="152" fillId="33" borderId="17" xfId="80" applyNumberFormat="1" applyFont="1" applyFill="1" applyBorder="1"/>
    <xf numFmtId="0" fontId="134" fillId="0" borderId="190" xfId="80" applyFont="1" applyBorder="1" applyAlignment="1">
      <alignment horizontal="center"/>
    </xf>
    <xf numFmtId="0" fontId="134" fillId="0" borderId="190" xfId="80" applyFont="1" applyBorder="1" applyAlignment="1"/>
    <xf numFmtId="3" fontId="158" fillId="0" borderId="191" xfId="80" applyNumberFormat="1" applyFont="1" applyBorder="1"/>
    <xf numFmtId="3" fontId="158" fillId="0" borderId="35" xfId="80" applyNumberFormat="1" applyFont="1" applyBorder="1"/>
    <xf numFmtId="3" fontId="158" fillId="47" borderId="35" xfId="80" applyNumberFormat="1" applyFont="1" applyFill="1" applyBorder="1"/>
    <xf numFmtId="2" fontId="134" fillId="0" borderId="190" xfId="80" applyNumberFormat="1" applyFont="1" applyBorder="1"/>
    <xf numFmtId="0" fontId="134" fillId="0" borderId="64" xfId="80" applyFont="1" applyBorder="1" applyAlignment="1">
      <alignment horizontal="center"/>
    </xf>
    <xf numFmtId="0" fontId="134" fillId="0" borderId="163" xfId="80" applyFont="1" applyBorder="1" applyAlignment="1">
      <alignment horizontal="center"/>
    </xf>
    <xf numFmtId="3" fontId="158" fillId="25" borderId="65" xfId="80" applyNumberFormat="1" applyFont="1" applyFill="1" applyBorder="1"/>
    <xf numFmtId="3" fontId="158" fillId="25" borderId="22" xfId="80" applyNumberFormat="1" applyFont="1" applyFill="1" applyBorder="1"/>
    <xf numFmtId="3" fontId="158" fillId="47" borderId="22" xfId="80" applyNumberFormat="1" applyFont="1" applyFill="1" applyBorder="1"/>
    <xf numFmtId="2" fontId="134" fillId="25" borderId="163" xfId="80" applyNumberFormat="1" applyFont="1" applyFill="1" applyBorder="1"/>
    <xf numFmtId="0" fontId="134" fillId="0" borderId="163" xfId="80" applyFont="1" applyBorder="1" applyAlignment="1"/>
    <xf numFmtId="3" fontId="144" fillId="47" borderId="22" xfId="80" applyNumberFormat="1" applyFont="1" applyFill="1" applyBorder="1"/>
    <xf numFmtId="2" fontId="134" fillId="0" borderId="163" xfId="80" applyNumberFormat="1" applyFont="1" applyFill="1" applyBorder="1"/>
    <xf numFmtId="49" fontId="144" fillId="0" borderId="0" xfId="80" applyNumberFormat="1" applyFont="1" applyAlignment="1">
      <alignment horizontal="left" wrapText="1"/>
    </xf>
    <xf numFmtId="0" fontId="134" fillId="0" borderId="176" xfId="80" applyFont="1" applyBorder="1" applyAlignment="1">
      <alignment horizontal="center"/>
    </xf>
    <xf numFmtId="0" fontId="134" fillId="0" borderId="176" xfId="80" applyFont="1" applyBorder="1" applyAlignment="1"/>
    <xf numFmtId="0" fontId="134" fillId="0" borderId="176" xfId="80" applyFont="1" applyBorder="1"/>
    <xf numFmtId="3" fontId="149" fillId="37" borderId="16" xfId="80" applyNumberFormat="1" applyFont="1" applyFill="1" applyBorder="1"/>
    <xf numFmtId="3" fontId="149" fillId="25" borderId="114" xfId="80" applyNumberFormat="1" applyFont="1" applyFill="1" applyBorder="1"/>
    <xf numFmtId="3" fontId="149" fillId="47" borderId="114" xfId="80" applyNumberFormat="1" applyFont="1" applyFill="1" applyBorder="1"/>
    <xf numFmtId="3" fontId="134" fillId="0" borderId="20" xfId="80" applyNumberFormat="1" applyFont="1" applyFill="1" applyBorder="1"/>
    <xf numFmtId="3" fontId="134" fillId="0" borderId="114" xfId="80" applyNumberFormat="1" applyFont="1" applyFill="1" applyBorder="1"/>
    <xf numFmtId="2" fontId="134" fillId="25" borderId="176" xfId="80" applyNumberFormat="1" applyFont="1" applyFill="1" applyBorder="1"/>
    <xf numFmtId="2" fontId="151" fillId="0" borderId="0" xfId="80" applyNumberFormat="1" applyFont="1" applyFill="1" applyAlignment="1">
      <alignment horizontal="left" vertical="center"/>
    </xf>
    <xf numFmtId="0" fontId="141" fillId="0" borderId="0" xfId="80" applyFont="1" applyAlignment="1">
      <alignment vertical="center"/>
    </xf>
    <xf numFmtId="0" fontId="160" fillId="0" borderId="0" xfId="80" applyFont="1"/>
    <xf numFmtId="0" fontId="161" fillId="0" borderId="0" xfId="80" applyFont="1"/>
    <xf numFmtId="0" fontId="134" fillId="0" borderId="45" xfId="80" applyFont="1" applyBorder="1" applyAlignment="1">
      <alignment horizontal="center"/>
    </xf>
    <xf numFmtId="0" fontId="134" fillId="0" borderId="45" xfId="80" applyFont="1" applyBorder="1" applyAlignment="1"/>
    <xf numFmtId="0" fontId="134" fillId="0" borderId="45" xfId="80" applyFont="1" applyBorder="1"/>
    <xf numFmtId="0" fontId="158" fillId="0" borderId="45" xfId="80" applyFont="1" applyBorder="1"/>
    <xf numFmtId="2" fontId="154" fillId="0" borderId="45" xfId="80" applyNumberFormat="1" applyFont="1" applyBorder="1" applyAlignment="1">
      <alignment horizontal="center"/>
    </xf>
    <xf numFmtId="0" fontId="154" fillId="0" borderId="45" xfId="80" applyFont="1" applyBorder="1"/>
    <xf numFmtId="0" fontId="148" fillId="0" borderId="45" xfId="80" applyFont="1" applyBorder="1" applyAlignment="1">
      <alignment horizontal="left"/>
    </xf>
    <xf numFmtId="0" fontId="157" fillId="0" borderId="45" xfId="80" applyFont="1" applyBorder="1" applyAlignment="1">
      <alignment horizontal="left"/>
    </xf>
    <xf numFmtId="3" fontId="150" fillId="33" borderId="18" xfId="80" applyNumberFormat="1" applyFont="1" applyFill="1" applyBorder="1"/>
    <xf numFmtId="0" fontId="148" fillId="0" borderId="0" xfId="80" applyFont="1" applyAlignment="1">
      <alignment horizontal="left"/>
    </xf>
    <xf numFmtId="0" fontId="157" fillId="0" borderId="0" xfId="80" applyFont="1" applyAlignment="1">
      <alignment horizontal="left"/>
    </xf>
    <xf numFmtId="0" fontId="150" fillId="0" borderId="0" xfId="80" applyFont="1" applyFill="1" applyBorder="1" applyAlignment="1">
      <alignment horizontal="center"/>
    </xf>
    <xf numFmtId="0" fontId="150" fillId="0" borderId="0" xfId="80" applyFont="1" applyFill="1" applyBorder="1" applyAlignment="1"/>
    <xf numFmtId="3" fontId="150" fillId="0" borderId="0" xfId="80" applyNumberFormat="1" applyFont="1" applyFill="1" applyBorder="1"/>
    <xf numFmtId="3" fontId="158" fillId="0" borderId="0" xfId="80" applyNumberFormat="1" applyFont="1" applyFill="1" applyBorder="1"/>
    <xf numFmtId="2" fontId="154" fillId="0" borderId="0" xfId="80" applyNumberFormat="1" applyFont="1" applyFill="1" applyBorder="1" applyAlignment="1">
      <alignment horizontal="center"/>
    </xf>
    <xf numFmtId="3" fontId="154" fillId="0" borderId="0" xfId="80" applyNumberFormat="1" applyFont="1" applyFill="1" applyBorder="1"/>
    <xf numFmtId="0" fontId="141" fillId="0" borderId="0" xfId="80" applyFont="1" applyFill="1" applyBorder="1" applyAlignment="1">
      <alignment horizontal="center"/>
    </xf>
    <xf numFmtId="0" fontId="141" fillId="0" borderId="0" xfId="80" applyFont="1" applyFill="1" applyBorder="1" applyAlignment="1"/>
    <xf numFmtId="0" fontId="162" fillId="0" borderId="0" xfId="80" applyFont="1" applyFill="1" applyBorder="1" applyAlignment="1">
      <alignment horizontal="right"/>
    </xf>
    <xf numFmtId="9" fontId="144" fillId="0" borderId="0" xfId="80" applyNumberFormat="1" applyFont="1" applyFill="1" applyBorder="1"/>
    <xf numFmtId="0" fontId="158" fillId="0" borderId="0" xfId="80" applyFont="1"/>
    <xf numFmtId="2" fontId="155" fillId="0" borderId="0" xfId="80" applyNumberFormat="1" applyFont="1" applyFill="1" applyBorder="1" applyAlignment="1">
      <alignment horizontal="center"/>
    </xf>
    <xf numFmtId="3" fontId="155" fillId="0" borderId="0" xfId="80" applyNumberFormat="1" applyFont="1" applyFill="1" applyBorder="1"/>
    <xf numFmtId="0" fontId="163" fillId="0" borderId="0" xfId="80" applyFont="1" applyFill="1" applyBorder="1" applyAlignment="1">
      <alignment horizontal="right"/>
    </xf>
    <xf numFmtId="3" fontId="144" fillId="0" borderId="0" xfId="80" applyNumberFormat="1" applyFont="1" applyFill="1" applyBorder="1"/>
    <xf numFmtId="3" fontId="164" fillId="0" borderId="0" xfId="80" applyNumberFormat="1" applyFont="1" applyFill="1" applyBorder="1"/>
    <xf numFmtId="0" fontId="162" fillId="0" borderId="0" xfId="80" applyFont="1" applyFill="1" applyBorder="1" applyAlignment="1">
      <alignment horizontal="center"/>
    </xf>
    <xf numFmtId="0" fontId="134" fillId="0" borderId="0" xfId="80" applyFont="1" applyFill="1" applyBorder="1" applyAlignment="1">
      <alignment horizontal="left"/>
    </xf>
    <xf numFmtId="0" fontId="141" fillId="0" borderId="0" xfId="80" applyFont="1" applyFill="1" applyBorder="1"/>
    <xf numFmtId="0" fontId="134" fillId="0" borderId="39" xfId="80" applyFont="1" applyBorder="1" applyAlignment="1">
      <alignment horizontal="center"/>
    </xf>
    <xf numFmtId="0" fontId="134" fillId="0" borderId="31" xfId="80" applyFont="1" applyBorder="1" applyAlignment="1">
      <alignment horizontal="center"/>
    </xf>
    <xf numFmtId="0" fontId="134" fillId="0" borderId="31" xfId="80" applyFont="1" applyBorder="1" applyAlignment="1"/>
    <xf numFmtId="0" fontId="134" fillId="0" borderId="62" xfId="80" applyFont="1" applyBorder="1"/>
    <xf numFmtId="3" fontId="149" fillId="37" borderId="61" xfId="80" applyNumberFormat="1" applyFont="1" applyFill="1" applyBorder="1"/>
    <xf numFmtId="3" fontId="149" fillId="49" borderId="17" xfId="80" applyNumberFormat="1" applyFont="1" applyFill="1" applyBorder="1"/>
    <xf numFmtId="3" fontId="149" fillId="49" borderId="23" xfId="80" applyNumberFormat="1" applyFont="1" applyFill="1" applyBorder="1"/>
    <xf numFmtId="3" fontId="149" fillId="37" borderId="17" xfId="80" applyNumberFormat="1" applyFont="1" applyFill="1" applyBorder="1" applyAlignment="1">
      <alignment horizontal="center"/>
    </xf>
    <xf numFmtId="3" fontId="149" fillId="37" borderId="18" xfId="80" applyNumberFormat="1" applyFont="1" applyFill="1" applyBorder="1"/>
    <xf numFmtId="3" fontId="149" fillId="37" borderId="23" xfId="80" applyNumberFormat="1" applyFont="1" applyFill="1" applyBorder="1"/>
    <xf numFmtId="0" fontId="149" fillId="47" borderId="39" xfId="80" applyFont="1" applyFill="1" applyBorder="1" applyAlignment="1">
      <alignment horizontal="center"/>
    </xf>
    <xf numFmtId="0" fontId="149" fillId="47" borderId="31" xfId="80" applyFont="1" applyFill="1" applyBorder="1" applyAlignment="1">
      <alignment horizontal="center"/>
    </xf>
    <xf numFmtId="0" fontId="149" fillId="47" borderId="31" xfId="80" applyFont="1" applyFill="1" applyBorder="1" applyAlignment="1"/>
    <xf numFmtId="0" fontId="149" fillId="47" borderId="62" xfId="80" applyFont="1" applyFill="1" applyBorder="1"/>
    <xf numFmtId="3" fontId="149" fillId="47" borderId="61" xfId="80" applyNumberFormat="1" applyFont="1" applyFill="1" applyBorder="1"/>
    <xf numFmtId="3" fontId="149" fillId="47" borderId="17" xfId="80" applyNumberFormat="1" applyFont="1" applyFill="1" applyBorder="1"/>
    <xf numFmtId="3" fontId="149" fillId="47" borderId="23" xfId="80" applyNumberFormat="1" applyFont="1" applyFill="1" applyBorder="1"/>
    <xf numFmtId="3" fontId="149" fillId="47" borderId="17" xfId="80" applyNumberFormat="1" applyFont="1" applyFill="1" applyBorder="1" applyAlignment="1">
      <alignment horizontal="center"/>
    </xf>
    <xf numFmtId="3" fontId="149" fillId="47" borderId="18" xfId="80" applyNumberFormat="1" applyFont="1" applyFill="1" applyBorder="1"/>
    <xf numFmtId="0" fontId="141" fillId="0" borderId="0" xfId="80" applyFont="1" applyFill="1" applyBorder="1" applyAlignment="1">
      <alignment horizontal="right"/>
    </xf>
    <xf numFmtId="2" fontId="134" fillId="0" borderId="0" xfId="80" applyNumberFormat="1" applyFont="1" applyFill="1" applyBorder="1" applyAlignment="1">
      <alignment horizontal="center"/>
    </xf>
    <xf numFmtId="0" fontId="134" fillId="0" borderId="0" xfId="80" applyFont="1" applyFill="1" applyBorder="1"/>
    <xf numFmtId="3" fontId="158" fillId="0" borderId="82" xfId="80" applyNumberFormat="1" applyFont="1" applyFill="1" applyBorder="1"/>
    <xf numFmtId="0" fontId="147" fillId="0" borderId="0" xfId="80" applyFont="1" applyFill="1" applyBorder="1" applyAlignment="1">
      <alignment horizontal="center"/>
    </xf>
    <xf numFmtId="0" fontId="147" fillId="0" borderId="0" xfId="80" applyFont="1" applyFill="1" applyBorder="1" applyAlignment="1"/>
    <xf numFmtId="0" fontId="147" fillId="0" borderId="0" xfId="80" applyFont="1" applyFill="1" applyBorder="1"/>
    <xf numFmtId="0" fontId="165" fillId="0" borderId="0" xfId="80" applyFont="1" applyFill="1" applyBorder="1" applyAlignment="1">
      <alignment horizontal="center"/>
    </xf>
    <xf numFmtId="49" fontId="144" fillId="0" borderId="0" xfId="80" applyNumberFormat="1" applyFont="1" applyFill="1" applyBorder="1" applyAlignment="1">
      <alignment horizontal="center" wrapText="1"/>
    </xf>
    <xf numFmtId="0" fontId="149" fillId="0" borderId="0" xfId="80" applyFont="1"/>
    <xf numFmtId="2" fontId="134" fillId="0" borderId="0" xfId="80" applyNumberFormat="1" applyFont="1" applyAlignment="1">
      <alignment horizontal="center"/>
    </xf>
    <xf numFmtId="0" fontId="162" fillId="0" borderId="0" xfId="80" applyFont="1" applyAlignment="1">
      <alignment horizontal="center"/>
    </xf>
    <xf numFmtId="2" fontId="154" fillId="0" borderId="0" xfId="80" applyNumberFormat="1" applyFont="1" applyAlignment="1">
      <alignment horizontal="center"/>
    </xf>
    <xf numFmtId="0" fontId="154" fillId="0" borderId="0" xfId="80" applyFont="1"/>
    <xf numFmtId="3" fontId="166" fillId="33" borderId="18" xfId="80" applyNumberFormat="1" applyFont="1" applyFill="1" applyBorder="1"/>
    <xf numFmtId="10" fontId="59" fillId="0" borderId="10" xfId="0" applyNumberFormat="1" applyFont="1" applyBorder="1"/>
    <xf numFmtId="166" fontId="68" fillId="0" borderId="22" xfId="0" applyNumberFormat="1" applyFont="1" applyFill="1" applyBorder="1"/>
    <xf numFmtId="166" fontId="68" fillId="0" borderId="34" xfId="0" applyNumberFormat="1" applyFont="1" applyFill="1" applyBorder="1"/>
    <xf numFmtId="3" fontId="68" fillId="36" borderId="63" xfId="0" applyNumberFormat="1" applyFont="1" applyFill="1" applyBorder="1"/>
    <xf numFmtId="3" fontId="68" fillId="36" borderId="61" xfId="0" applyNumberFormat="1" applyFont="1" applyFill="1" applyBorder="1"/>
    <xf numFmtId="3" fontId="68" fillId="43" borderId="61" xfId="0" applyNumberFormat="1" applyFont="1" applyFill="1" applyBorder="1"/>
    <xf numFmtId="3" fontId="69" fillId="26" borderId="65" xfId="0" applyNumberFormat="1" applyFont="1" applyFill="1" applyBorder="1"/>
    <xf numFmtId="3" fontId="69" fillId="26" borderId="74" xfId="0" applyNumberFormat="1" applyFont="1" applyFill="1" applyBorder="1"/>
    <xf numFmtId="2" fontId="134" fillId="0" borderId="0" xfId="80" applyNumberFormat="1" applyFont="1" applyAlignment="1">
      <alignment wrapText="1"/>
    </xf>
    <xf numFmtId="0" fontId="151" fillId="0" borderId="0" xfId="80" applyFont="1" applyAlignment="1">
      <alignment wrapText="1"/>
    </xf>
    <xf numFmtId="0" fontId="151" fillId="0" borderId="0" xfId="80" applyFont="1" applyAlignment="1">
      <alignment horizontal="left"/>
    </xf>
    <xf numFmtId="0" fontId="134" fillId="0" borderId="0" xfId="80" applyFont="1" applyAlignment="1">
      <alignment wrapText="1"/>
    </xf>
    <xf numFmtId="0" fontId="144" fillId="0" borderId="0" xfId="80" applyFont="1" applyAlignment="1">
      <alignment wrapText="1"/>
    </xf>
    <xf numFmtId="0" fontId="167" fillId="0" borderId="0" xfId="80" applyFont="1" applyAlignment="1">
      <alignment wrapText="1"/>
    </xf>
    <xf numFmtId="0" fontId="168" fillId="0" borderId="0" xfId="80" applyFont="1" applyAlignment="1">
      <alignment wrapText="1"/>
    </xf>
    <xf numFmtId="0" fontId="167" fillId="0" borderId="57" xfId="80" applyFont="1" applyFill="1" applyBorder="1" applyAlignment="1"/>
    <xf numFmtId="0" fontId="150" fillId="33" borderId="39" xfId="80" applyFont="1" applyFill="1" applyBorder="1" applyAlignment="1">
      <alignment horizontal="center"/>
    </xf>
    <xf numFmtId="0" fontId="150" fillId="33" borderId="31" xfId="80" applyFont="1" applyFill="1" applyBorder="1" applyAlignment="1">
      <alignment horizontal="center"/>
    </xf>
    <xf numFmtId="0" fontId="166" fillId="33" borderId="164" xfId="80" applyFont="1" applyFill="1" applyBorder="1"/>
    <xf numFmtId="0" fontId="134" fillId="34" borderId="31" xfId="80" applyFont="1" applyFill="1" applyBorder="1" applyAlignment="1">
      <alignment horizontal="center"/>
    </xf>
    <xf numFmtId="0" fontId="134" fillId="34" borderId="18" xfId="80" applyFont="1" applyFill="1" applyBorder="1" applyAlignment="1"/>
    <xf numFmtId="0" fontId="134" fillId="34" borderId="60" xfId="80" applyFont="1" applyFill="1" applyBorder="1"/>
    <xf numFmtId="3" fontId="155" fillId="34" borderId="61" xfId="80" applyNumberFormat="1" applyFont="1" applyFill="1" applyBorder="1"/>
    <xf numFmtId="3" fontId="155" fillId="34" borderId="17" xfId="80" applyNumberFormat="1" applyFont="1" applyFill="1" applyBorder="1"/>
    <xf numFmtId="3" fontId="134" fillId="34" borderId="23" xfId="80" applyNumberFormat="1" applyFont="1" applyFill="1" applyBorder="1"/>
    <xf numFmtId="3" fontId="134" fillId="34" borderId="18" xfId="80" applyNumberFormat="1" applyFont="1" applyFill="1" applyBorder="1"/>
    <xf numFmtId="3" fontId="42" fillId="50" borderId="20" xfId="0" applyNumberFormat="1" applyFont="1" applyFill="1" applyBorder="1"/>
    <xf numFmtId="4" fontId="169" fillId="0" borderId="0" xfId="80" applyNumberFormat="1" applyFont="1" applyFill="1" applyBorder="1" applyAlignment="1">
      <alignment horizontal="left" wrapText="1"/>
    </xf>
    <xf numFmtId="49" fontId="170" fillId="0" borderId="0" xfId="80" applyNumberFormat="1" applyFont="1" applyAlignment="1">
      <alignment horizontal="left" wrapText="1"/>
    </xf>
    <xf numFmtId="0" fontId="68" fillId="0" borderId="42" xfId="0" applyFont="1" applyBorder="1" applyAlignment="1">
      <alignment horizontal="center"/>
    </xf>
    <xf numFmtId="0" fontId="68" fillId="0" borderId="97" xfId="0" applyFont="1" applyBorder="1" applyAlignment="1">
      <alignment horizontal="center"/>
    </xf>
    <xf numFmtId="0" fontId="45" fillId="0" borderId="0" xfId="0" applyFont="1" applyAlignment="1">
      <alignment horizontal="right"/>
    </xf>
    <xf numFmtId="0" fontId="93" fillId="0" borderId="85" xfId="0" applyFont="1" applyFill="1" applyBorder="1" applyAlignment="1">
      <alignment horizontal="center"/>
    </xf>
    <xf numFmtId="0" fontId="93" fillId="36" borderId="128" xfId="0" applyFont="1" applyFill="1" applyBorder="1" applyAlignment="1">
      <alignment horizontal="center"/>
    </xf>
    <xf numFmtId="0" fontId="68" fillId="40" borderId="39" xfId="0" applyFont="1" applyFill="1" applyBorder="1" applyAlignment="1">
      <alignment horizontal="center" wrapText="1"/>
    </xf>
    <xf numFmtId="3" fontId="68" fillId="40" borderId="61" xfId="0" applyNumberFormat="1" applyFont="1" applyFill="1" applyBorder="1"/>
    <xf numFmtId="3" fontId="96" fillId="36" borderId="107" xfId="0" applyNumberFormat="1" applyFont="1" applyFill="1" applyBorder="1"/>
    <xf numFmtId="3" fontId="93" fillId="0" borderId="145" xfId="0" applyNumberFormat="1" applyFont="1" applyFill="1" applyBorder="1"/>
    <xf numFmtId="0" fontId="68" fillId="0" borderId="42" xfId="0" applyFont="1" applyBorder="1" applyAlignment="1">
      <alignment horizontal="center"/>
    </xf>
    <xf numFmtId="3" fontId="149" fillId="29" borderId="163" xfId="80" applyNumberFormat="1" applyFont="1" applyFill="1" applyBorder="1"/>
    <xf numFmtId="3" fontId="149" fillId="29" borderId="163" xfId="80" applyNumberFormat="1" applyFont="1" applyFill="1" applyBorder="1" applyAlignment="1">
      <alignment horizontal="right"/>
    </xf>
    <xf numFmtId="3" fontId="149" fillId="43" borderId="176" xfId="80" applyNumberFormat="1" applyFont="1" applyFill="1" applyBorder="1" applyAlignment="1">
      <alignment horizontal="right" vertical="center"/>
    </xf>
    <xf numFmtId="3" fontId="150" fillId="33" borderId="190" xfId="80" applyNumberFormat="1" applyFont="1" applyFill="1" applyBorder="1" applyAlignment="1">
      <alignment horizontal="right"/>
    </xf>
    <xf numFmtId="3" fontId="150" fillId="33" borderId="189" xfId="80" applyNumberFormat="1" applyFont="1" applyFill="1" applyBorder="1" applyAlignment="1">
      <alignment horizontal="right"/>
    </xf>
    <xf numFmtId="3" fontId="149" fillId="48" borderId="163" xfId="80" applyNumberFormat="1" applyFont="1" applyFill="1" applyBorder="1"/>
    <xf numFmtId="3" fontId="134" fillId="34" borderId="60" xfId="80" applyNumberFormat="1" applyFont="1" applyFill="1" applyBorder="1"/>
    <xf numFmtId="3" fontId="156" fillId="43" borderId="163" xfId="80" applyNumberFormat="1" applyFont="1" applyFill="1" applyBorder="1"/>
    <xf numFmtId="3" fontId="156" fillId="29" borderId="163" xfId="80" applyNumberFormat="1" applyFont="1" applyFill="1" applyBorder="1" applyAlignment="1">
      <alignment horizontal="right"/>
    </xf>
    <xf numFmtId="3" fontId="156" fillId="29" borderId="163" xfId="80" applyNumberFormat="1" applyFont="1" applyFill="1" applyBorder="1"/>
    <xf numFmtId="3" fontId="150" fillId="33" borderId="60" xfId="80" applyNumberFormat="1" applyFont="1" applyFill="1" applyBorder="1"/>
    <xf numFmtId="2" fontId="134" fillId="0" borderId="79" xfId="80" applyNumberFormat="1" applyFont="1" applyBorder="1" applyAlignment="1">
      <alignment horizontal="center"/>
    </xf>
    <xf numFmtId="2" fontId="134" fillId="48" borderId="72" xfId="80" applyNumberFormat="1" applyFont="1" applyFill="1" applyBorder="1" applyAlignment="1">
      <alignment horizontal="center"/>
    </xf>
    <xf numFmtId="3" fontId="150" fillId="33" borderId="192" xfId="80" applyNumberFormat="1" applyFont="1" applyFill="1" applyBorder="1" applyAlignment="1">
      <alignment horizontal="center"/>
    </xf>
    <xf numFmtId="3" fontId="149" fillId="29" borderId="72" xfId="80" applyNumberFormat="1" applyFont="1" applyFill="1" applyBorder="1" applyAlignment="1">
      <alignment horizontal="center"/>
    </xf>
    <xf numFmtId="2" fontId="134" fillId="0" borderId="72" xfId="80" applyNumberFormat="1" applyFont="1" applyFill="1" applyBorder="1" applyAlignment="1">
      <alignment horizontal="center"/>
    </xf>
    <xf numFmtId="3" fontId="149" fillId="29" borderId="72" xfId="80" applyNumberFormat="1" applyFont="1" applyFill="1" applyBorder="1" applyAlignment="1">
      <alignment horizontal="right"/>
    </xf>
    <xf numFmtId="3" fontId="149" fillId="29" borderId="193" xfId="80" applyNumberFormat="1" applyFont="1" applyFill="1" applyBorder="1" applyAlignment="1">
      <alignment horizontal="right" vertical="center"/>
    </xf>
    <xf numFmtId="2" fontId="152" fillId="33" borderId="77" xfId="80" applyNumberFormat="1" applyFont="1" applyFill="1" applyBorder="1" applyAlignment="1">
      <alignment horizontal="center"/>
    </xf>
    <xf numFmtId="2" fontId="134" fillId="34" borderId="164" xfId="80" applyNumberFormat="1" applyFont="1" applyFill="1" applyBorder="1" applyAlignment="1">
      <alignment horizontal="center"/>
    </xf>
    <xf numFmtId="2" fontId="148" fillId="43" borderId="72" xfId="80" applyNumberFormat="1" applyFont="1" applyFill="1" applyBorder="1" applyAlignment="1">
      <alignment horizontal="center"/>
    </xf>
    <xf numFmtId="2" fontId="154" fillId="0" borderId="72" xfId="80" applyNumberFormat="1" applyFont="1" applyBorder="1" applyAlignment="1">
      <alignment horizontal="center"/>
    </xf>
    <xf numFmtId="2" fontId="134" fillId="25" borderId="192" xfId="80" applyNumberFormat="1" applyFont="1" applyFill="1" applyBorder="1" applyAlignment="1">
      <alignment horizontal="center"/>
    </xf>
    <xf numFmtId="2" fontId="151" fillId="25" borderId="72" xfId="80" applyNumberFormat="1" applyFont="1" applyFill="1" applyBorder="1" applyAlignment="1">
      <alignment horizontal="center"/>
    </xf>
    <xf numFmtId="2" fontId="152" fillId="33" borderId="164" xfId="80" applyNumberFormat="1" applyFont="1" applyFill="1" applyBorder="1" applyAlignment="1">
      <alignment horizontal="center"/>
    </xf>
    <xf numFmtId="0" fontId="149" fillId="47" borderId="33" xfId="80" applyFont="1" applyFill="1" applyBorder="1" applyAlignment="1">
      <alignment horizontal="center"/>
    </xf>
    <xf numFmtId="0" fontId="149" fillId="47" borderId="38" xfId="80" applyFont="1" applyFill="1" applyBorder="1" applyAlignment="1">
      <alignment horizontal="center"/>
    </xf>
    <xf numFmtId="2" fontId="171" fillId="33" borderId="164" xfId="80" applyNumberFormat="1" applyFont="1" applyFill="1" applyBorder="1" applyAlignment="1">
      <alignment horizontal="center"/>
    </xf>
    <xf numFmtId="3" fontId="166" fillId="33" borderId="23" xfId="80" applyNumberFormat="1" applyFont="1" applyFill="1" applyBorder="1"/>
    <xf numFmtId="3" fontId="149" fillId="49" borderId="60" xfId="80" applyNumberFormat="1" applyFont="1" applyFill="1" applyBorder="1"/>
    <xf numFmtId="3" fontId="149" fillId="47" borderId="60" xfId="80" applyNumberFormat="1" applyFont="1" applyFill="1" applyBorder="1"/>
    <xf numFmtId="0" fontId="134" fillId="0" borderId="174" xfId="80" applyFont="1" applyFill="1" applyBorder="1"/>
    <xf numFmtId="0" fontId="151" fillId="34" borderId="62" xfId="80" applyFont="1" applyFill="1" applyBorder="1" applyAlignment="1">
      <alignment horizontal="center"/>
    </xf>
    <xf numFmtId="0" fontId="151" fillId="34" borderId="17" xfId="80" applyFont="1" applyFill="1" applyBorder="1" applyAlignment="1">
      <alignment horizontal="center"/>
    </xf>
    <xf numFmtId="0" fontId="134" fillId="0" borderId="176" xfId="80" applyFont="1" applyFill="1" applyBorder="1"/>
    <xf numFmtId="3" fontId="149" fillId="0" borderId="16" xfId="80" applyNumberFormat="1" applyFont="1" applyFill="1" applyBorder="1"/>
    <xf numFmtId="3" fontId="149" fillId="0" borderId="114" xfId="80" applyNumberFormat="1" applyFont="1" applyFill="1" applyBorder="1"/>
    <xf numFmtId="2" fontId="134" fillId="0" borderId="193" xfId="80" applyNumberFormat="1" applyFont="1" applyFill="1" applyBorder="1" applyAlignment="1">
      <alignment horizontal="center"/>
    </xf>
    <xf numFmtId="49" fontId="151" fillId="0" borderId="19" xfId="80" applyNumberFormat="1" applyFont="1" applyFill="1" applyBorder="1" applyAlignment="1">
      <alignment horizontal="center"/>
    </xf>
    <xf numFmtId="0" fontId="151" fillId="0" borderId="114" xfId="80" applyFont="1" applyBorder="1" applyAlignment="1">
      <alignment horizontal="center"/>
    </xf>
    <xf numFmtId="49" fontId="172" fillId="0" borderId="15" xfId="80" applyNumberFormat="1" applyFont="1" applyFill="1" applyBorder="1" applyAlignment="1">
      <alignment horizontal="center"/>
    </xf>
    <xf numFmtId="3" fontId="149" fillId="0" borderId="68" xfId="80" applyNumberFormat="1" applyFont="1" applyFill="1" applyBorder="1"/>
    <xf numFmtId="3" fontId="149" fillId="49" borderId="18" xfId="80" applyNumberFormat="1" applyFont="1" applyFill="1" applyBorder="1"/>
    <xf numFmtId="3" fontId="119" fillId="39" borderId="0" xfId="0" applyNumberFormat="1" applyFont="1" applyFill="1" applyBorder="1" applyAlignment="1">
      <alignment horizontal="right" vertical="center"/>
    </xf>
    <xf numFmtId="0" fontId="126" fillId="0" borderId="209" xfId="0" applyFont="1" applyBorder="1" applyAlignment="1">
      <alignment horizontal="left" indent="2"/>
    </xf>
    <xf numFmtId="10" fontId="75" fillId="44" borderId="10" xfId="0" applyNumberFormat="1" applyFont="1" applyFill="1" applyBorder="1" applyAlignment="1">
      <alignment horizontal="center" vertical="center"/>
    </xf>
    <xf numFmtId="9" fontId="136" fillId="36" borderId="200" xfId="0" applyNumberFormat="1" applyFont="1" applyFill="1" applyBorder="1" applyAlignment="1">
      <alignment horizontal="center" vertical="center"/>
    </xf>
    <xf numFmtId="3" fontId="57" fillId="44" borderId="10" xfId="0" applyNumberFormat="1" applyFont="1" applyFill="1" applyBorder="1" applyAlignment="1">
      <alignment horizontal="center" vertical="center"/>
    </xf>
    <xf numFmtId="9" fontId="136" fillId="0" borderId="0" xfId="0" applyNumberFormat="1" applyFont="1" applyFill="1" applyBorder="1" applyAlignment="1">
      <alignment horizontal="center" vertical="center"/>
    </xf>
    <xf numFmtId="0" fontId="68" fillId="0" borderId="72" xfId="0" applyFont="1" applyBorder="1"/>
    <xf numFmtId="0" fontId="149" fillId="0" borderId="13" xfId="80" applyFont="1" applyFill="1" applyBorder="1" applyAlignment="1">
      <alignment horizontal="center"/>
    </xf>
    <xf numFmtId="0" fontId="149" fillId="0" borderId="189" xfId="80" applyFont="1" applyFill="1" applyBorder="1" applyAlignment="1">
      <alignment horizontal="center"/>
    </xf>
    <xf numFmtId="0" fontId="149" fillId="0" borderId="210" xfId="80" applyFont="1" applyFill="1" applyBorder="1" applyAlignment="1">
      <alignment horizontal="center"/>
    </xf>
    <xf numFmtId="0" fontId="149" fillId="0" borderId="203" xfId="80" applyFont="1" applyFill="1" applyBorder="1" applyAlignment="1">
      <alignment horizontal="center"/>
    </xf>
    <xf numFmtId="3" fontId="149" fillId="0" borderId="163" xfId="80" applyNumberFormat="1" applyFont="1" applyFill="1" applyBorder="1"/>
    <xf numFmtId="3" fontId="149" fillId="0" borderId="163" xfId="80" applyNumberFormat="1" applyFont="1" applyFill="1" applyBorder="1" applyAlignment="1">
      <alignment horizontal="right"/>
    </xf>
    <xf numFmtId="3" fontId="149" fillId="0" borderId="36" xfId="80" applyNumberFormat="1" applyFont="1" applyFill="1" applyBorder="1"/>
    <xf numFmtId="3" fontId="149" fillId="0" borderId="174" xfId="80" applyNumberFormat="1" applyFont="1" applyFill="1" applyBorder="1"/>
    <xf numFmtId="3" fontId="149" fillId="0" borderId="19" xfId="80" applyNumberFormat="1" applyFont="1" applyFill="1" applyBorder="1"/>
    <xf numFmtId="3" fontId="149" fillId="0" borderId="176" xfId="80" applyNumberFormat="1" applyFont="1" applyFill="1" applyBorder="1"/>
    <xf numFmtId="3" fontId="149" fillId="0" borderId="27" xfId="80" applyNumberFormat="1" applyFont="1" applyFill="1" applyBorder="1" applyAlignment="1">
      <alignment horizontal="right"/>
    </xf>
    <xf numFmtId="3" fontId="149" fillId="0" borderId="190" xfId="80" applyNumberFormat="1" applyFont="1" applyFill="1" applyBorder="1" applyAlignment="1">
      <alignment horizontal="right"/>
    </xf>
    <xf numFmtId="3" fontId="156" fillId="0" borderId="15" xfId="80" applyNumberFormat="1" applyFont="1" applyFill="1" applyBorder="1"/>
    <xf numFmtId="3" fontId="156" fillId="0" borderId="163" xfId="80" applyNumberFormat="1" applyFont="1" applyFill="1" applyBorder="1"/>
    <xf numFmtId="0" fontId="149" fillId="0" borderId="15" xfId="80" applyFont="1" applyFill="1" applyBorder="1"/>
    <xf numFmtId="0" fontId="149" fillId="0" borderId="163" xfId="80" applyFont="1" applyFill="1" applyBorder="1"/>
    <xf numFmtId="3" fontId="149" fillId="0" borderId="36" xfId="80" applyNumberFormat="1" applyFont="1" applyFill="1" applyBorder="1" applyAlignment="1">
      <alignment horizontal="right"/>
    </xf>
    <xf numFmtId="3" fontId="149" fillId="0" borderId="174" xfId="80" applyNumberFormat="1" applyFont="1" applyFill="1" applyBorder="1" applyAlignment="1">
      <alignment horizontal="right"/>
    </xf>
    <xf numFmtId="3" fontId="149" fillId="0" borderId="27" xfId="80" applyNumberFormat="1" applyFont="1" applyFill="1" applyBorder="1"/>
    <xf numFmtId="3" fontId="149" fillId="0" borderId="190" xfId="80" applyNumberFormat="1" applyFont="1" applyFill="1" applyBorder="1"/>
    <xf numFmtId="3" fontId="23" fillId="0" borderId="0" xfId="50" applyNumberFormat="1" applyFont="1" applyFill="1" applyAlignment="1">
      <alignment vertical="center"/>
    </xf>
    <xf numFmtId="0" fontId="70" fillId="0" borderId="43" xfId="0" applyFont="1" applyBorder="1" applyAlignment="1">
      <alignment horizontal="center"/>
    </xf>
    <xf numFmtId="0" fontId="70" fillId="0" borderId="107" xfId="0" applyFont="1" applyBorder="1" applyAlignment="1">
      <alignment horizontal="center"/>
    </xf>
    <xf numFmtId="3" fontId="70" fillId="0" borderId="142" xfId="0" applyNumberFormat="1" applyFont="1" applyBorder="1"/>
    <xf numFmtId="3" fontId="68" fillId="0" borderId="52" xfId="0" applyNumberFormat="1" applyFont="1" applyBorder="1"/>
    <xf numFmtId="3" fontId="70" fillId="0" borderId="54" xfId="0" applyNumberFormat="1" applyFont="1" applyBorder="1"/>
    <xf numFmtId="3" fontId="70" fillId="0" borderId="84" xfId="0" applyNumberFormat="1" applyFont="1" applyBorder="1"/>
    <xf numFmtId="3" fontId="69" fillId="0" borderId="55" xfId="0" applyNumberFormat="1" applyFont="1" applyBorder="1"/>
    <xf numFmtId="3" fontId="70" fillId="0" borderId="29" xfId="0" applyNumberFormat="1" applyFont="1" applyBorder="1"/>
    <xf numFmtId="3" fontId="70" fillId="0" borderId="87" xfId="0" applyNumberFormat="1" applyFont="1" applyBorder="1"/>
    <xf numFmtId="3" fontId="69" fillId="0" borderId="81" xfId="0" applyNumberFormat="1" applyFont="1" applyBorder="1"/>
    <xf numFmtId="0" fontId="68" fillId="35" borderId="10" xfId="0" applyFont="1" applyFill="1" applyBorder="1"/>
    <xf numFmtId="168" fontId="68" fillId="0" borderId="0" xfId="0" applyNumberFormat="1" applyFont="1"/>
    <xf numFmtId="2" fontId="68" fillId="0" borderId="0" xfId="0" applyNumberFormat="1" applyFont="1"/>
    <xf numFmtId="0" fontId="83" fillId="0" borderId="67" xfId="0" applyFont="1" applyFill="1" applyBorder="1" applyAlignment="1"/>
    <xf numFmtId="165" fontId="69" fillId="0" borderId="10" xfId="0" applyNumberFormat="1" applyFont="1" applyFill="1" applyBorder="1"/>
    <xf numFmtId="3" fontId="68" fillId="43" borderId="63" xfId="0" applyNumberFormat="1" applyFont="1" applyFill="1" applyBorder="1"/>
    <xf numFmtId="3" fontId="68" fillId="36" borderId="65" xfId="0" applyNumberFormat="1" applyFont="1" applyFill="1" applyBorder="1"/>
    <xf numFmtId="3" fontId="68" fillId="43" borderId="65" xfId="0" applyNumberFormat="1" applyFont="1" applyFill="1" applyBorder="1"/>
    <xf numFmtId="3" fontId="68" fillId="41" borderId="65" xfId="0" applyNumberFormat="1" applyFont="1" applyFill="1" applyBorder="1"/>
    <xf numFmtId="3" fontId="68" fillId="36" borderId="16" xfId="0" applyNumberFormat="1" applyFont="1" applyFill="1" applyBorder="1"/>
    <xf numFmtId="3" fontId="68" fillId="43" borderId="16" xfId="0" applyNumberFormat="1" applyFont="1" applyFill="1" applyBorder="1"/>
    <xf numFmtId="3" fontId="68" fillId="41" borderId="16" xfId="0" applyNumberFormat="1" applyFont="1" applyFill="1" applyBorder="1"/>
    <xf numFmtId="49" fontId="168" fillId="0" borderId="57" xfId="80" applyNumberFormat="1" applyFont="1" applyFill="1" applyBorder="1" applyAlignment="1">
      <alignment horizontal="left" wrapText="1"/>
    </xf>
    <xf numFmtId="14" fontId="0" fillId="0" borderId="0" xfId="0" applyNumberFormat="1"/>
    <xf numFmtId="3" fontId="93" fillId="0" borderId="118" xfId="0" applyNumberFormat="1" applyFont="1" applyFill="1" applyBorder="1"/>
    <xf numFmtId="3" fontId="93" fillId="0" borderId="55" xfId="0" applyNumberFormat="1" applyFont="1" applyFill="1" applyBorder="1"/>
    <xf numFmtId="3" fontId="93" fillId="0" borderId="121" xfId="0" applyNumberFormat="1" applyFont="1" applyFill="1" applyBorder="1"/>
    <xf numFmtId="3" fontId="93" fillId="0" borderId="81" xfId="0" applyNumberFormat="1" applyFont="1" applyFill="1" applyBorder="1"/>
    <xf numFmtId="3" fontId="149" fillId="26" borderId="61" xfId="0" applyNumberFormat="1" applyFont="1" applyFill="1" applyBorder="1"/>
    <xf numFmtId="0" fontId="59" fillId="0" borderId="27" xfId="0" applyFont="1" applyBorder="1"/>
    <xf numFmtId="4" fontId="59" fillId="0" borderId="12" xfId="0" applyNumberFormat="1" applyFont="1" applyFill="1" applyBorder="1"/>
    <xf numFmtId="4" fontId="59" fillId="36" borderId="12" xfId="0" applyNumberFormat="1" applyFont="1" applyFill="1" applyBorder="1"/>
    <xf numFmtId="10" fontId="59" fillId="0" borderId="12" xfId="0" applyNumberFormat="1" applyFont="1" applyBorder="1"/>
    <xf numFmtId="4" fontId="59" fillId="0" borderId="12" xfId="0" applyNumberFormat="1" applyFont="1" applyBorder="1"/>
    <xf numFmtId="3" fontId="59" fillId="0" borderId="12" xfId="0" applyNumberFormat="1" applyFont="1" applyFill="1" applyBorder="1"/>
    <xf numFmtId="4" fontId="59" fillId="36" borderId="35" xfId="0" applyNumberFormat="1" applyFont="1" applyFill="1" applyBorder="1"/>
    <xf numFmtId="3" fontId="59" fillId="40" borderId="35" xfId="0" applyNumberFormat="1" applyFont="1" applyFill="1" applyBorder="1"/>
    <xf numFmtId="0" fontId="59" fillId="0" borderId="19" xfId="0" applyFont="1" applyBorder="1"/>
    <xf numFmtId="0" fontId="59" fillId="0" borderId="20" xfId="0" applyFont="1" applyBorder="1" applyAlignment="1">
      <alignment horizontal="center" wrapText="1"/>
    </xf>
    <xf numFmtId="0" fontId="59" fillId="36" borderId="20" xfId="0" applyFont="1" applyFill="1" applyBorder="1" applyAlignment="1">
      <alignment horizontal="center" wrapText="1"/>
    </xf>
    <xf numFmtId="0" fontId="59" fillId="0" borderId="20" xfId="0" applyFont="1" applyFill="1" applyBorder="1" applyAlignment="1">
      <alignment horizontal="center" wrapText="1"/>
    </xf>
    <xf numFmtId="0" fontId="59" fillId="36" borderId="114" xfId="0" applyFont="1" applyFill="1" applyBorder="1" applyAlignment="1">
      <alignment horizontal="center" wrapText="1"/>
    </xf>
    <xf numFmtId="0" fontId="59" fillId="40" borderId="114" xfId="0" applyFont="1" applyFill="1" applyBorder="1" applyAlignment="1">
      <alignment horizontal="center" wrapText="1"/>
    </xf>
    <xf numFmtId="4" fontId="69" fillId="0" borderId="27" xfId="0" applyNumberFormat="1" applyFont="1" applyFill="1" applyBorder="1"/>
    <xf numFmtId="166" fontId="69" fillId="0" borderId="12" xfId="0" applyNumberFormat="1" applyFont="1" applyFill="1" applyBorder="1"/>
    <xf numFmtId="3" fontId="69" fillId="42" borderId="35" xfId="0" applyNumberFormat="1" applyFont="1" applyFill="1" applyBorder="1"/>
    <xf numFmtId="4" fontId="69" fillId="0" borderId="12" xfId="0" applyNumberFormat="1" applyFont="1" applyFill="1" applyBorder="1"/>
    <xf numFmtId="3" fontId="69" fillId="0" borderId="12" xfId="0" applyNumberFormat="1" applyFont="1" applyFill="1" applyBorder="1"/>
    <xf numFmtId="165" fontId="69" fillId="0" borderId="12" xfId="0" applyNumberFormat="1" applyFont="1" applyFill="1" applyBorder="1"/>
    <xf numFmtId="3" fontId="69" fillId="0" borderId="27" xfId="0" applyNumberFormat="1" applyFont="1" applyFill="1" applyBorder="1"/>
    <xf numFmtId="3" fontId="69" fillId="26" borderId="191" xfId="0" applyNumberFormat="1" applyFont="1" applyFill="1" applyBorder="1"/>
    <xf numFmtId="0" fontId="69" fillId="0" borderId="48" xfId="0" applyFont="1" applyFill="1" applyBorder="1" applyAlignment="1">
      <alignment horizontal="center" wrapText="1"/>
    </xf>
    <xf numFmtId="0" fontId="69" fillId="0" borderId="43" xfId="0" applyFont="1" applyFill="1" applyBorder="1" applyAlignment="1">
      <alignment horizontal="center" wrapText="1"/>
    </xf>
    <xf numFmtId="49" fontId="69" fillId="0" borderId="19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49" fontId="69" fillId="42" borderId="114" xfId="0" applyNumberFormat="1" applyFont="1" applyFill="1" applyBorder="1" applyAlignment="1">
      <alignment horizontal="center" vertical="top" wrapText="1"/>
    </xf>
    <xf numFmtId="49" fontId="69" fillId="26" borderId="50" xfId="0" applyNumberFormat="1" applyFont="1" applyFill="1" applyBorder="1" applyAlignment="1">
      <alignment horizontal="center" wrapText="1"/>
    </xf>
    <xf numFmtId="3" fontId="173" fillId="0" borderId="37" xfId="0" applyNumberFormat="1" applyFont="1" applyFill="1" applyBorder="1"/>
    <xf numFmtId="3" fontId="71" fillId="0" borderId="38" xfId="0" applyNumberFormat="1" applyFont="1" applyFill="1" applyBorder="1"/>
    <xf numFmtId="3" fontId="70" fillId="0" borderId="38" xfId="0" applyNumberFormat="1" applyFont="1" applyFill="1" applyBorder="1"/>
    <xf numFmtId="0" fontId="74" fillId="0" borderId="60" xfId="0" applyFont="1" applyFill="1" applyBorder="1"/>
    <xf numFmtId="3" fontId="71" fillId="0" borderId="17" xfId="0" applyNumberFormat="1" applyFont="1" applyFill="1" applyBorder="1"/>
    <xf numFmtId="3" fontId="71" fillId="0" borderId="18" xfId="0" applyNumberFormat="1" applyFont="1" applyFill="1" applyBorder="1"/>
    <xf numFmtId="3" fontId="71" fillId="0" borderId="23" xfId="0" applyNumberFormat="1" applyFont="1" applyFill="1" applyBorder="1"/>
    <xf numFmtId="3" fontId="71" fillId="0" borderId="164" xfId="0" applyNumberFormat="1" applyFont="1" applyFill="1" applyBorder="1"/>
    <xf numFmtId="0" fontId="74" fillId="0" borderId="17" xfId="0" applyFont="1" applyFill="1" applyBorder="1"/>
    <xf numFmtId="3" fontId="79" fillId="0" borderId="0" xfId="0" applyNumberFormat="1" applyFont="1" applyFill="1"/>
    <xf numFmtId="0" fontId="44" fillId="0" borderId="27" xfId="0" applyFont="1" applyBorder="1"/>
    <xf numFmtId="3" fontId="44" fillId="0" borderId="12" xfId="0" applyNumberFormat="1" applyFont="1" applyBorder="1"/>
    <xf numFmtId="3" fontId="44" fillId="0" borderId="35" xfId="0" applyNumberFormat="1" applyFont="1" applyBorder="1"/>
    <xf numFmtId="0" fontId="0" fillId="0" borderId="19" xfId="0" applyBorder="1"/>
    <xf numFmtId="0" fontId="136" fillId="0" borderId="20" xfId="0" applyFont="1" applyBorder="1" applyAlignment="1">
      <alignment horizontal="center"/>
    </xf>
    <xf numFmtId="0" fontId="136" fillId="0" borderId="114" xfId="0" applyFont="1" applyBorder="1" applyAlignment="1">
      <alignment horizontal="center"/>
    </xf>
    <xf numFmtId="0" fontId="44" fillId="0" borderId="36" xfId="0" applyFont="1" applyBorder="1"/>
    <xf numFmtId="3" fontId="44" fillId="0" borderId="37" xfId="0" applyNumberFormat="1" applyFont="1" applyBorder="1"/>
    <xf numFmtId="3" fontId="44" fillId="0" borderId="37" xfId="0" applyNumberFormat="1" applyFont="1" applyFill="1" applyBorder="1"/>
    <xf numFmtId="3" fontId="44" fillId="0" borderId="38" xfId="0" applyNumberFormat="1" applyFont="1" applyBorder="1"/>
    <xf numFmtId="0" fontId="42" fillId="0" borderId="17" xfId="0" applyFont="1" applyBorder="1"/>
    <xf numFmtId="3" fontId="42" fillId="0" borderId="18" xfId="0" applyNumberFormat="1" applyFont="1" applyBorder="1"/>
    <xf numFmtId="3" fontId="42" fillId="0" borderId="23" xfId="0" applyNumberFormat="1" applyFont="1" applyBorder="1"/>
    <xf numFmtId="0" fontId="70" fillId="0" borderId="143" xfId="0" applyFont="1" applyBorder="1" applyAlignment="1">
      <alignment horizontal="center"/>
    </xf>
    <xf numFmtId="0" fontId="70" fillId="0" borderId="40" xfId="0" applyFont="1" applyBorder="1" applyAlignment="1">
      <alignment horizontal="center" wrapText="1"/>
    </xf>
    <xf numFmtId="0" fontId="70" fillId="0" borderId="40" xfId="0" applyFont="1" applyBorder="1" applyAlignment="1">
      <alignment horizontal="center"/>
    </xf>
    <xf numFmtId="0" fontId="70" fillId="40" borderId="40" xfId="0" applyFont="1" applyFill="1" applyBorder="1" applyAlignment="1">
      <alignment horizontal="center"/>
    </xf>
    <xf numFmtId="0" fontId="70" fillId="36" borderId="40" xfId="0" applyFont="1" applyFill="1" applyBorder="1" applyAlignment="1">
      <alignment horizontal="center"/>
    </xf>
    <xf numFmtId="0" fontId="70" fillId="40" borderId="41" xfId="0" applyFont="1" applyFill="1" applyBorder="1" applyAlignment="1">
      <alignment horizontal="center"/>
    </xf>
    <xf numFmtId="0" fontId="0" fillId="0" borderId="0" xfId="0" applyFill="1"/>
    <xf numFmtId="0" fontId="41" fillId="0" borderId="14" xfId="0" applyFont="1" applyFill="1" applyBorder="1" applyAlignment="1">
      <alignment horizontal="center"/>
    </xf>
    <xf numFmtId="0" fontId="136" fillId="0" borderId="20" xfId="0" applyFont="1" applyFill="1" applyBorder="1" applyAlignment="1">
      <alignment horizontal="center"/>
    </xf>
    <xf numFmtId="3" fontId="44" fillId="0" borderId="12" xfId="0" applyNumberFormat="1" applyFont="1" applyFill="1" applyBorder="1"/>
    <xf numFmtId="3" fontId="44" fillId="0" borderId="10" xfId="0" applyNumberFormat="1" applyFont="1" applyFill="1" applyBorder="1"/>
    <xf numFmtId="3" fontId="42" fillId="0" borderId="18" xfId="0" applyNumberFormat="1" applyFont="1" applyFill="1" applyBorder="1"/>
    <xf numFmtId="3" fontId="45" fillId="0" borderId="10" xfId="0" applyNumberFormat="1" applyFont="1" applyFill="1" applyBorder="1"/>
    <xf numFmtId="0" fontId="68" fillId="0" borderId="0" xfId="0" applyFont="1" applyFill="1" applyAlignment="1">
      <alignment wrapText="1"/>
    </xf>
    <xf numFmtId="0" fontId="68" fillId="0" borderId="42" xfId="0" applyFont="1" applyFill="1" applyBorder="1" applyAlignment="1">
      <alignment wrapText="1"/>
    </xf>
    <xf numFmtId="0" fontId="68" fillId="0" borderId="45" xfId="0" applyFont="1" applyBorder="1" applyAlignment="1">
      <alignment wrapText="1"/>
    </xf>
    <xf numFmtId="0" fontId="68" fillId="0" borderId="57" xfId="0" applyFont="1" applyBorder="1" applyAlignment="1">
      <alignment wrapText="1"/>
    </xf>
    <xf numFmtId="0" fontId="68" fillId="0" borderId="0" xfId="0" applyFont="1" applyBorder="1" applyAlignment="1">
      <alignment wrapText="1"/>
    </xf>
    <xf numFmtId="0" fontId="69" fillId="0" borderId="42" xfId="0" applyFont="1" applyFill="1" applyBorder="1" applyAlignment="1">
      <alignment wrapText="1"/>
    </xf>
    <xf numFmtId="0" fontId="69" fillId="0" borderId="45" xfId="0" applyFont="1" applyBorder="1" applyAlignment="1">
      <alignment wrapText="1"/>
    </xf>
    <xf numFmtId="0" fontId="70" fillId="0" borderId="42" xfId="0" applyFont="1" applyFill="1" applyBorder="1" applyAlignment="1">
      <alignment wrapText="1"/>
    </xf>
    <xf numFmtId="0" fontId="70" fillId="0" borderId="45" xfId="0" applyFont="1" applyBorder="1" applyAlignment="1">
      <alignment wrapText="1"/>
    </xf>
    <xf numFmtId="0" fontId="70" fillId="0" borderId="57" xfId="0" applyFont="1" applyBorder="1" applyAlignment="1">
      <alignment wrapText="1"/>
    </xf>
    <xf numFmtId="0" fontId="70" fillId="0" borderId="0" xfId="0" applyFont="1" applyBorder="1" applyAlignment="1">
      <alignment wrapText="1"/>
    </xf>
    <xf numFmtId="0" fontId="69" fillId="0" borderId="69" xfId="0" applyFont="1" applyFill="1" applyBorder="1" applyAlignment="1">
      <alignment horizontal="center" wrapText="1"/>
    </xf>
    <xf numFmtId="0" fontId="69" fillId="0" borderId="194" xfId="0" applyFont="1" applyFill="1" applyBorder="1" applyAlignment="1">
      <alignment horizontal="center" wrapText="1"/>
    </xf>
    <xf numFmtId="49" fontId="69" fillId="26" borderId="46" xfId="0" applyNumberFormat="1" applyFont="1" applyFill="1" applyBorder="1" applyAlignment="1">
      <alignment horizontal="center" wrapText="1"/>
    </xf>
    <xf numFmtId="49" fontId="69" fillId="26" borderId="191" xfId="0" applyNumberFormat="1" applyFont="1" applyFill="1" applyBorder="1" applyAlignment="1">
      <alignment horizontal="center" wrapText="1"/>
    </xf>
    <xf numFmtId="0" fontId="74" fillId="0" borderId="60" xfId="0" applyFont="1" applyFill="1" applyBorder="1" applyAlignment="1">
      <alignment horizontal="center"/>
    </xf>
    <xf numFmtId="0" fontId="68" fillId="0" borderId="31" xfId="0" applyFont="1" applyBorder="1" applyAlignment="1">
      <alignment horizontal="center"/>
    </xf>
    <xf numFmtId="0" fontId="68" fillId="0" borderId="62" xfId="0" applyFont="1" applyBorder="1" applyAlignment="1">
      <alignment horizontal="center"/>
    </xf>
    <xf numFmtId="0" fontId="74" fillId="0" borderId="66" xfId="0" applyFont="1" applyFill="1" applyBorder="1" applyAlignment="1">
      <alignment horizontal="center"/>
    </xf>
    <xf numFmtId="0" fontId="74" fillId="0" borderId="73" xfId="0" applyFont="1" applyFill="1" applyBorder="1" applyAlignment="1">
      <alignment horizontal="center"/>
    </xf>
    <xf numFmtId="0" fontId="74" fillId="0" borderId="67" xfId="0" applyFont="1" applyFill="1" applyBorder="1" applyAlignment="1">
      <alignment horizontal="center"/>
    </xf>
    <xf numFmtId="0" fontId="68" fillId="0" borderId="73" xfId="0" applyFont="1" applyFill="1" applyBorder="1" applyAlignment="1">
      <alignment horizontal="center"/>
    </xf>
    <xf numFmtId="0" fontId="68" fillId="0" borderId="67" xfId="0" applyFont="1" applyFill="1" applyBorder="1" applyAlignment="1">
      <alignment horizontal="center"/>
    </xf>
    <xf numFmtId="0" fontId="93" fillId="0" borderId="189" xfId="0" applyFont="1" applyFill="1" applyBorder="1" applyAlignment="1">
      <alignment horizontal="left"/>
    </xf>
    <xf numFmtId="0" fontId="68" fillId="0" borderId="73" xfId="0" applyFont="1" applyBorder="1" applyAlignment="1">
      <alignment horizontal="left"/>
    </xf>
    <xf numFmtId="0" fontId="68" fillId="0" borderId="67" xfId="0" applyFont="1" applyBorder="1" applyAlignment="1">
      <alignment horizontal="left"/>
    </xf>
    <xf numFmtId="0" fontId="68" fillId="0" borderId="48" xfId="0" applyFont="1" applyFill="1" applyBorder="1" applyAlignment="1">
      <alignment horizontal="center"/>
    </xf>
    <xf numFmtId="0" fontId="68" fillId="0" borderId="51" xfId="0" applyFont="1" applyFill="1" applyBorder="1" applyAlignment="1">
      <alignment horizontal="center"/>
    </xf>
    <xf numFmtId="0" fontId="93" fillId="0" borderId="98" xfId="0" applyFont="1" applyFill="1" applyBorder="1" applyAlignment="1">
      <alignment horizontal="center" wrapText="1"/>
    </xf>
    <xf numFmtId="0" fontId="93" fillId="0" borderId="100" xfId="0" applyFont="1" applyFill="1" applyBorder="1" applyAlignment="1">
      <alignment horizontal="center" wrapText="1"/>
    </xf>
    <xf numFmtId="0" fontId="93" fillId="0" borderId="102" xfId="0" applyFont="1" applyFill="1" applyBorder="1" applyAlignment="1">
      <alignment horizontal="center" wrapText="1"/>
    </xf>
    <xf numFmtId="3" fontId="93" fillId="36" borderId="98" xfId="0" applyNumberFormat="1" applyFont="1" applyFill="1" applyBorder="1" applyAlignment="1">
      <alignment horizontal="center" wrapText="1"/>
    </xf>
    <xf numFmtId="3" fontId="93" fillId="36" borderId="100" xfId="0" applyNumberFormat="1" applyFont="1" applyFill="1" applyBorder="1" applyAlignment="1">
      <alignment horizontal="center"/>
    </xf>
    <xf numFmtId="3" fontId="93" fillId="36" borderId="102" xfId="0" applyNumberFormat="1" applyFont="1" applyFill="1" applyBorder="1" applyAlignment="1">
      <alignment horizontal="center"/>
    </xf>
    <xf numFmtId="0" fontId="69" fillId="0" borderId="20" xfId="0" applyFont="1" applyFill="1" applyBorder="1" applyAlignment="1">
      <alignment horizontal="left"/>
    </xf>
    <xf numFmtId="0" fontId="69" fillId="0" borderId="14" xfId="0" applyFont="1" applyFill="1" applyBorder="1" applyAlignment="1">
      <alignment horizontal="left"/>
    </xf>
    <xf numFmtId="0" fontId="69" fillId="0" borderId="10" xfId="0" applyFont="1" applyFill="1" applyBorder="1" applyAlignment="1">
      <alignment horizontal="left"/>
    </xf>
    <xf numFmtId="0" fontId="93" fillId="0" borderId="98" xfId="0" applyFont="1" applyFill="1" applyBorder="1" applyAlignment="1">
      <alignment horizontal="center" vertical="top" wrapText="1"/>
    </xf>
    <xf numFmtId="0" fontId="93" fillId="0" borderId="100" xfId="0" applyFont="1" applyFill="1" applyBorder="1" applyAlignment="1">
      <alignment horizontal="center" vertical="top" wrapText="1"/>
    </xf>
    <xf numFmtId="0" fontId="93" fillId="0" borderId="102" xfId="0" applyFont="1" applyFill="1" applyBorder="1" applyAlignment="1">
      <alignment horizontal="center" vertical="top" wrapText="1"/>
    </xf>
    <xf numFmtId="3" fontId="81" fillId="0" borderId="189" xfId="0" applyNumberFormat="1" applyFont="1" applyBorder="1" applyAlignment="1">
      <alignment horizontal="center" vertical="center"/>
    </xf>
    <xf numFmtId="3" fontId="81" fillId="0" borderId="77" xfId="0" applyNumberFormat="1" applyFont="1" applyBorder="1" applyAlignment="1">
      <alignment horizontal="center" vertical="center"/>
    </xf>
    <xf numFmtId="0" fontId="68" fillId="0" borderId="71" xfId="0" applyFont="1" applyBorder="1" applyAlignment="1">
      <alignment horizontal="center"/>
    </xf>
    <xf numFmtId="0" fontId="74" fillId="0" borderId="66" xfId="0" applyFont="1" applyBorder="1" applyAlignment="1">
      <alignment horizontal="center"/>
    </xf>
    <xf numFmtId="0" fontId="74" fillId="0" borderId="73" xfId="0" applyFont="1" applyBorder="1" applyAlignment="1">
      <alignment horizontal="center"/>
    </xf>
    <xf numFmtId="0" fontId="68" fillId="0" borderId="73" xfId="0" applyFont="1" applyBorder="1" applyAlignment="1">
      <alignment horizontal="center"/>
    </xf>
    <xf numFmtId="0" fontId="68" fillId="0" borderId="67" xfId="0" applyFont="1" applyBorder="1" applyAlignment="1">
      <alignment horizontal="center"/>
    </xf>
    <xf numFmtId="3" fontId="68" fillId="0" borderId="190" xfId="0" applyNumberFormat="1" applyFont="1" applyBorder="1" applyAlignment="1">
      <alignment horizontal="center"/>
    </xf>
    <xf numFmtId="3" fontId="68" fillId="0" borderId="192" xfId="0" applyNumberFormat="1" applyFont="1" applyBorder="1" applyAlignment="1">
      <alignment horizontal="center"/>
    </xf>
    <xf numFmtId="0" fontId="81" fillId="0" borderId="77" xfId="0" applyFont="1" applyBorder="1" applyAlignment="1">
      <alignment horizontal="center" vertical="center"/>
    </xf>
    <xf numFmtId="3" fontId="138" fillId="0" borderId="189" xfId="0" applyNumberFormat="1" applyFont="1" applyBorder="1" applyAlignment="1">
      <alignment horizontal="center" vertical="center"/>
    </xf>
    <xf numFmtId="3" fontId="138" fillId="0" borderId="73" xfId="0" applyNumberFormat="1" applyFont="1" applyBorder="1" applyAlignment="1">
      <alignment horizontal="center" vertical="center"/>
    </xf>
    <xf numFmtId="3" fontId="138" fillId="0" borderId="77" xfId="0" applyNumberFormat="1" applyFont="1" applyBorder="1" applyAlignment="1">
      <alignment horizontal="center" vertical="center"/>
    </xf>
    <xf numFmtId="0" fontId="81" fillId="0" borderId="190" xfId="0" applyFont="1" applyBorder="1" applyAlignment="1">
      <alignment horizontal="center"/>
    </xf>
    <xf numFmtId="0" fontId="81" fillId="0" borderId="70" xfId="0" applyFont="1" applyBorder="1" applyAlignment="1">
      <alignment horizontal="center"/>
    </xf>
    <xf numFmtId="0" fontId="68" fillId="0" borderId="66" xfId="0" applyFont="1" applyBorder="1" applyAlignment="1">
      <alignment horizontal="center"/>
    </xf>
    <xf numFmtId="0" fontId="74" fillId="0" borderId="67" xfId="0" applyFont="1" applyBorder="1" applyAlignment="1">
      <alignment horizontal="center"/>
    </xf>
    <xf numFmtId="3" fontId="81" fillId="0" borderId="163" xfId="0" applyNumberFormat="1" applyFont="1" applyBorder="1" applyAlignment="1">
      <alignment horizontal="center" vertical="center"/>
    </xf>
    <xf numFmtId="3" fontId="81" fillId="0" borderId="72" xfId="0" applyNumberFormat="1" applyFont="1" applyBorder="1" applyAlignment="1">
      <alignment horizontal="center" vertical="center"/>
    </xf>
    <xf numFmtId="3" fontId="81" fillId="0" borderId="71" xfId="0" applyNumberFormat="1" applyFont="1" applyBorder="1" applyAlignment="1">
      <alignment horizontal="center" vertical="center"/>
    </xf>
    <xf numFmtId="3" fontId="81" fillId="0" borderId="78" xfId="0" applyNumberFormat="1" applyFont="1" applyBorder="1" applyAlignment="1">
      <alignment horizontal="center" vertical="center"/>
    </xf>
    <xf numFmtId="0" fontId="68" fillId="0" borderId="163" xfId="0" applyFont="1" applyBorder="1" applyAlignment="1">
      <alignment horizontal="center"/>
    </xf>
    <xf numFmtId="0" fontId="68" fillId="0" borderId="68" xfId="0" applyFont="1" applyBorder="1" applyAlignment="1">
      <alignment horizontal="center"/>
    </xf>
    <xf numFmtId="0" fontId="68" fillId="0" borderId="42" xfId="0" applyFont="1" applyBorder="1" applyAlignment="1">
      <alignment horizontal="center"/>
    </xf>
    <xf numFmtId="0" fontId="68" fillId="0" borderId="45" xfId="0" applyFont="1" applyBorder="1" applyAlignment="1">
      <alignment horizontal="center"/>
    </xf>
    <xf numFmtId="0" fontId="68" fillId="0" borderId="47" xfId="0" applyFont="1" applyBorder="1" applyAlignment="1">
      <alignment horizontal="center"/>
    </xf>
    <xf numFmtId="0" fontId="0" fillId="0" borderId="189" xfId="0" applyBorder="1" applyAlignment="1">
      <alignment horizontal="center"/>
    </xf>
    <xf numFmtId="0" fontId="0" fillId="0" borderId="77" xfId="0" applyBorder="1" applyAlignment="1">
      <alignment horizontal="center"/>
    </xf>
    <xf numFmtId="0" fontId="73" fillId="0" borderId="42" xfId="0" applyFont="1" applyBorder="1" applyAlignment="1">
      <alignment horizontal="center"/>
    </xf>
    <xf numFmtId="0" fontId="68" fillId="0" borderId="97" xfId="0" applyFont="1" applyBorder="1" applyAlignment="1">
      <alignment horizontal="center"/>
    </xf>
    <xf numFmtId="0" fontId="70" fillId="0" borderId="85" xfId="0" applyFont="1" applyBorder="1" applyAlignment="1">
      <alignment horizontal="center"/>
    </xf>
    <xf numFmtId="0" fontId="70" fillId="0" borderId="54" xfId="0" applyFont="1" applyBorder="1" applyAlignment="1">
      <alignment horizontal="center"/>
    </xf>
    <xf numFmtId="0" fontId="70" fillId="0" borderId="56" xfId="0" applyFont="1" applyBorder="1" applyAlignment="1">
      <alignment horizontal="center"/>
    </xf>
    <xf numFmtId="0" fontId="51" fillId="0" borderId="43" xfId="0" applyFont="1" applyBorder="1" applyAlignment="1">
      <alignment horizontal="center"/>
    </xf>
    <xf numFmtId="0" fontId="52" fillId="0" borderId="101" xfId="0" applyFont="1" applyBorder="1" applyAlignment="1">
      <alignment horizontal="center"/>
    </xf>
    <xf numFmtId="0" fontId="68" fillId="40" borderId="64" xfId="0" applyFont="1" applyFill="1" applyBorder="1" applyAlignment="1">
      <alignment horizontal="left"/>
    </xf>
    <xf numFmtId="0" fontId="68" fillId="40" borderId="71" xfId="0" applyFont="1" applyFill="1" applyBorder="1" applyAlignment="1">
      <alignment horizontal="left"/>
    </xf>
    <xf numFmtId="0" fontId="68" fillId="40" borderId="72" xfId="0" applyFont="1" applyFill="1" applyBorder="1" applyAlignment="1">
      <alignment horizontal="left"/>
    </xf>
    <xf numFmtId="0" fontId="68" fillId="40" borderId="155" xfId="0" applyFont="1" applyFill="1" applyBorder="1" applyAlignment="1">
      <alignment horizontal="left"/>
    </xf>
    <xf numFmtId="0" fontId="68" fillId="40" borderId="82" xfId="0" applyFont="1" applyFill="1" applyBorder="1" applyAlignment="1">
      <alignment horizontal="left"/>
    </xf>
    <xf numFmtId="0" fontId="68" fillId="40" borderId="78" xfId="0" applyFont="1" applyFill="1" applyBorder="1" applyAlignment="1">
      <alignment horizontal="left"/>
    </xf>
    <xf numFmtId="0" fontId="70" fillId="40" borderId="44" xfId="0" applyFont="1" applyFill="1" applyBorder="1" applyAlignment="1">
      <alignment horizontal="center"/>
    </xf>
    <xf numFmtId="0" fontId="70" fillId="40" borderId="79" xfId="0" applyFont="1" applyFill="1" applyBorder="1" applyAlignment="1">
      <alignment horizontal="center"/>
    </xf>
    <xf numFmtId="0" fontId="70" fillId="40" borderId="11" xfId="0" applyFont="1" applyFill="1" applyBorder="1" applyAlignment="1">
      <alignment horizontal="center"/>
    </xf>
    <xf numFmtId="0" fontId="70" fillId="40" borderId="167" xfId="0" applyFont="1" applyFill="1" applyBorder="1" applyAlignment="1">
      <alignment horizontal="center"/>
    </xf>
    <xf numFmtId="0" fontId="72" fillId="0" borderId="39" xfId="0" applyFont="1" applyFill="1" applyBorder="1" applyAlignment="1">
      <alignment horizontal="left"/>
    </xf>
    <xf numFmtId="0" fontId="72" fillId="0" borderId="62" xfId="0" applyFont="1" applyFill="1" applyBorder="1" applyAlignment="1">
      <alignment horizontal="left"/>
    </xf>
    <xf numFmtId="0" fontId="72" fillId="0" borderId="39" xfId="0" applyFont="1" applyBorder="1" applyAlignment="1">
      <alignment horizontal="left"/>
    </xf>
    <xf numFmtId="0" fontId="72" fillId="0" borderId="62" xfId="0" applyFont="1" applyBorder="1" applyAlignment="1">
      <alignment horizontal="left"/>
    </xf>
    <xf numFmtId="0" fontId="70" fillId="0" borderId="32" xfId="0" applyFont="1" applyBorder="1" applyAlignment="1">
      <alignment horizontal="center" wrapText="1"/>
    </xf>
    <xf numFmtId="0" fontId="70" fillId="0" borderId="26" xfId="0" applyFont="1" applyBorder="1" applyAlignment="1">
      <alignment horizontal="center" wrapText="1"/>
    </xf>
    <xf numFmtId="0" fontId="57" fillId="0" borderId="189" xfId="0" applyFont="1" applyFill="1" applyBorder="1" applyAlignment="1">
      <alignment horizontal="center"/>
    </xf>
    <xf numFmtId="0" fontId="57" fillId="0" borderId="73" xfId="0" applyFont="1" applyFill="1" applyBorder="1" applyAlignment="1">
      <alignment horizontal="center"/>
    </xf>
    <xf numFmtId="0" fontId="57" fillId="0" borderId="67" xfId="0" applyFont="1" applyFill="1" applyBorder="1" applyAlignment="1">
      <alignment horizontal="center"/>
    </xf>
  </cellXfs>
  <cellStyles count="100">
    <cellStyle name="20 % – Zvýraznění1" xfId="1"/>
    <cellStyle name="20 % – Zvýraznění1 2" xfId="2"/>
    <cellStyle name="20 % – Zvýraznění2" xfId="3"/>
    <cellStyle name="20 % – Zvýraznění2 2" xfId="4"/>
    <cellStyle name="20 % – Zvýraznění3" xfId="5"/>
    <cellStyle name="20 % – Zvýraznění3 2" xfId="6"/>
    <cellStyle name="20 % – Zvýraznění4" xfId="7"/>
    <cellStyle name="20 % – Zvýraznění4 2" xfId="8"/>
    <cellStyle name="20 % – Zvýraznění5" xfId="9"/>
    <cellStyle name="20 % – Zvýraznění5 2" xfId="10"/>
    <cellStyle name="20 % – Zvýraznění6" xfId="11"/>
    <cellStyle name="20 % – Zvýraznění6 2" xfId="12"/>
    <cellStyle name="40 % – Zvýraznění1" xfId="13"/>
    <cellStyle name="40 % – Zvýraznění1 2" xfId="14"/>
    <cellStyle name="40 % – Zvýraznění2" xfId="15"/>
    <cellStyle name="40 % – Zvýraznění2 2" xfId="16"/>
    <cellStyle name="40 % – Zvýraznění3" xfId="17"/>
    <cellStyle name="40 % – Zvýraznění3 2" xfId="18"/>
    <cellStyle name="40 % – Zvýraznění4" xfId="19"/>
    <cellStyle name="40 % – Zvýraznění4 2" xfId="20"/>
    <cellStyle name="40 % – Zvýraznění5" xfId="21"/>
    <cellStyle name="40 % – Zvýraznění5 2" xfId="22"/>
    <cellStyle name="40 % – Zvýraznění6" xfId="23"/>
    <cellStyle name="40 % – Zvýraznění6 2" xfId="24"/>
    <cellStyle name="60 % – Zvýraznění1" xfId="25"/>
    <cellStyle name="60 % – Zvýraznění1 2" xfId="26"/>
    <cellStyle name="60 % – Zvýraznění2" xfId="27"/>
    <cellStyle name="60 % – Zvýraznění2 2" xfId="28"/>
    <cellStyle name="60 % – Zvýraznění3" xfId="29"/>
    <cellStyle name="60 % – Zvýraznění3 2" xfId="30"/>
    <cellStyle name="60 % – Zvýraznění4" xfId="31"/>
    <cellStyle name="60 % – Zvýraznění4 2" xfId="32"/>
    <cellStyle name="60 % – Zvýraznění5" xfId="33"/>
    <cellStyle name="60 % – Zvýraznění5 2" xfId="34"/>
    <cellStyle name="60 % – Zvýraznění6" xfId="35"/>
    <cellStyle name="60 % – Zvýraznění6 2" xfId="36"/>
    <cellStyle name="Celkem" xfId="37"/>
    <cellStyle name="Celkem 2" xfId="38"/>
    <cellStyle name="Comma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" xfId="46"/>
    <cellStyle name="Název 2" xfId="47"/>
    <cellStyle name="Neutrální 2" xfId="48"/>
    <cellStyle name="Normal 2" xfId="49"/>
    <cellStyle name="Normal 3" xfId="50"/>
    <cellStyle name="Normální" xfId="0" builtinId="0"/>
    <cellStyle name="Normální 10" xfId="51"/>
    <cellStyle name="Normální 11" xfId="52"/>
    <cellStyle name="normální 2" xfId="53"/>
    <cellStyle name="normální 2 2" xfId="54"/>
    <cellStyle name="normální 2 3" xfId="55"/>
    <cellStyle name="normální 2 3 2" xfId="56"/>
    <cellStyle name="normální 2 3 2 2" xfId="57"/>
    <cellStyle name="normální 2 3 2_PV III. Rozpis rozpočtu VŠ 2011_final_PV" xfId="58"/>
    <cellStyle name="normální 2 3_PV III. Rozpis rozpočtu VŠ 2011_final_PV" xfId="59"/>
    <cellStyle name="normální 2 4" xfId="60"/>
    <cellStyle name="normální 2 4 2" xfId="61"/>
    <cellStyle name="normální 2 4_PV III. Rozpis rozpočtu VŠ 2011_final_PV" xfId="62"/>
    <cellStyle name="normální 2 5" xfId="63"/>
    <cellStyle name="normální 2_CP2012" xfId="64"/>
    <cellStyle name="normální 3" xfId="65"/>
    <cellStyle name="normální 3 2" xfId="66"/>
    <cellStyle name="normální 3_CP2012" xfId="67"/>
    <cellStyle name="normální 4" xfId="68"/>
    <cellStyle name="normální 4 2" xfId="69"/>
    <cellStyle name="normální 4_PV Rozpis rozpočtu VŠ 2011 III - tabulkové přílohy" xfId="70"/>
    <cellStyle name="Normální 5" xfId="71"/>
    <cellStyle name="normální 5 2" xfId="72"/>
    <cellStyle name="Normální 6" xfId="73"/>
    <cellStyle name="Normální 6 2" xfId="74"/>
    <cellStyle name="normální 7" xfId="75"/>
    <cellStyle name="Normální 8" xfId="76"/>
    <cellStyle name="Normální 8 2" xfId="77"/>
    <cellStyle name="Normální 9" xfId="78"/>
    <cellStyle name="normální_model_rozpocet_23112009-1" xfId="79"/>
    <cellStyle name="normální_návrh CP k 23.11.03" xfId="80"/>
    <cellStyle name="Poznámka 2" xfId="81"/>
    <cellStyle name="procent 2" xfId="82"/>
    <cellStyle name="procent 3" xfId="83"/>
    <cellStyle name="procent 4" xfId="84"/>
    <cellStyle name="Procenta 2" xfId="85"/>
    <cellStyle name="Propojená buňka 2" xfId="86"/>
    <cellStyle name="Správně 2" xfId="87"/>
    <cellStyle name="Text upozornění" xfId="88"/>
    <cellStyle name="Text upozornění 2" xfId="89"/>
    <cellStyle name="Vstup 2" xfId="90"/>
    <cellStyle name="Výpočet 2" xfId="91"/>
    <cellStyle name="Výstup 2" xfId="92"/>
    <cellStyle name="Vysvětlující text 2" xfId="93"/>
    <cellStyle name="Zvýraznění 1 2" xfId="94"/>
    <cellStyle name="Zvýraznění 2 2" xfId="95"/>
    <cellStyle name="Zvýraznění 3 2" xfId="96"/>
    <cellStyle name="Zvýraznění 4 2" xfId="97"/>
    <cellStyle name="Zvýraznění 5 2" xfId="98"/>
    <cellStyle name="Zvýraznění 6 2" xfId="9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M55"/>
  <sheetViews>
    <sheetView showGridLines="0" workbookViewId="0"/>
  </sheetViews>
  <sheetFormatPr defaultColWidth="11.42578125" defaultRowHeight="12.75" x14ac:dyDescent="0.2"/>
  <cols>
    <col min="1" max="1" width="4.42578125" style="46" customWidth="1"/>
    <col min="2" max="2" width="10.140625" style="46" customWidth="1"/>
    <col min="3" max="3" width="13.5703125" style="46" customWidth="1"/>
    <col min="4" max="4" width="13.28515625" style="46" customWidth="1"/>
    <col min="5" max="5" width="12.7109375" style="46" customWidth="1"/>
    <col min="6" max="6" width="12.85546875" style="46" customWidth="1"/>
    <col min="7" max="7" width="12" style="46" customWidth="1"/>
    <col min="8" max="8" width="12.28515625" style="46" customWidth="1"/>
    <col min="9" max="9" width="11.5703125" style="46" customWidth="1"/>
    <col min="10" max="10" width="12.42578125" style="46" customWidth="1"/>
    <col min="11" max="11" width="11.28515625" style="46" customWidth="1"/>
    <col min="12" max="12" width="10" style="58" customWidth="1"/>
    <col min="13" max="13" width="10.5703125" style="46" customWidth="1"/>
    <col min="14" max="16384" width="11.42578125" style="46"/>
  </cols>
  <sheetData>
    <row r="1" spans="1:13" ht="26.25" x14ac:dyDescent="0.35">
      <c r="A1" s="130" t="s">
        <v>678</v>
      </c>
      <c r="B1" s="131"/>
      <c r="C1" s="57"/>
      <c r="D1" s="57"/>
      <c r="E1" s="57"/>
      <c r="F1" s="57"/>
      <c r="G1" s="57"/>
      <c r="H1" s="57"/>
      <c r="I1" s="57"/>
      <c r="J1" s="57"/>
      <c r="K1" s="57"/>
    </row>
    <row r="2" spans="1:13" ht="22.5" customHeight="1" x14ac:dyDescent="0.2">
      <c r="A2" s="1569" t="s">
        <v>709</v>
      </c>
      <c r="B2" s="1569"/>
      <c r="C2" s="1569"/>
      <c r="D2" s="1569"/>
      <c r="E2" s="1569"/>
      <c r="F2" s="1569"/>
      <c r="G2" s="1569"/>
      <c r="H2" s="1569"/>
      <c r="I2" s="1569"/>
      <c r="J2" s="1569"/>
      <c r="K2" s="1569"/>
      <c r="L2" s="1569"/>
      <c r="M2" s="1569"/>
    </row>
    <row r="3" spans="1:13" ht="22.5" customHeight="1" thickBot="1" x14ac:dyDescent="0.25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ht="16.5" thickBot="1" x14ac:dyDescent="0.3">
      <c r="A4" s="118" t="s">
        <v>183</v>
      </c>
      <c r="B4" s="57"/>
      <c r="C4" s="57"/>
      <c r="D4" s="57"/>
      <c r="E4" s="57"/>
      <c r="G4" s="684">
        <v>0.76</v>
      </c>
      <c r="H4" s="685">
        <v>0.24</v>
      </c>
      <c r="I4" s="134"/>
      <c r="J4" s="58"/>
      <c r="K4" s="58"/>
      <c r="L4" s="133"/>
    </row>
    <row r="5" spans="1:13" x14ac:dyDescent="0.2">
      <c r="A5" s="135"/>
      <c r="B5" s="136"/>
      <c r="C5" s="137"/>
      <c r="D5" s="138"/>
      <c r="E5" s="139"/>
      <c r="F5" s="140"/>
      <c r="G5" s="141"/>
      <c r="H5" s="141"/>
      <c r="I5" s="141"/>
      <c r="J5" s="142" t="s">
        <v>2</v>
      </c>
      <c r="K5" s="57"/>
      <c r="L5" s="46"/>
    </row>
    <row r="6" spans="1:13" ht="13.5" thickBot="1" x14ac:dyDescent="0.25">
      <c r="A6" s="143" t="s">
        <v>3</v>
      </c>
      <c r="B6" s="144" t="s">
        <v>4</v>
      </c>
      <c r="C6" s="145"/>
      <c r="D6" s="146"/>
      <c r="E6" s="147" t="s">
        <v>614</v>
      </c>
      <c r="F6" s="148" t="s">
        <v>682</v>
      </c>
      <c r="G6" s="149" t="s">
        <v>711</v>
      </c>
      <c r="H6" s="149" t="s">
        <v>712</v>
      </c>
      <c r="I6" s="150" t="s">
        <v>182</v>
      </c>
      <c r="J6" s="151" t="s">
        <v>692</v>
      </c>
      <c r="K6" s="57"/>
      <c r="L6" s="46"/>
    </row>
    <row r="7" spans="1:13" x14ac:dyDescent="0.2">
      <c r="A7" s="152">
        <v>1</v>
      </c>
      <c r="B7" s="153" t="s">
        <v>97</v>
      </c>
      <c r="C7" s="154"/>
      <c r="D7" s="155"/>
      <c r="E7" s="156">
        <v>1808658</v>
      </c>
      <c r="F7" s="157">
        <v>1842607.76902935</v>
      </c>
      <c r="G7" s="158">
        <f>F7*G4</f>
        <v>1400381.9044623061</v>
      </c>
      <c r="H7" s="158">
        <f>F7*H4</f>
        <v>442225.86456704402</v>
      </c>
      <c r="I7" s="159"/>
      <c r="J7" s="160">
        <f>F7/E7</f>
        <v>1.0187706957475378</v>
      </c>
      <c r="K7" s="161">
        <v>45873.999999999767</v>
      </c>
      <c r="L7" s="46"/>
    </row>
    <row r="8" spans="1:13" ht="13.5" thickBot="1" x14ac:dyDescent="0.25">
      <c r="A8" s="162">
        <v>2</v>
      </c>
      <c r="B8" s="163" t="s">
        <v>153</v>
      </c>
      <c r="C8" s="164"/>
      <c r="D8" s="165"/>
      <c r="E8" s="166">
        <v>590751</v>
      </c>
      <c r="F8" s="167">
        <v>626771.64500000002</v>
      </c>
      <c r="G8" s="168"/>
      <c r="H8" s="168"/>
      <c r="I8" s="169">
        <f>F8</f>
        <v>626771.64500000002</v>
      </c>
      <c r="J8" s="170">
        <f>F8/E8</f>
        <v>1.0609743275931822</v>
      </c>
      <c r="K8" s="57"/>
      <c r="L8" s="46"/>
    </row>
    <row r="9" spans="1:13" ht="13.5" thickBot="1" x14ac:dyDescent="0.25">
      <c r="A9" s="171">
        <v>3</v>
      </c>
      <c r="B9" s="172" t="s">
        <v>5</v>
      </c>
      <c r="C9" s="173"/>
      <c r="D9" s="174"/>
      <c r="E9" s="175">
        <v>2399409</v>
      </c>
      <c r="F9" s="176">
        <f>SUM(F7:F8)</f>
        <v>2469379.41402935</v>
      </c>
      <c r="G9" s="177"/>
      <c r="H9" s="177"/>
      <c r="I9" s="178"/>
      <c r="J9" s="179">
        <f>F9/E9</f>
        <v>1.0291615202032458</v>
      </c>
      <c r="K9" s="57"/>
      <c r="L9" s="46"/>
    </row>
    <row r="10" spans="1:13" x14ac:dyDescent="0.2">
      <c r="A10" s="180"/>
      <c r="B10" s="165"/>
      <c r="C10" s="164"/>
      <c r="D10" s="165"/>
      <c r="E10" s="164"/>
      <c r="F10" s="133"/>
      <c r="G10" s="133"/>
      <c r="H10" s="133"/>
      <c r="I10" s="133"/>
      <c r="J10" s="181"/>
      <c r="K10" s="57"/>
      <c r="L10" s="46"/>
    </row>
    <row r="11" spans="1:13" x14ac:dyDescent="0.2">
      <c r="A11" s="180"/>
      <c r="B11" s="165"/>
      <c r="C11" s="164"/>
      <c r="D11" s="165"/>
      <c r="E11" s="164"/>
      <c r="F11" s="133"/>
      <c r="G11" s="133"/>
      <c r="H11" s="133"/>
      <c r="I11" s="133"/>
      <c r="J11" s="181"/>
      <c r="K11" s="57"/>
      <c r="L11" s="46"/>
    </row>
    <row r="12" spans="1:13" x14ac:dyDescent="0.2">
      <c r="A12" s="57"/>
      <c r="B12" s="57"/>
      <c r="C12" s="57"/>
      <c r="D12" s="57"/>
      <c r="E12" s="57"/>
      <c r="G12" s="57"/>
      <c r="H12" s="57"/>
      <c r="I12" s="57"/>
      <c r="J12" s="57"/>
      <c r="K12" s="57"/>
    </row>
    <row r="13" spans="1:13" ht="16.5" thickBot="1" x14ac:dyDescent="0.3">
      <c r="A13" s="118" t="s">
        <v>679</v>
      </c>
      <c r="B13" s="57"/>
      <c r="C13" s="57"/>
      <c r="D13" s="57"/>
      <c r="E13" s="57"/>
      <c r="F13" s="57"/>
      <c r="G13" s="57"/>
      <c r="H13" s="182"/>
      <c r="I13" s="57"/>
      <c r="J13" s="57"/>
      <c r="K13" s="183"/>
      <c r="L13" s="184"/>
    </row>
    <row r="14" spans="1:13" ht="30" customHeight="1" x14ac:dyDescent="0.2">
      <c r="A14" s="1570" t="s">
        <v>242</v>
      </c>
      <c r="B14" s="1571"/>
      <c r="C14" s="201" t="s">
        <v>713</v>
      </c>
      <c r="D14" s="202" t="s">
        <v>272</v>
      </c>
      <c r="E14" s="203" t="s">
        <v>273</v>
      </c>
      <c r="F14" s="705" t="s">
        <v>714</v>
      </c>
      <c r="G14" s="707" t="s">
        <v>275</v>
      </c>
      <c r="H14" s="185" t="s">
        <v>275</v>
      </c>
      <c r="L14" s="46"/>
    </row>
    <row r="15" spans="1:13" ht="42.75" customHeight="1" thickBot="1" x14ac:dyDescent="0.25">
      <c r="A15" s="1572"/>
      <c r="B15" s="1573"/>
      <c r="C15" s="734" t="s">
        <v>715</v>
      </c>
      <c r="D15" s="735" t="s">
        <v>266</v>
      </c>
      <c r="E15" s="736" t="s">
        <v>274</v>
      </c>
      <c r="F15" s="706"/>
      <c r="G15" s="708" t="s">
        <v>16</v>
      </c>
      <c r="H15" s="204" t="s">
        <v>366</v>
      </c>
      <c r="L15" s="46"/>
    </row>
    <row r="16" spans="1:13" x14ac:dyDescent="0.2">
      <c r="A16" s="205">
        <v>11</v>
      </c>
      <c r="B16" s="206" t="s">
        <v>7</v>
      </c>
      <c r="C16" s="207">
        <v>258192.54054217969</v>
      </c>
      <c r="D16" s="981">
        <f t="shared" ref="D16:D23" si="0">E16/$E$28</f>
        <v>4.9618343084934111E-2</v>
      </c>
      <c r="E16" s="208">
        <v>3474.2314892772106</v>
      </c>
      <c r="F16" s="1369">
        <v>56396.155964097939</v>
      </c>
      <c r="G16" s="1491">
        <f>C16+E16+F16</f>
        <v>318062.92799555487</v>
      </c>
      <c r="H16" s="1078">
        <f>ROUND(G16,1)</f>
        <v>318062.90000000002</v>
      </c>
      <c r="L16" s="46"/>
    </row>
    <row r="17" spans="1:12" x14ac:dyDescent="0.2">
      <c r="A17" s="209">
        <v>21</v>
      </c>
      <c r="B17" s="210" t="s">
        <v>8</v>
      </c>
      <c r="C17" s="211">
        <v>237831.39332681653</v>
      </c>
      <c r="D17" s="954">
        <f t="shared" si="0"/>
        <v>0.21834033708284173</v>
      </c>
      <c r="E17" s="213">
        <v>15287.992853250607</v>
      </c>
      <c r="F17" s="1492">
        <v>84314.995904900861</v>
      </c>
      <c r="G17" s="1493">
        <f t="shared" ref="G17:G27" si="1">C17+E17+F17</f>
        <v>337434.38208496803</v>
      </c>
      <c r="H17" s="1494">
        <f t="shared" ref="H17:H27" si="2">ROUND(G17,1)</f>
        <v>337434.4</v>
      </c>
      <c r="L17" s="46"/>
    </row>
    <row r="18" spans="1:12" x14ac:dyDescent="0.2">
      <c r="A18" s="209">
        <v>22</v>
      </c>
      <c r="B18" s="210" t="s">
        <v>9</v>
      </c>
      <c r="C18" s="211">
        <v>92792.595974306299</v>
      </c>
      <c r="D18" s="954">
        <f t="shared" si="0"/>
        <v>4.0695186745935627E-2</v>
      </c>
      <c r="E18" s="213">
        <v>2849.44015588613</v>
      </c>
      <c r="F18" s="1492">
        <v>22962.934129402849</v>
      </c>
      <c r="G18" s="1493">
        <f t="shared" si="1"/>
        <v>118604.97025959528</v>
      </c>
      <c r="H18" s="1494">
        <f t="shared" si="2"/>
        <v>118605</v>
      </c>
      <c r="L18" s="46"/>
    </row>
    <row r="19" spans="1:12" x14ac:dyDescent="0.2">
      <c r="A19" s="209">
        <v>23</v>
      </c>
      <c r="B19" s="210" t="s">
        <v>10</v>
      </c>
      <c r="C19" s="211">
        <v>100512.31517287293</v>
      </c>
      <c r="D19" s="954">
        <f t="shared" si="0"/>
        <v>7.350256825956987E-2</v>
      </c>
      <c r="E19" s="213">
        <v>5146.5833261103617</v>
      </c>
      <c r="F19" s="1492">
        <v>42773.359463602683</v>
      </c>
      <c r="G19" s="1493">
        <f t="shared" si="1"/>
        <v>148432.25796258598</v>
      </c>
      <c r="H19" s="1494">
        <f t="shared" si="2"/>
        <v>148432.29999999999</v>
      </c>
      <c r="L19" s="46"/>
    </row>
    <row r="20" spans="1:12" x14ac:dyDescent="0.2">
      <c r="A20" s="209">
        <v>31</v>
      </c>
      <c r="B20" s="210" t="s">
        <v>11</v>
      </c>
      <c r="C20" s="211">
        <v>247155.25508368106</v>
      </c>
      <c r="D20" s="954">
        <f t="shared" si="0"/>
        <v>0.17006108080841786</v>
      </c>
      <c r="E20" s="213">
        <v>11907.523010870533</v>
      </c>
      <c r="F20" s="1492">
        <v>108274.08686652376</v>
      </c>
      <c r="G20" s="1493">
        <f t="shared" si="1"/>
        <v>367336.86496107536</v>
      </c>
      <c r="H20" s="1494">
        <f t="shared" si="2"/>
        <v>367336.9</v>
      </c>
      <c r="L20" s="46"/>
    </row>
    <row r="21" spans="1:12" x14ac:dyDescent="0.2">
      <c r="A21" s="209">
        <v>33</v>
      </c>
      <c r="B21" s="210" t="s">
        <v>12</v>
      </c>
      <c r="C21" s="211">
        <v>98202.260270580096</v>
      </c>
      <c r="D21" s="954">
        <f t="shared" si="0"/>
        <v>0.12401347232226793</v>
      </c>
      <c r="E21" s="213">
        <v>8683.311127482064</v>
      </c>
      <c r="F21" s="1492">
        <v>30464.661329408591</v>
      </c>
      <c r="G21" s="1493">
        <f t="shared" si="1"/>
        <v>137350.23272747075</v>
      </c>
      <c r="H21" s="1494">
        <f t="shared" si="2"/>
        <v>137350.20000000001</v>
      </c>
      <c r="L21" s="46"/>
    </row>
    <row r="22" spans="1:12" x14ac:dyDescent="0.2">
      <c r="A22" s="209">
        <v>41</v>
      </c>
      <c r="B22" s="210" t="s">
        <v>13</v>
      </c>
      <c r="C22" s="211">
        <v>148614.38283366698</v>
      </c>
      <c r="D22" s="954">
        <f t="shared" si="0"/>
        <v>0.11476351795622694</v>
      </c>
      <c r="E22" s="213">
        <v>8035.6376919167678</v>
      </c>
      <c r="F22" s="1492">
        <v>31834.013666811294</v>
      </c>
      <c r="G22" s="1493">
        <f t="shared" si="1"/>
        <v>188484.03419239505</v>
      </c>
      <c r="H22" s="1494">
        <f t="shared" si="2"/>
        <v>188484</v>
      </c>
      <c r="L22" s="46"/>
    </row>
    <row r="23" spans="1:12" x14ac:dyDescent="0.2">
      <c r="A23" s="209">
        <v>51</v>
      </c>
      <c r="B23" s="210" t="s">
        <v>14</v>
      </c>
      <c r="C23" s="211">
        <v>58507.374226934102</v>
      </c>
      <c r="D23" s="954">
        <f t="shared" si="0"/>
        <v>4.9880370331842262E-2</v>
      </c>
      <c r="E23" s="213">
        <v>3492.5784000295234</v>
      </c>
      <c r="F23" s="1492">
        <v>7178.9984330007801</v>
      </c>
      <c r="G23" s="1493">
        <f t="shared" si="1"/>
        <v>69178.951059964413</v>
      </c>
      <c r="H23" s="1494">
        <f t="shared" si="2"/>
        <v>69179</v>
      </c>
      <c r="L23" s="46"/>
    </row>
    <row r="24" spans="1:12" x14ac:dyDescent="0.2">
      <c r="A24" s="209">
        <v>56</v>
      </c>
      <c r="B24" s="210" t="s">
        <v>15</v>
      </c>
      <c r="C24" s="211">
        <v>88554.691808154472</v>
      </c>
      <c r="D24" s="954">
        <f>E24/$E$28</f>
        <v>0.15912512340796364</v>
      </c>
      <c r="E24" s="213">
        <v>11141.797168292194</v>
      </c>
      <c r="F24" s="1492">
        <v>26316.758850193506</v>
      </c>
      <c r="G24" s="1493">
        <f t="shared" si="1"/>
        <v>126013.24782664017</v>
      </c>
      <c r="H24" s="1494">
        <f t="shared" si="2"/>
        <v>126013.2</v>
      </c>
      <c r="L24" s="46"/>
    </row>
    <row r="25" spans="1:12" x14ac:dyDescent="0.2">
      <c r="A25" s="209">
        <v>71</v>
      </c>
      <c r="B25" s="214" t="s">
        <v>229</v>
      </c>
      <c r="C25" s="211"/>
      <c r="D25" s="212"/>
      <c r="E25" s="1367"/>
      <c r="F25" s="1492">
        <v>27832.061239728337</v>
      </c>
      <c r="G25" s="1493">
        <f t="shared" si="1"/>
        <v>27832.061239728337</v>
      </c>
      <c r="H25" s="1494">
        <f t="shared" si="2"/>
        <v>27832.1</v>
      </c>
      <c r="L25" s="46"/>
    </row>
    <row r="26" spans="1:12" x14ac:dyDescent="0.2">
      <c r="A26" s="209">
        <v>85</v>
      </c>
      <c r="B26" s="214" t="s">
        <v>105</v>
      </c>
      <c r="C26" s="211"/>
      <c r="D26" s="212"/>
      <c r="E26" s="1367"/>
      <c r="F26" s="1492">
        <v>2207.8590963653292</v>
      </c>
      <c r="G26" s="1493">
        <f t="shared" si="1"/>
        <v>2207.8590963653292</v>
      </c>
      <c r="H26" s="1494">
        <f t="shared" si="2"/>
        <v>2207.9</v>
      </c>
      <c r="L26" s="46"/>
    </row>
    <row r="27" spans="1:12" ht="13.5" thickBot="1" x14ac:dyDescent="0.25">
      <c r="A27" s="162">
        <v>92</v>
      </c>
      <c r="B27" s="215" t="s">
        <v>17</v>
      </c>
      <c r="C27" s="216"/>
      <c r="D27" s="217"/>
      <c r="E27" s="1368"/>
      <c r="F27" s="1495">
        <v>1669.9796230085244</v>
      </c>
      <c r="G27" s="1496">
        <f t="shared" si="1"/>
        <v>1669.9796230085244</v>
      </c>
      <c r="H27" s="1497">
        <f t="shared" si="2"/>
        <v>1670</v>
      </c>
      <c r="L27" s="46"/>
    </row>
    <row r="28" spans="1:12" ht="13.5" thickBot="1" x14ac:dyDescent="0.25">
      <c r="A28" s="218" t="s">
        <v>70</v>
      </c>
      <c r="B28" s="219"/>
      <c r="C28" s="220">
        <f t="shared" ref="C28:H28" si="3">SUM(C16:C27)</f>
        <v>1330362.8092391924</v>
      </c>
      <c r="D28" s="221">
        <f t="shared" si="3"/>
        <v>1</v>
      </c>
      <c r="E28" s="222">
        <f t="shared" si="3"/>
        <v>70019.095223115393</v>
      </c>
      <c r="F28" s="1370">
        <f t="shared" si="3"/>
        <v>442225.86456704448</v>
      </c>
      <c r="G28" s="1371">
        <f t="shared" si="3"/>
        <v>1842607.7690293523</v>
      </c>
      <c r="H28" s="1079">
        <f t="shared" si="3"/>
        <v>1842607.9</v>
      </c>
      <c r="L28" s="46"/>
    </row>
    <row r="29" spans="1:12" x14ac:dyDescent="0.2">
      <c r="A29" s="195"/>
      <c r="B29" s="165"/>
      <c r="C29" s="196"/>
      <c r="D29" s="196"/>
      <c r="E29" s="196"/>
      <c r="F29" s="196"/>
      <c r="G29" s="197"/>
      <c r="K29" s="120"/>
      <c r="L29" s="46"/>
    </row>
    <row r="30" spans="1:12" x14ac:dyDescent="0.2">
      <c r="F30" s="46" t="s">
        <v>720</v>
      </c>
    </row>
    <row r="31" spans="1:12" x14ac:dyDescent="0.2">
      <c r="C31" s="274"/>
    </row>
    <row r="43" spans="3:10" x14ac:dyDescent="0.2">
      <c r="I43" s="1077"/>
      <c r="J43" s="1077"/>
    </row>
    <row r="44" spans="3:10" x14ac:dyDescent="0.2">
      <c r="C44" s="120"/>
      <c r="D44" s="120"/>
      <c r="E44" s="120"/>
      <c r="F44" s="120"/>
      <c r="G44" s="120"/>
      <c r="I44" s="120"/>
      <c r="J44" s="120"/>
    </row>
    <row r="45" spans="3:10" x14ac:dyDescent="0.2">
      <c r="C45" s="120"/>
      <c r="D45" s="120"/>
      <c r="E45" s="120"/>
      <c r="F45" s="120"/>
      <c r="G45" s="120"/>
      <c r="I45" s="120"/>
      <c r="J45" s="120"/>
    </row>
    <row r="46" spans="3:10" x14ac:dyDescent="0.2">
      <c r="C46" s="120"/>
      <c r="D46" s="120"/>
      <c r="E46" s="120"/>
      <c r="F46" s="120"/>
      <c r="G46" s="120"/>
      <c r="I46" s="120"/>
      <c r="J46" s="120"/>
    </row>
    <row r="47" spans="3:10" x14ac:dyDescent="0.2">
      <c r="C47" s="120"/>
      <c r="D47" s="120"/>
      <c r="E47" s="120"/>
      <c r="F47" s="120"/>
      <c r="G47" s="120"/>
      <c r="I47" s="120"/>
      <c r="J47" s="120"/>
    </row>
    <row r="48" spans="3:10" x14ac:dyDescent="0.2">
      <c r="C48" s="120"/>
      <c r="D48" s="120"/>
      <c r="E48" s="120"/>
      <c r="F48" s="120"/>
      <c r="G48" s="120"/>
      <c r="I48" s="120"/>
      <c r="J48" s="120"/>
    </row>
    <row r="49" spans="3:10" x14ac:dyDescent="0.2">
      <c r="C49" s="120"/>
      <c r="D49" s="120"/>
      <c r="E49" s="120"/>
      <c r="F49" s="120"/>
      <c r="G49" s="120"/>
      <c r="I49" s="120"/>
      <c r="J49" s="120"/>
    </row>
    <row r="50" spans="3:10" x14ac:dyDescent="0.2">
      <c r="C50" s="120"/>
      <c r="D50" s="120"/>
      <c r="E50" s="120"/>
      <c r="F50" s="120"/>
      <c r="G50" s="120"/>
      <c r="I50" s="120"/>
      <c r="J50" s="120"/>
    </row>
    <row r="51" spans="3:10" x14ac:dyDescent="0.2">
      <c r="C51" s="120"/>
      <c r="D51" s="120"/>
      <c r="E51" s="120"/>
      <c r="F51" s="120"/>
      <c r="G51" s="120"/>
      <c r="I51" s="120"/>
      <c r="J51" s="120"/>
    </row>
    <row r="52" spans="3:10" x14ac:dyDescent="0.2">
      <c r="C52" s="120"/>
      <c r="D52" s="120"/>
      <c r="E52" s="120"/>
      <c r="F52" s="120"/>
      <c r="G52" s="120"/>
      <c r="I52" s="120"/>
      <c r="J52" s="120"/>
    </row>
    <row r="53" spans="3:10" x14ac:dyDescent="0.2">
      <c r="C53" s="120"/>
      <c r="D53" s="120"/>
      <c r="E53" s="120"/>
      <c r="F53" s="120"/>
      <c r="G53" s="120"/>
      <c r="I53" s="120"/>
      <c r="J53" s="120"/>
    </row>
    <row r="54" spans="3:10" x14ac:dyDescent="0.2">
      <c r="C54" s="120"/>
      <c r="D54" s="120"/>
      <c r="E54" s="120"/>
      <c r="F54" s="120"/>
      <c r="G54" s="120"/>
      <c r="I54" s="120"/>
      <c r="J54" s="120"/>
    </row>
    <row r="55" spans="3:10" x14ac:dyDescent="0.2">
      <c r="C55" s="120"/>
      <c r="D55" s="120"/>
      <c r="E55" s="120"/>
      <c r="F55" s="120"/>
      <c r="G55" s="120"/>
      <c r="I55" s="120"/>
      <c r="J55" s="120"/>
    </row>
  </sheetData>
  <mergeCells count="2">
    <mergeCell ref="A2:M2"/>
    <mergeCell ref="A14:B15"/>
  </mergeCells>
  <phoneticPr fontId="0" type="noConversion"/>
  <pageMargins left="0.70866141732283472" right="0.27559055118110237" top="0.6692913385826772" bottom="0.62992125984251968" header="0.51181102362204722" footer="0.31496062992125984"/>
  <pageSetup paperSize="9" scale="85" orientation="landscape" r:id="rId1"/>
  <headerFooter alignWithMargins="0">
    <oddFooter>&amp;C&amp;9&amp;P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workbookViewId="0">
      <selection sqref="A1:D1"/>
    </sheetView>
  </sheetViews>
  <sheetFormatPr defaultColWidth="8.7109375" defaultRowHeight="12.75" x14ac:dyDescent="0.2"/>
  <cols>
    <col min="1" max="1" width="8.28515625" style="46" customWidth="1"/>
    <col min="2" max="2" width="5.5703125" style="46" customWidth="1"/>
    <col min="3" max="3" width="6.28515625" style="46" customWidth="1"/>
    <col min="4" max="4" width="6.85546875" style="46" customWidth="1"/>
    <col min="5" max="5" width="23" style="46" customWidth="1"/>
    <col min="6" max="6" width="3.7109375" style="617" bestFit="1" customWidth="1"/>
    <col min="7" max="7" width="43.7109375" style="611" customWidth="1"/>
    <col min="8" max="8" width="10" style="46" customWidth="1"/>
    <col min="9" max="9" width="5.140625" style="46" hidden="1" customWidth="1"/>
    <col min="10" max="10" width="7.5703125" style="61" hidden="1" customWidth="1"/>
    <col min="11" max="14" width="8" style="61" customWidth="1"/>
    <col min="15" max="15" width="8.140625" style="61" customWidth="1"/>
    <col min="16" max="16" width="10.140625" style="58" customWidth="1"/>
    <col min="17" max="17" width="3.85546875" style="46" customWidth="1"/>
    <col min="18" max="16384" width="8.7109375" style="46"/>
  </cols>
  <sheetData>
    <row r="1" spans="1:19" ht="15.75" customHeight="1" x14ac:dyDescent="0.25">
      <c r="A1" s="1637" t="s">
        <v>686</v>
      </c>
      <c r="B1" s="1633"/>
      <c r="C1" s="1633"/>
      <c r="D1" s="1638"/>
      <c r="E1" s="1396"/>
      <c r="F1" s="540"/>
      <c r="G1" s="541"/>
      <c r="H1" s="542" t="s">
        <v>42</v>
      </c>
      <c r="I1" s="543" t="s">
        <v>43</v>
      </c>
      <c r="J1" s="544" t="s">
        <v>81</v>
      </c>
      <c r="K1" s="1639" t="s">
        <v>108</v>
      </c>
      <c r="L1" s="1640"/>
      <c r="M1" s="1640"/>
      <c r="N1" s="1640"/>
      <c r="O1" s="1641"/>
      <c r="P1" s="545" t="s">
        <v>44</v>
      </c>
    </row>
    <row r="2" spans="1:19" ht="13.5" thickBot="1" x14ac:dyDescent="0.25">
      <c r="A2" s="546" t="s">
        <v>550</v>
      </c>
      <c r="B2" s="547"/>
      <c r="C2" s="547"/>
      <c r="D2" s="1642" t="s">
        <v>687</v>
      </c>
      <c r="E2" s="1643"/>
      <c r="F2" s="548" t="s">
        <v>34</v>
      </c>
      <c r="G2" s="549" t="s">
        <v>36</v>
      </c>
      <c r="H2" s="550">
        <v>2017</v>
      </c>
      <c r="I2" s="551" t="s">
        <v>26</v>
      </c>
      <c r="J2" s="552" t="s">
        <v>109</v>
      </c>
      <c r="K2" s="1476" t="s">
        <v>110</v>
      </c>
      <c r="L2" s="553" t="s">
        <v>111</v>
      </c>
      <c r="M2" s="553" t="s">
        <v>112</v>
      </c>
      <c r="N2" s="1477" t="s">
        <v>142</v>
      </c>
      <c r="O2" s="552" t="s">
        <v>113</v>
      </c>
      <c r="P2" s="554">
        <v>2016</v>
      </c>
    </row>
    <row r="3" spans="1:19" ht="13.5" thickBot="1" x14ac:dyDescent="0.25">
      <c r="A3" s="555" t="s">
        <v>551</v>
      </c>
      <c r="B3" s="556"/>
      <c r="C3" s="556"/>
      <c r="D3" s="556"/>
      <c r="E3" s="556"/>
      <c r="F3" s="557">
        <v>1</v>
      </c>
      <c r="G3" s="558"/>
      <c r="H3" s="476">
        <f t="shared" ref="H3:P3" si="0">H4+SUM(H18:H27)</f>
        <v>0</v>
      </c>
      <c r="I3" s="559">
        <f t="shared" si="0"/>
        <v>0</v>
      </c>
      <c r="J3" s="560">
        <f t="shared" si="0"/>
        <v>0</v>
      </c>
      <c r="K3" s="561">
        <f t="shared" si="0"/>
        <v>0</v>
      </c>
      <c r="L3" s="561">
        <f t="shared" si="0"/>
        <v>0</v>
      </c>
      <c r="M3" s="561">
        <f t="shared" si="0"/>
        <v>0</v>
      </c>
      <c r="N3" s="561">
        <f t="shared" si="0"/>
        <v>0</v>
      </c>
      <c r="O3" s="560">
        <f t="shared" si="0"/>
        <v>0</v>
      </c>
      <c r="P3" s="562">
        <f t="shared" si="0"/>
        <v>0</v>
      </c>
    </row>
    <row r="4" spans="1:19" s="61" customFormat="1" ht="25.5" customHeight="1" x14ac:dyDescent="0.2">
      <c r="A4" s="962" t="s">
        <v>45</v>
      </c>
      <c r="B4" s="963" t="s">
        <v>114</v>
      </c>
      <c r="C4" s="963"/>
      <c r="D4" s="963"/>
      <c r="E4" s="963"/>
      <c r="F4" s="964">
        <f>F3+1</f>
        <v>2</v>
      </c>
      <c r="G4" s="965" t="s">
        <v>688</v>
      </c>
      <c r="H4" s="966">
        <f>SUM(H5:H15)</f>
        <v>0</v>
      </c>
      <c r="I4" s="967">
        <f t="shared" ref="I4:P4" si="1">SUM(I5:I15)</f>
        <v>0</v>
      </c>
      <c r="J4" s="967">
        <f t="shared" si="1"/>
        <v>0</v>
      </c>
      <c r="K4" s="968">
        <f t="shared" si="1"/>
        <v>0</v>
      </c>
      <c r="L4" s="968">
        <f t="shared" si="1"/>
        <v>0</v>
      </c>
      <c r="M4" s="968">
        <f t="shared" si="1"/>
        <v>0</v>
      </c>
      <c r="N4" s="968">
        <f t="shared" si="1"/>
        <v>0</v>
      </c>
      <c r="O4" s="967">
        <f t="shared" si="1"/>
        <v>0</v>
      </c>
      <c r="P4" s="969">
        <f t="shared" si="1"/>
        <v>0</v>
      </c>
    </row>
    <row r="5" spans="1:19" s="270" customFormat="1" x14ac:dyDescent="0.2">
      <c r="A5" s="564"/>
      <c r="B5" s="535"/>
      <c r="C5" s="535" t="s">
        <v>46</v>
      </c>
      <c r="D5" s="565" t="s">
        <v>47</v>
      </c>
      <c r="E5" s="565"/>
      <c r="F5" s="566">
        <f t="shared" ref="F5:F27" si="2">F4+1</f>
        <v>3</v>
      </c>
      <c r="G5" s="567"/>
      <c r="H5" s="568"/>
      <c r="I5" s="569"/>
      <c r="J5" s="570"/>
      <c r="K5" s="570"/>
      <c r="L5" s="571"/>
      <c r="M5" s="571"/>
      <c r="N5" s="571"/>
      <c r="O5" s="569"/>
      <c r="P5" s="572"/>
    </row>
    <row r="6" spans="1:19" s="270" customFormat="1" x14ac:dyDescent="0.2">
      <c r="A6" s="564"/>
      <c r="B6" s="535"/>
      <c r="C6" s="535"/>
      <c r="D6" s="565" t="s">
        <v>48</v>
      </c>
      <c r="E6" s="565"/>
      <c r="F6" s="566">
        <f t="shared" si="2"/>
        <v>4</v>
      </c>
      <c r="G6" s="567"/>
      <c r="H6" s="568"/>
      <c r="I6" s="569"/>
      <c r="J6" s="570"/>
      <c r="K6" s="570"/>
      <c r="L6" s="571"/>
      <c r="M6" s="571"/>
      <c r="N6" s="571"/>
      <c r="O6" s="569"/>
      <c r="P6" s="572"/>
    </row>
    <row r="7" spans="1:19" s="270" customFormat="1" x14ac:dyDescent="0.2">
      <c r="A7" s="564"/>
      <c r="B7" s="535"/>
      <c r="C7" s="535"/>
      <c r="D7" s="565" t="s">
        <v>130</v>
      </c>
      <c r="E7" s="565"/>
      <c r="F7" s="566">
        <f t="shared" si="2"/>
        <v>5</v>
      </c>
      <c r="G7" s="567"/>
      <c r="H7" s="568"/>
      <c r="I7" s="569"/>
      <c r="J7" s="570"/>
      <c r="K7" s="570"/>
      <c r="L7" s="571"/>
      <c r="M7" s="571"/>
      <c r="N7" s="571"/>
      <c r="O7" s="569"/>
      <c r="P7" s="572"/>
    </row>
    <row r="8" spans="1:19" s="270" customFormat="1" x14ac:dyDescent="0.2">
      <c r="A8" s="564"/>
      <c r="B8" s="535"/>
      <c r="C8" s="535"/>
      <c r="D8" s="565" t="s">
        <v>49</v>
      </c>
      <c r="E8" s="565"/>
      <c r="F8" s="566">
        <f t="shared" si="2"/>
        <v>6</v>
      </c>
      <c r="G8" s="567"/>
      <c r="H8" s="568"/>
      <c r="I8" s="569"/>
      <c r="J8" s="570"/>
      <c r="K8" s="570"/>
      <c r="L8" s="571"/>
      <c r="M8" s="571"/>
      <c r="N8" s="571"/>
      <c r="O8" s="569"/>
      <c r="P8" s="572"/>
    </row>
    <row r="9" spans="1:19" s="270" customFormat="1" x14ac:dyDescent="0.2">
      <c r="A9" s="564"/>
      <c r="B9" s="535"/>
      <c r="C9" s="535"/>
      <c r="D9" s="565" t="s">
        <v>50</v>
      </c>
      <c r="E9" s="565"/>
      <c r="F9" s="566">
        <f t="shared" si="2"/>
        <v>7</v>
      </c>
      <c r="G9" s="567"/>
      <c r="H9" s="568"/>
      <c r="I9" s="569"/>
      <c r="J9" s="570"/>
      <c r="K9" s="570"/>
      <c r="L9" s="571"/>
      <c r="M9" s="571"/>
      <c r="N9" s="571"/>
      <c r="O9" s="569"/>
      <c r="P9" s="572"/>
    </row>
    <row r="10" spans="1:19" s="270" customFormat="1" x14ac:dyDescent="0.2">
      <c r="A10" s="564"/>
      <c r="B10" s="535"/>
      <c r="C10" s="535"/>
      <c r="D10" s="565" t="s">
        <v>51</v>
      </c>
      <c r="E10" s="565"/>
      <c r="F10" s="566">
        <f t="shared" si="2"/>
        <v>8</v>
      </c>
      <c r="G10" s="567"/>
      <c r="H10" s="568"/>
      <c r="I10" s="569"/>
      <c r="J10" s="570"/>
      <c r="K10" s="570"/>
      <c r="L10" s="571"/>
      <c r="M10" s="571"/>
      <c r="N10" s="571"/>
      <c r="O10" s="569"/>
      <c r="P10" s="572"/>
      <c r="R10" s="573"/>
      <c r="S10" s="573"/>
    </row>
    <row r="11" spans="1:19" s="270" customFormat="1" x14ac:dyDescent="0.2">
      <c r="A11" s="564"/>
      <c r="B11" s="535"/>
      <c r="C11" s="535"/>
      <c r="D11" s="565" t="s">
        <v>52</v>
      </c>
      <c r="E11" s="565"/>
      <c r="F11" s="566">
        <f t="shared" si="2"/>
        <v>9</v>
      </c>
      <c r="G11" s="567"/>
      <c r="H11" s="568"/>
      <c r="I11" s="569"/>
      <c r="J11" s="570"/>
      <c r="K11" s="570"/>
      <c r="L11" s="571"/>
      <c r="M11" s="571"/>
      <c r="N11" s="571"/>
      <c r="O11" s="569"/>
      <c r="P11" s="572"/>
      <c r="R11" s="573"/>
      <c r="S11" s="573"/>
    </row>
    <row r="12" spans="1:19" s="270" customFormat="1" x14ac:dyDescent="0.2">
      <c r="A12" s="564"/>
      <c r="B12" s="535"/>
      <c r="C12" s="535"/>
      <c r="D12" s="565" t="s">
        <v>53</v>
      </c>
      <c r="E12" s="565"/>
      <c r="F12" s="566">
        <f t="shared" si="2"/>
        <v>10</v>
      </c>
      <c r="G12" s="567"/>
      <c r="H12" s="568"/>
      <c r="I12" s="569"/>
      <c r="J12" s="570"/>
      <c r="K12" s="570"/>
      <c r="L12" s="571"/>
      <c r="M12" s="571"/>
      <c r="N12" s="571"/>
      <c r="O12" s="569"/>
      <c r="P12" s="572"/>
    </row>
    <row r="13" spans="1:19" s="270" customFormat="1" x14ac:dyDescent="0.2">
      <c r="A13" s="564"/>
      <c r="B13" s="535"/>
      <c r="C13" s="535"/>
      <c r="D13" s="565" t="s">
        <v>23</v>
      </c>
      <c r="E13" s="565"/>
      <c r="F13" s="566">
        <f t="shared" si="2"/>
        <v>11</v>
      </c>
      <c r="G13" s="567"/>
      <c r="H13" s="568"/>
      <c r="I13" s="569"/>
      <c r="J13" s="570"/>
      <c r="K13" s="570"/>
      <c r="L13" s="571"/>
      <c r="M13" s="571"/>
      <c r="N13" s="571"/>
      <c r="O13" s="569"/>
      <c r="P13" s="572"/>
    </row>
    <row r="14" spans="1:19" s="270" customFormat="1" x14ac:dyDescent="0.2">
      <c r="A14" s="564"/>
      <c r="B14" s="535"/>
      <c r="C14" s="535"/>
      <c r="D14" s="565" t="s">
        <v>54</v>
      </c>
      <c r="E14" s="565"/>
      <c r="F14" s="566">
        <f>F13+1</f>
        <v>12</v>
      </c>
      <c r="G14" s="567"/>
      <c r="H14" s="568"/>
      <c r="I14" s="569"/>
      <c r="J14" s="570"/>
      <c r="K14" s="570"/>
      <c r="L14" s="571"/>
      <c r="M14" s="571"/>
      <c r="N14" s="571"/>
      <c r="O14" s="569"/>
      <c r="P14" s="572"/>
    </row>
    <row r="15" spans="1:19" s="270" customFormat="1" x14ac:dyDescent="0.2">
      <c r="A15" s="564"/>
      <c r="B15" s="535"/>
      <c r="C15" s="565"/>
      <c r="D15" s="565" t="s">
        <v>20</v>
      </c>
      <c r="E15" s="565"/>
      <c r="F15" s="566">
        <f t="shared" si="2"/>
        <v>13</v>
      </c>
      <c r="G15" s="567"/>
      <c r="H15" s="568"/>
      <c r="I15" s="569"/>
      <c r="J15" s="570"/>
      <c r="K15" s="570"/>
      <c r="L15" s="571"/>
      <c r="M15" s="571"/>
      <c r="N15" s="571"/>
      <c r="O15" s="569"/>
      <c r="P15" s="572"/>
    </row>
    <row r="16" spans="1:19" s="293" customFormat="1" ht="12" hidden="1" x14ac:dyDescent="0.2">
      <c r="A16" s="574"/>
      <c r="B16" s="575"/>
      <c r="C16" s="576"/>
      <c r="D16" s="576"/>
      <c r="E16" s="576" t="s">
        <v>160</v>
      </c>
      <c r="F16" s="566" t="s">
        <v>552</v>
      </c>
      <c r="G16" s="577"/>
      <c r="H16" s="578"/>
      <c r="I16" s="579"/>
      <c r="J16" s="580"/>
      <c r="K16" s="580"/>
      <c r="L16" s="581"/>
      <c r="M16" s="581"/>
      <c r="N16" s="581"/>
      <c r="O16" s="579"/>
      <c r="P16" s="572"/>
    </row>
    <row r="17" spans="1:16" s="293" customFormat="1" ht="12" hidden="1" x14ac:dyDescent="0.2">
      <c r="A17" s="574"/>
      <c r="B17" s="575"/>
      <c r="C17" s="986"/>
      <c r="D17" s="986"/>
      <c r="E17" s="986" t="s">
        <v>176</v>
      </c>
      <c r="F17" s="987" t="s">
        <v>553</v>
      </c>
      <c r="G17" s="988"/>
      <c r="H17" s="989"/>
      <c r="I17" s="990"/>
      <c r="J17" s="991"/>
      <c r="K17" s="991"/>
      <c r="L17" s="992"/>
      <c r="M17" s="992"/>
      <c r="N17" s="992"/>
      <c r="O17" s="990"/>
      <c r="P17" s="993"/>
    </row>
    <row r="18" spans="1:16" s="61" customFormat="1" x14ac:dyDescent="0.2">
      <c r="A18" s="563"/>
      <c r="B18" s="994" t="s">
        <v>55</v>
      </c>
      <c r="C18" s="994"/>
      <c r="D18" s="994"/>
      <c r="E18" s="994"/>
      <c r="F18" s="995">
        <f>F15+1</f>
        <v>14</v>
      </c>
      <c r="G18" s="996" t="s">
        <v>56</v>
      </c>
      <c r="H18" s="997"/>
      <c r="I18" s="998"/>
      <c r="J18" s="999"/>
      <c r="K18" s="999"/>
      <c r="L18" s="1478"/>
      <c r="M18" s="1478"/>
      <c r="N18" s="1478"/>
      <c r="O18" s="998"/>
      <c r="P18" s="1000"/>
    </row>
    <row r="19" spans="1:16" s="61" customFormat="1" x14ac:dyDescent="0.2">
      <c r="A19" s="563"/>
      <c r="B19" s="103" t="s">
        <v>57</v>
      </c>
      <c r="C19" s="95"/>
      <c r="D19" s="95"/>
      <c r="E19" s="95"/>
      <c r="F19" s="566">
        <f t="shared" si="2"/>
        <v>15</v>
      </c>
      <c r="G19" s="583" t="s">
        <v>58</v>
      </c>
      <c r="H19" s="584"/>
      <c r="I19" s="585"/>
      <c r="J19" s="586"/>
      <c r="K19" s="586"/>
      <c r="L19" s="587"/>
      <c r="M19" s="587"/>
      <c r="N19" s="587"/>
      <c r="O19" s="585"/>
      <c r="P19" s="588"/>
    </row>
    <row r="20" spans="1:16" s="61" customFormat="1" x14ac:dyDescent="0.2">
      <c r="A20" s="563"/>
      <c r="B20" s="589" t="s">
        <v>59</v>
      </c>
      <c r="C20" s="590"/>
      <c r="D20" s="590"/>
      <c r="E20" s="590"/>
      <c r="F20" s="566">
        <f t="shared" si="2"/>
        <v>16</v>
      </c>
      <c r="G20" s="591" t="s">
        <v>491</v>
      </c>
      <c r="H20" s="584"/>
      <c r="I20" s="585"/>
      <c r="J20" s="586"/>
      <c r="K20" s="586"/>
      <c r="L20" s="587"/>
      <c r="M20" s="587"/>
      <c r="N20" s="587"/>
      <c r="O20" s="585"/>
      <c r="P20" s="588"/>
    </row>
    <row r="21" spans="1:16" s="61" customFormat="1" x14ac:dyDescent="0.2">
      <c r="A21" s="563"/>
      <c r="B21" s="589" t="s">
        <v>60</v>
      </c>
      <c r="C21" s="589"/>
      <c r="D21" s="589"/>
      <c r="E21" s="590"/>
      <c r="F21" s="566">
        <f t="shared" si="2"/>
        <v>17</v>
      </c>
      <c r="G21" s="592" t="s">
        <v>115</v>
      </c>
      <c r="H21" s="584"/>
      <c r="I21" s="585"/>
      <c r="J21" s="586"/>
      <c r="K21" s="586"/>
      <c r="L21" s="587"/>
      <c r="M21" s="587"/>
      <c r="N21" s="587"/>
      <c r="O21" s="585"/>
      <c r="P21" s="588"/>
    </row>
    <row r="22" spans="1:16" s="61" customFormat="1" x14ac:dyDescent="0.2">
      <c r="A22" s="563"/>
      <c r="B22" s="589" t="s">
        <v>554</v>
      </c>
      <c r="C22" s="589"/>
      <c r="D22" s="589"/>
      <c r="E22" s="590"/>
      <c r="F22" s="566">
        <f t="shared" si="2"/>
        <v>18</v>
      </c>
      <c r="G22" s="592" t="s">
        <v>116</v>
      </c>
      <c r="H22" s="584"/>
      <c r="I22" s="585"/>
      <c r="J22" s="586"/>
      <c r="K22" s="586"/>
      <c r="L22" s="587"/>
      <c r="M22" s="587"/>
      <c r="N22" s="587"/>
      <c r="O22" s="585"/>
      <c r="P22" s="588"/>
    </row>
    <row r="23" spans="1:16" s="61" customFormat="1" x14ac:dyDescent="0.2">
      <c r="A23" s="563"/>
      <c r="B23" s="589" t="s">
        <v>128</v>
      </c>
      <c r="C23" s="589"/>
      <c r="D23" s="589"/>
      <c r="E23" s="590"/>
      <c r="F23" s="566">
        <f>F22+1</f>
        <v>19</v>
      </c>
      <c r="G23" s="592" t="s">
        <v>61</v>
      </c>
      <c r="H23" s="584"/>
      <c r="I23" s="585"/>
      <c r="J23" s="585"/>
      <c r="K23" s="587"/>
      <c r="L23" s="587"/>
      <c r="M23" s="587"/>
      <c r="N23" s="587"/>
      <c r="O23" s="585"/>
      <c r="P23" s="588"/>
    </row>
    <row r="24" spans="1:16" s="61" customFormat="1" x14ac:dyDescent="0.2">
      <c r="A24" s="563"/>
      <c r="B24" s="589" t="s">
        <v>62</v>
      </c>
      <c r="C24" s="589"/>
      <c r="D24" s="589"/>
      <c r="E24" s="590"/>
      <c r="F24" s="566">
        <f t="shared" si="2"/>
        <v>20</v>
      </c>
      <c r="G24" s="970" t="s">
        <v>689</v>
      </c>
      <c r="H24" s="584"/>
      <c r="I24" s="585"/>
      <c r="J24" s="585"/>
      <c r="K24" s="587"/>
      <c r="L24" s="587"/>
      <c r="M24" s="587"/>
      <c r="N24" s="587"/>
      <c r="O24" s="585"/>
      <c r="P24" s="588"/>
    </row>
    <row r="25" spans="1:16" s="61" customFormat="1" x14ac:dyDescent="0.2">
      <c r="A25" s="563"/>
      <c r="B25" s="589" t="s">
        <v>187</v>
      </c>
      <c r="C25" s="589"/>
      <c r="D25" s="589"/>
      <c r="E25" s="590"/>
      <c r="F25" s="566">
        <f t="shared" si="2"/>
        <v>21</v>
      </c>
      <c r="G25" s="592" t="s">
        <v>690</v>
      </c>
      <c r="H25" s="584"/>
      <c r="I25" s="585"/>
      <c r="J25" s="585"/>
      <c r="K25" s="587"/>
      <c r="L25" s="587"/>
      <c r="M25" s="587"/>
      <c r="N25" s="587"/>
      <c r="O25" s="585"/>
      <c r="P25" s="588"/>
    </row>
    <row r="26" spans="1:16" s="61" customFormat="1" x14ac:dyDescent="0.2">
      <c r="A26" s="563"/>
      <c r="B26" s="589" t="s">
        <v>129</v>
      </c>
      <c r="C26" s="589"/>
      <c r="D26" s="589"/>
      <c r="E26" s="590"/>
      <c r="F26" s="566">
        <f t="shared" si="2"/>
        <v>22</v>
      </c>
      <c r="G26" s="592" t="s">
        <v>118</v>
      </c>
      <c r="H26" s="584"/>
      <c r="I26" s="585"/>
      <c r="J26" s="585"/>
      <c r="K26" s="587"/>
      <c r="L26" s="587"/>
      <c r="M26" s="587"/>
      <c r="N26" s="587"/>
      <c r="O26" s="585"/>
      <c r="P26" s="588"/>
    </row>
    <row r="27" spans="1:16" s="61" customFormat="1" ht="13.5" thickBot="1" x14ac:dyDescent="0.25">
      <c r="A27" s="563"/>
      <c r="B27" s="103" t="s">
        <v>63</v>
      </c>
      <c r="C27" s="103"/>
      <c r="D27" s="103"/>
      <c r="E27" s="95"/>
      <c r="F27" s="566">
        <f t="shared" si="2"/>
        <v>23</v>
      </c>
      <c r="G27" s="593" t="s">
        <v>64</v>
      </c>
      <c r="H27" s="584"/>
      <c r="I27" s="585"/>
      <c r="J27" s="585"/>
      <c r="K27" s="587"/>
      <c r="L27" s="587"/>
      <c r="M27" s="587"/>
      <c r="N27" s="587"/>
      <c r="O27" s="585"/>
      <c r="P27" s="588"/>
    </row>
    <row r="28" spans="1:16" ht="13.5" thickBot="1" x14ac:dyDescent="0.25">
      <c r="A28" s="594" t="s">
        <v>555</v>
      </c>
      <c r="B28" s="595"/>
      <c r="C28" s="595"/>
      <c r="D28" s="595"/>
      <c r="E28" s="595"/>
      <c r="F28" s="557">
        <f>F27+1</f>
        <v>24</v>
      </c>
      <c r="G28" s="596"/>
      <c r="H28" s="476">
        <f>SUM(H29:H43)</f>
        <v>0</v>
      </c>
      <c r="I28" s="559">
        <f t="shared" ref="I28:P28" si="3">SUM(I29:I43)</f>
        <v>0</v>
      </c>
      <c r="J28" s="560">
        <f t="shared" si="3"/>
        <v>0</v>
      </c>
      <c r="K28" s="561">
        <f t="shared" si="3"/>
        <v>0</v>
      </c>
      <c r="L28" s="561">
        <f t="shared" si="3"/>
        <v>0</v>
      </c>
      <c r="M28" s="561">
        <f t="shared" si="3"/>
        <v>0</v>
      </c>
      <c r="N28" s="561">
        <f t="shared" si="3"/>
        <v>0</v>
      </c>
      <c r="O28" s="560">
        <f t="shared" si="3"/>
        <v>0</v>
      </c>
      <c r="P28" s="562">
        <f t="shared" si="3"/>
        <v>0</v>
      </c>
    </row>
    <row r="29" spans="1:16" s="61" customFormat="1" x14ac:dyDescent="0.2">
      <c r="A29" s="563" t="s">
        <v>45</v>
      </c>
      <c r="B29" s="95" t="s">
        <v>119</v>
      </c>
      <c r="C29" s="95"/>
      <c r="D29" s="95"/>
      <c r="E29" s="95"/>
      <c r="F29" s="582">
        <f>F28+1</f>
        <v>25</v>
      </c>
      <c r="G29" s="583" t="s">
        <v>65</v>
      </c>
      <c r="H29" s="1479"/>
      <c r="I29" s="1480"/>
      <c r="J29" s="1480"/>
      <c r="K29" s="1481"/>
      <c r="L29" s="1481"/>
      <c r="M29" s="1481"/>
      <c r="N29" s="1481"/>
      <c r="O29" s="1480"/>
      <c r="P29" s="1482"/>
    </row>
    <row r="30" spans="1:16" s="61" customFormat="1" x14ac:dyDescent="0.2">
      <c r="A30" s="563"/>
      <c r="B30" s="103" t="s">
        <v>55</v>
      </c>
      <c r="C30" s="103"/>
      <c r="D30" s="103"/>
      <c r="E30" s="95"/>
      <c r="F30" s="582">
        <f>F29+1</f>
        <v>26</v>
      </c>
      <c r="G30" s="593" t="s">
        <v>56</v>
      </c>
      <c r="H30" s="584"/>
      <c r="I30" s="1483"/>
      <c r="J30" s="1483"/>
      <c r="K30" s="1484"/>
      <c r="L30" s="1484"/>
      <c r="M30" s="1484"/>
      <c r="N30" s="1484"/>
      <c r="O30" s="1483"/>
      <c r="P30" s="1485"/>
    </row>
    <row r="31" spans="1:16" s="61" customFormat="1" x14ac:dyDescent="0.2">
      <c r="A31" s="563"/>
      <c r="B31" s="103" t="s">
        <v>57</v>
      </c>
      <c r="C31" s="103"/>
      <c r="D31" s="103"/>
      <c r="E31" s="95"/>
      <c r="F31" s="582">
        <f t="shared" ref="F31:F42" si="4">F30+1</f>
        <v>27</v>
      </c>
      <c r="G31" s="593" t="s">
        <v>58</v>
      </c>
      <c r="H31" s="584"/>
      <c r="I31" s="1483"/>
      <c r="J31" s="1483"/>
      <c r="K31" s="1484"/>
      <c r="L31" s="1484"/>
      <c r="M31" s="1484"/>
      <c r="N31" s="1484"/>
      <c r="O31" s="1483"/>
      <c r="P31" s="1485"/>
    </row>
    <row r="32" spans="1:16" s="61" customFormat="1" x14ac:dyDescent="0.2">
      <c r="A32" s="563"/>
      <c r="B32" s="589" t="s">
        <v>59</v>
      </c>
      <c r="C32" s="590"/>
      <c r="D32" s="590"/>
      <c r="E32" s="590"/>
      <c r="F32" s="582">
        <f t="shared" si="4"/>
        <v>28</v>
      </c>
      <c r="G32" s="591" t="s">
        <v>492</v>
      </c>
      <c r="H32" s="584"/>
      <c r="I32" s="1483"/>
      <c r="J32" s="1483"/>
      <c r="K32" s="1484"/>
      <c r="L32" s="1484"/>
      <c r="M32" s="1484"/>
      <c r="N32" s="1484"/>
      <c r="O32" s="1483"/>
      <c r="P32" s="1485"/>
    </row>
    <row r="33" spans="1:16" s="61" customFormat="1" x14ac:dyDescent="0.2">
      <c r="A33" s="563"/>
      <c r="B33" s="589" t="s">
        <v>120</v>
      </c>
      <c r="C33" s="589"/>
      <c r="D33" s="589"/>
      <c r="E33" s="590"/>
      <c r="F33" s="582">
        <f t="shared" si="4"/>
        <v>29</v>
      </c>
      <c r="G33" s="592" t="s">
        <v>493</v>
      </c>
      <c r="H33" s="584"/>
      <c r="I33" s="1483"/>
      <c r="J33" s="1483"/>
      <c r="K33" s="1484"/>
      <c r="L33" s="1484"/>
      <c r="M33" s="1484"/>
      <c r="N33" s="1484"/>
      <c r="O33" s="1483"/>
      <c r="P33" s="1485"/>
    </row>
    <row r="34" spans="1:16" s="61" customFormat="1" x14ac:dyDescent="0.2">
      <c r="A34" s="563"/>
      <c r="B34" s="589" t="s">
        <v>60</v>
      </c>
      <c r="C34" s="589"/>
      <c r="D34" s="589"/>
      <c r="E34" s="590"/>
      <c r="F34" s="582">
        <f t="shared" si="4"/>
        <v>30</v>
      </c>
      <c r="G34" s="592" t="s">
        <v>115</v>
      </c>
      <c r="H34" s="584"/>
      <c r="I34" s="1483"/>
      <c r="J34" s="1483"/>
      <c r="K34" s="1484"/>
      <c r="L34" s="1484"/>
      <c r="M34" s="1484"/>
      <c r="N34" s="1484"/>
      <c r="O34" s="1483"/>
      <c r="P34" s="1485"/>
    </row>
    <row r="35" spans="1:16" s="61" customFormat="1" x14ac:dyDescent="0.2">
      <c r="A35" s="563"/>
      <c r="B35" s="589" t="s">
        <v>554</v>
      </c>
      <c r="C35" s="589"/>
      <c r="D35" s="589"/>
      <c r="E35" s="590"/>
      <c r="F35" s="582">
        <f t="shared" si="4"/>
        <v>31</v>
      </c>
      <c r="G35" s="592" t="s">
        <v>116</v>
      </c>
      <c r="H35" s="584"/>
      <c r="I35" s="1483"/>
      <c r="J35" s="1483"/>
      <c r="K35" s="1484"/>
      <c r="L35" s="1484"/>
      <c r="M35" s="1484"/>
      <c r="N35" s="1484"/>
      <c r="O35" s="1483"/>
      <c r="P35" s="1485"/>
    </row>
    <row r="36" spans="1:16" s="61" customFormat="1" x14ac:dyDescent="0.2">
      <c r="A36" s="563"/>
      <c r="B36" s="589" t="s">
        <v>121</v>
      </c>
      <c r="C36" s="589"/>
      <c r="D36" s="589"/>
      <c r="E36" s="590"/>
      <c r="F36" s="582">
        <f t="shared" si="4"/>
        <v>32</v>
      </c>
      <c r="G36" s="592" t="s">
        <v>61</v>
      </c>
      <c r="H36" s="584"/>
      <c r="I36" s="1483"/>
      <c r="J36" s="1483"/>
      <c r="K36" s="1484"/>
      <c r="L36" s="1484"/>
      <c r="M36" s="1484"/>
      <c r="N36" s="1484"/>
      <c r="O36" s="1483"/>
      <c r="P36" s="1485"/>
    </row>
    <row r="37" spans="1:16" s="61" customFormat="1" x14ac:dyDescent="0.2">
      <c r="A37" s="563"/>
      <c r="B37" s="589" t="s">
        <v>159</v>
      </c>
      <c r="C37" s="589"/>
      <c r="D37" s="589"/>
      <c r="E37" s="590"/>
      <c r="F37" s="582">
        <f t="shared" si="4"/>
        <v>33</v>
      </c>
      <c r="G37" s="592">
        <v>2112</v>
      </c>
      <c r="H37" s="584"/>
      <c r="I37" s="1483"/>
      <c r="J37" s="1483"/>
      <c r="K37" s="1484"/>
      <c r="L37" s="1484"/>
      <c r="M37" s="1484"/>
      <c r="N37" s="1484"/>
      <c r="O37" s="1483"/>
      <c r="P37" s="1485"/>
    </row>
    <row r="38" spans="1:16" s="61" customFormat="1" x14ac:dyDescent="0.2">
      <c r="A38" s="563"/>
      <c r="B38" s="589" t="s">
        <v>122</v>
      </c>
      <c r="C38" s="589"/>
      <c r="D38" s="589"/>
      <c r="E38" s="590"/>
      <c r="F38" s="582">
        <f t="shared" si="4"/>
        <v>34</v>
      </c>
      <c r="G38" s="592" t="s">
        <v>691</v>
      </c>
      <c r="H38" s="584"/>
      <c r="I38" s="1483"/>
      <c r="J38" s="1483"/>
      <c r="K38" s="1484"/>
      <c r="L38" s="1484"/>
      <c r="M38" s="1484"/>
      <c r="N38" s="1484"/>
      <c r="O38" s="1483"/>
      <c r="P38" s="1485"/>
    </row>
    <row r="39" spans="1:16" s="61" customFormat="1" x14ac:dyDescent="0.2">
      <c r="A39" s="563"/>
      <c r="B39" s="589" t="s">
        <v>187</v>
      </c>
      <c r="C39" s="589"/>
      <c r="D39" s="589"/>
      <c r="E39" s="590"/>
      <c r="F39" s="582">
        <f t="shared" si="4"/>
        <v>35</v>
      </c>
      <c r="G39" s="592" t="s">
        <v>690</v>
      </c>
      <c r="H39" s="584"/>
      <c r="I39" s="1483"/>
      <c r="J39" s="1483"/>
      <c r="K39" s="1484"/>
      <c r="L39" s="1484"/>
      <c r="M39" s="1484"/>
      <c r="N39" s="1484"/>
      <c r="O39" s="1483"/>
      <c r="P39" s="1485"/>
    </row>
    <row r="40" spans="1:16" s="61" customFormat="1" x14ac:dyDescent="0.2">
      <c r="A40" s="563"/>
      <c r="B40" s="589" t="s">
        <v>117</v>
      </c>
      <c r="C40" s="589"/>
      <c r="D40" s="589"/>
      <c r="E40" s="590"/>
      <c r="F40" s="582">
        <f t="shared" si="4"/>
        <v>36</v>
      </c>
      <c r="G40" s="592" t="s">
        <v>118</v>
      </c>
      <c r="H40" s="584"/>
      <c r="I40" s="1483"/>
      <c r="J40" s="1483"/>
      <c r="K40" s="1484"/>
      <c r="L40" s="1484"/>
      <c r="M40" s="1484"/>
      <c r="N40" s="1484"/>
      <c r="O40" s="1483"/>
      <c r="P40" s="1485"/>
    </row>
    <row r="41" spans="1:16" s="61" customFormat="1" x14ac:dyDescent="0.2">
      <c r="A41" s="563"/>
      <c r="B41" s="589" t="s">
        <v>123</v>
      </c>
      <c r="C41" s="589"/>
      <c r="D41" s="589"/>
      <c r="E41" s="590"/>
      <c r="F41" s="582">
        <f t="shared" si="4"/>
        <v>37</v>
      </c>
      <c r="G41" s="592" t="s">
        <v>188</v>
      </c>
      <c r="H41" s="584"/>
      <c r="I41" s="1483"/>
      <c r="J41" s="1483"/>
      <c r="K41" s="1484"/>
      <c r="L41" s="1484"/>
      <c r="M41" s="1484"/>
      <c r="N41" s="1484"/>
      <c r="O41" s="1483"/>
      <c r="P41" s="1485"/>
    </row>
    <row r="42" spans="1:16" s="61" customFormat="1" x14ac:dyDescent="0.2">
      <c r="A42" s="563"/>
      <c r="B42" s="589" t="s">
        <v>66</v>
      </c>
      <c r="C42" s="589"/>
      <c r="D42" s="589"/>
      <c r="E42" s="590"/>
      <c r="F42" s="582">
        <f t="shared" si="4"/>
        <v>38</v>
      </c>
      <c r="G42" s="592" t="s">
        <v>163</v>
      </c>
      <c r="H42" s="584"/>
      <c r="I42" s="1483"/>
      <c r="J42" s="1483"/>
      <c r="K42" s="1484"/>
      <c r="L42" s="1484"/>
      <c r="M42" s="1484"/>
      <c r="N42" s="1484"/>
      <c r="O42" s="1483"/>
      <c r="P42" s="1485"/>
    </row>
    <row r="43" spans="1:16" s="61" customFormat="1" x14ac:dyDescent="0.2">
      <c r="A43" s="597"/>
      <c r="B43" s="598" t="s">
        <v>63</v>
      </c>
      <c r="C43" s="598"/>
      <c r="D43" s="598"/>
      <c r="E43" s="598"/>
      <c r="F43" s="599">
        <f>F42+1</f>
        <v>39</v>
      </c>
      <c r="G43" s="600" t="s">
        <v>64</v>
      </c>
      <c r="H43" s="1001"/>
      <c r="I43" s="601"/>
      <c r="J43" s="601"/>
      <c r="K43" s="602"/>
      <c r="L43" s="602"/>
      <c r="M43" s="602"/>
      <c r="N43" s="602"/>
      <c r="O43" s="601"/>
      <c r="P43" s="603"/>
    </row>
    <row r="44" spans="1:16" s="61" customFormat="1" ht="13.5" thickBot="1" x14ac:dyDescent="0.25">
      <c r="A44" s="604" t="s">
        <v>556</v>
      </c>
      <c r="B44" s="605"/>
      <c r="C44" s="605"/>
      <c r="D44" s="605"/>
      <c r="E44" s="109"/>
      <c r="F44" s="582">
        <f>F43+1</f>
        <v>40</v>
      </c>
      <c r="G44" s="606"/>
      <c r="H44" s="607">
        <f>H29+H33+H37+H41+H42+H43-H4-H27</f>
        <v>0</v>
      </c>
      <c r="I44" s="608"/>
      <c r="J44" s="608"/>
      <c r="K44" s="609"/>
      <c r="L44" s="609"/>
      <c r="M44" s="609"/>
      <c r="N44" s="609"/>
      <c r="O44" s="608"/>
      <c r="P44" s="610">
        <f>P29+P33+P37+P41+P42+P43-P4-P27</f>
        <v>0</v>
      </c>
    </row>
    <row r="45" spans="1:16" ht="13.5" thickBot="1" x14ac:dyDescent="0.25">
      <c r="A45" s="594" t="s">
        <v>557</v>
      </c>
      <c r="B45" s="595"/>
      <c r="C45" s="595"/>
      <c r="D45" s="595"/>
      <c r="E45" s="595"/>
      <c r="F45" s="557">
        <f>F44+1</f>
        <v>41</v>
      </c>
      <c r="G45" s="596"/>
      <c r="H45" s="476">
        <f t="shared" ref="H45:P45" si="5">H28-H3</f>
        <v>0</v>
      </c>
      <c r="I45" s="559">
        <f t="shared" si="5"/>
        <v>0</v>
      </c>
      <c r="J45" s="560">
        <f t="shared" si="5"/>
        <v>0</v>
      </c>
      <c r="K45" s="561">
        <f t="shared" si="5"/>
        <v>0</v>
      </c>
      <c r="L45" s="561">
        <f t="shared" si="5"/>
        <v>0</v>
      </c>
      <c r="M45" s="561">
        <f t="shared" si="5"/>
        <v>0</v>
      </c>
      <c r="N45" s="561">
        <f t="shared" si="5"/>
        <v>0</v>
      </c>
      <c r="O45" s="560">
        <f t="shared" si="5"/>
        <v>0</v>
      </c>
      <c r="P45" s="562">
        <f t="shared" si="5"/>
        <v>0</v>
      </c>
    </row>
    <row r="46" spans="1:16" x14ac:dyDescent="0.2">
      <c r="A46" s="58" t="s">
        <v>75</v>
      </c>
      <c r="B46" s="58"/>
      <c r="C46" s="58"/>
      <c r="D46" s="58"/>
      <c r="E46" s="58"/>
      <c r="F46" s="184"/>
      <c r="G46" s="611" t="s">
        <v>76</v>
      </c>
    </row>
    <row r="47" spans="1:16" s="58" customFormat="1" x14ac:dyDescent="0.2">
      <c r="F47" s="184"/>
      <c r="G47" s="611"/>
      <c r="H47" s="46"/>
      <c r="J47" s="61"/>
      <c r="K47" s="61"/>
      <c r="L47" s="61"/>
      <c r="M47" s="61"/>
      <c r="N47" s="61"/>
      <c r="O47" s="61"/>
    </row>
    <row r="48" spans="1:16" s="58" customFormat="1" x14ac:dyDescent="0.2">
      <c r="A48" s="487" t="s">
        <v>124</v>
      </c>
      <c r="F48" s="184"/>
      <c r="G48" s="611"/>
      <c r="H48" s="46"/>
      <c r="J48" s="61"/>
      <c r="K48" s="61"/>
      <c r="L48" s="61"/>
      <c r="M48" s="61"/>
      <c r="N48" s="61"/>
      <c r="O48" s="61"/>
    </row>
    <row r="49" spans="1:15" s="58" customFormat="1" x14ac:dyDescent="0.2">
      <c r="A49" s="487" t="s">
        <v>193</v>
      </c>
      <c r="F49" s="184"/>
      <c r="G49" s="611"/>
      <c r="H49" s="46"/>
      <c r="J49" s="61"/>
      <c r="K49" s="61"/>
      <c r="L49" s="61"/>
      <c r="M49" s="61"/>
      <c r="N49" s="61"/>
      <c r="O49" s="61"/>
    </row>
    <row r="50" spans="1:15" s="58" customFormat="1" x14ac:dyDescent="0.2">
      <c r="A50" s="487" t="s">
        <v>125</v>
      </c>
      <c r="F50" s="184"/>
      <c r="G50" s="611"/>
      <c r="H50" s="1486"/>
      <c r="J50" s="61"/>
      <c r="K50" s="61"/>
      <c r="L50" s="61"/>
      <c r="M50" s="61"/>
      <c r="N50" s="61"/>
      <c r="O50" s="61"/>
    </row>
    <row r="51" spans="1:15" s="487" customFormat="1" x14ac:dyDescent="0.2">
      <c r="A51" s="612" t="s">
        <v>558</v>
      </c>
      <c r="F51" s="613"/>
      <c r="G51" s="614"/>
      <c r="H51" s="615"/>
      <c r="J51" s="616"/>
      <c r="K51" s="616"/>
      <c r="L51" s="616"/>
      <c r="M51" s="616"/>
      <c r="N51" s="616"/>
      <c r="O51" s="616"/>
    </row>
    <row r="52" spans="1:15" s="487" customFormat="1" x14ac:dyDescent="0.2">
      <c r="A52" s="487" t="s">
        <v>559</v>
      </c>
      <c r="F52" s="613"/>
      <c r="G52" s="614"/>
      <c r="H52" s="615"/>
      <c r="J52" s="616"/>
      <c r="K52" s="616"/>
      <c r="L52" s="616"/>
      <c r="M52" s="616"/>
      <c r="N52" s="616"/>
      <c r="O52" s="616"/>
    </row>
    <row r="53" spans="1:15" s="487" customFormat="1" x14ac:dyDescent="0.2">
      <c r="A53" s="487" t="s">
        <v>560</v>
      </c>
      <c r="F53" s="613"/>
      <c r="G53" s="614"/>
      <c r="H53" s="615"/>
      <c r="J53" s="616"/>
      <c r="K53" s="616"/>
      <c r="L53" s="616"/>
      <c r="M53" s="616"/>
      <c r="N53" s="616"/>
      <c r="O53" s="616"/>
    </row>
    <row r="54" spans="1:15" s="58" customFormat="1" x14ac:dyDescent="0.2">
      <c r="A54" s="487"/>
      <c r="B54" s="487"/>
      <c r="C54" s="487"/>
      <c r="D54" s="487"/>
      <c r="E54" s="487"/>
      <c r="F54" s="184"/>
      <c r="G54" s="611"/>
      <c r="H54" s="46"/>
      <c r="J54" s="61"/>
      <c r="K54" s="61"/>
      <c r="L54" s="61"/>
      <c r="M54" s="61"/>
      <c r="N54" s="61"/>
      <c r="O54" s="61"/>
    </row>
    <row r="55" spans="1:15" s="58" customFormat="1" x14ac:dyDescent="0.2">
      <c r="A55" s="487"/>
      <c r="B55" s="487"/>
      <c r="C55" s="487"/>
      <c r="D55" s="487"/>
      <c r="E55" s="487"/>
      <c r="F55" s="184"/>
      <c r="G55" s="611"/>
      <c r="H55" s="46"/>
      <c r="J55" s="61"/>
      <c r="K55" s="61"/>
      <c r="L55" s="61"/>
      <c r="M55" s="61"/>
      <c r="N55" s="61"/>
      <c r="O55" s="61"/>
    </row>
    <row r="56" spans="1:15" s="58" customFormat="1" x14ac:dyDescent="0.2">
      <c r="A56" s="487"/>
      <c r="B56" s="487"/>
      <c r="C56" s="487"/>
      <c r="D56" s="487"/>
      <c r="E56" s="487"/>
      <c r="F56" s="184"/>
      <c r="G56" s="611"/>
      <c r="H56" s="46"/>
      <c r="J56" s="61"/>
      <c r="K56" s="61"/>
      <c r="L56" s="61"/>
      <c r="M56" s="61"/>
      <c r="N56" s="61"/>
      <c r="O56" s="61"/>
    </row>
    <row r="57" spans="1:15" s="58" customFormat="1" x14ac:dyDescent="0.2">
      <c r="A57" s="487"/>
      <c r="B57" s="487"/>
      <c r="C57" s="487"/>
      <c r="D57" s="487"/>
      <c r="E57" s="487"/>
      <c r="F57" s="184"/>
      <c r="G57" s="611"/>
      <c r="H57" s="46"/>
      <c r="J57" s="61"/>
      <c r="K57" s="61"/>
      <c r="L57" s="61"/>
      <c r="M57" s="61"/>
      <c r="N57" s="61"/>
      <c r="O57" s="61"/>
    </row>
  </sheetData>
  <mergeCells count="3">
    <mergeCell ref="A1:D1"/>
    <mergeCell ref="K1:O1"/>
    <mergeCell ref="D2:E2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2:K46"/>
  <sheetViews>
    <sheetView showGridLines="0" zoomScaleNormal="100" workbookViewId="0"/>
  </sheetViews>
  <sheetFormatPr defaultRowHeight="12.75" x14ac:dyDescent="0.2"/>
  <cols>
    <col min="1" max="1" width="4.42578125" customWidth="1"/>
    <col min="3" max="3" width="18.42578125" customWidth="1"/>
    <col min="4" max="4" width="13.7109375" customWidth="1"/>
    <col min="5" max="5" width="12.85546875" customWidth="1"/>
  </cols>
  <sheetData>
    <row r="2" spans="1:8" ht="13.5" thickBot="1" x14ac:dyDescent="0.25">
      <c r="A2" s="766" t="s">
        <v>676</v>
      </c>
    </row>
    <row r="3" spans="1:8" ht="13.5" thickBot="1" x14ac:dyDescent="0.25">
      <c r="A3" s="766"/>
      <c r="B3" s="766"/>
      <c r="C3" s="766"/>
      <c r="E3" s="1040">
        <v>56572</v>
      </c>
    </row>
    <row r="4" spans="1:8" ht="13.5" thickBot="1" x14ac:dyDescent="0.25">
      <c r="E4" s="1397" t="s">
        <v>570</v>
      </c>
    </row>
    <row r="5" spans="1:8" x14ac:dyDescent="0.2">
      <c r="A5" s="122"/>
      <c r="B5" s="439" t="s">
        <v>37</v>
      </c>
      <c r="C5" s="296"/>
      <c r="D5" s="296"/>
      <c r="E5" s="796"/>
    </row>
    <row r="6" spans="1:8" ht="13.5" thickBot="1" x14ac:dyDescent="0.25">
      <c r="A6" s="442" t="s">
        <v>34</v>
      </c>
      <c r="B6" s="443" t="s">
        <v>38</v>
      </c>
      <c r="C6" s="444"/>
      <c r="D6" s="444"/>
      <c r="E6" s="797" t="s">
        <v>399</v>
      </c>
    </row>
    <row r="7" spans="1:8" ht="25.5" x14ac:dyDescent="0.2">
      <c r="A7" s="1404"/>
      <c r="B7" s="296"/>
      <c r="C7" s="798"/>
      <c r="D7" s="1029" t="s">
        <v>586</v>
      </c>
      <c r="E7" s="796" t="s">
        <v>410</v>
      </c>
      <c r="F7" s="796" t="s">
        <v>611</v>
      </c>
      <c r="G7" s="796" t="s">
        <v>612</v>
      </c>
    </row>
    <row r="8" spans="1:8" x14ac:dyDescent="0.2">
      <c r="A8" s="716">
        <v>1</v>
      </c>
      <c r="B8" s="952">
        <v>11</v>
      </c>
      <c r="C8" s="1454" t="s">
        <v>7</v>
      </c>
      <c r="D8" s="1031">
        <v>0.1556893864621624</v>
      </c>
      <c r="E8" s="800">
        <f>$E$3*D8</f>
        <v>8807.6599709374514</v>
      </c>
      <c r="F8" s="800">
        <v>8807.6599709374514</v>
      </c>
      <c r="G8" s="800"/>
      <c r="H8" s="767"/>
    </row>
    <row r="9" spans="1:8" x14ac:dyDescent="0.2">
      <c r="A9" s="716">
        <v>2</v>
      </c>
      <c r="B9" s="952">
        <v>21</v>
      </c>
      <c r="C9" s="1454" t="s">
        <v>8</v>
      </c>
      <c r="D9" s="1031">
        <v>0.16148629651892532</v>
      </c>
      <c r="E9" s="800">
        <f t="shared" ref="E9:E16" si="0">$E$3*D9</f>
        <v>9135.6027666686441</v>
      </c>
      <c r="F9" s="800">
        <v>9135.6027666686441</v>
      </c>
      <c r="G9" s="800"/>
      <c r="H9" s="767"/>
    </row>
    <row r="10" spans="1:8" x14ac:dyDescent="0.2">
      <c r="A10" s="716">
        <v>3</v>
      </c>
      <c r="B10" s="952">
        <v>22</v>
      </c>
      <c r="C10" s="1454" t="s">
        <v>9</v>
      </c>
      <c r="D10" s="1031">
        <v>4.9225502733732406E-2</v>
      </c>
      <c r="E10" s="800">
        <f t="shared" si="0"/>
        <v>2784.7851406527097</v>
      </c>
      <c r="F10" s="800">
        <v>2784.7851406527097</v>
      </c>
      <c r="G10" s="800"/>
      <c r="H10" s="767"/>
    </row>
    <row r="11" spans="1:8" x14ac:dyDescent="0.2">
      <c r="A11" s="716">
        <v>4</v>
      </c>
      <c r="B11" s="952">
        <v>23</v>
      </c>
      <c r="C11" s="1454" t="s">
        <v>10</v>
      </c>
      <c r="D11" s="1031">
        <v>7.4531169295492888E-2</v>
      </c>
      <c r="E11" s="800">
        <f t="shared" si="0"/>
        <v>4216.3773093846239</v>
      </c>
      <c r="F11" s="800">
        <v>4216.3773093846239</v>
      </c>
      <c r="G11" s="800"/>
      <c r="H11" s="767"/>
    </row>
    <row r="12" spans="1:8" x14ac:dyDescent="0.2">
      <c r="A12" s="716">
        <v>5</v>
      </c>
      <c r="B12" s="952">
        <v>31</v>
      </c>
      <c r="C12" s="1454" t="s">
        <v>11</v>
      </c>
      <c r="D12" s="1031">
        <v>0.25063853879708048</v>
      </c>
      <c r="E12" s="800">
        <f t="shared" si="0"/>
        <v>14179.123416828437</v>
      </c>
      <c r="F12" s="800">
        <v>5579.1234168284373</v>
      </c>
      <c r="G12" s="800">
        <v>8600</v>
      </c>
      <c r="H12" s="767"/>
    </row>
    <row r="13" spans="1:8" x14ac:dyDescent="0.2">
      <c r="A13" s="716">
        <v>6</v>
      </c>
      <c r="B13" s="952">
        <v>33</v>
      </c>
      <c r="C13" s="1454" t="s">
        <v>12</v>
      </c>
      <c r="D13" s="1031">
        <v>5.5713024947222911E-2</v>
      </c>
      <c r="E13" s="800">
        <f t="shared" si="0"/>
        <v>3151.7972473142945</v>
      </c>
      <c r="F13" s="800">
        <v>3151.7972473142945</v>
      </c>
      <c r="G13" s="800"/>
      <c r="H13" s="767"/>
    </row>
    <row r="14" spans="1:8" x14ac:dyDescent="0.2">
      <c r="A14" s="716">
        <v>7</v>
      </c>
      <c r="B14" s="952">
        <v>41</v>
      </c>
      <c r="C14" s="1454" t="s">
        <v>13</v>
      </c>
      <c r="D14" s="1031">
        <v>6.8525320869018233E-2</v>
      </c>
      <c r="E14" s="800">
        <f t="shared" si="0"/>
        <v>3876.6144522020995</v>
      </c>
      <c r="F14" s="800">
        <v>3876.6144522020995</v>
      </c>
      <c r="G14" s="800"/>
      <c r="H14" s="767"/>
    </row>
    <row r="15" spans="1:8" x14ac:dyDescent="0.2">
      <c r="A15" s="716">
        <v>8</v>
      </c>
      <c r="B15" s="952">
        <v>51</v>
      </c>
      <c r="C15" s="1454" t="s">
        <v>14</v>
      </c>
      <c r="D15" s="1031">
        <v>2.2587537018853372E-2</v>
      </c>
      <c r="E15" s="800">
        <f t="shared" si="0"/>
        <v>1277.822144230573</v>
      </c>
      <c r="F15" s="800">
        <v>1277.822144230573</v>
      </c>
      <c r="G15" s="800"/>
      <c r="H15" s="767"/>
    </row>
    <row r="16" spans="1:8" x14ac:dyDescent="0.2">
      <c r="A16" s="716">
        <v>9</v>
      </c>
      <c r="B16" s="952">
        <v>56</v>
      </c>
      <c r="C16" s="1454" t="s">
        <v>15</v>
      </c>
      <c r="D16" s="1031">
        <v>5.0784196544596684E-2</v>
      </c>
      <c r="E16" s="800">
        <f t="shared" si="0"/>
        <v>2872.9635669209238</v>
      </c>
      <c r="F16" s="800">
        <v>2872.9635669209238</v>
      </c>
      <c r="G16" s="800"/>
      <c r="H16" s="767"/>
    </row>
    <row r="17" spans="1:8" x14ac:dyDescent="0.2">
      <c r="A17" s="1644" t="s">
        <v>426</v>
      </c>
      <c r="B17" s="1645"/>
      <c r="C17" s="1646"/>
      <c r="D17" s="1034"/>
      <c r="E17" s="1035">
        <f>SUM(E8:E16)</f>
        <v>50302.746015139754</v>
      </c>
      <c r="F17" s="1035">
        <f>SUM(F8:F16)</f>
        <v>41702.746015139754</v>
      </c>
      <c r="G17" s="1035">
        <f>SUM(G8:G16)</f>
        <v>8600</v>
      </c>
      <c r="H17" s="767"/>
    </row>
    <row r="18" spans="1:8" x14ac:dyDescent="0.2">
      <c r="A18" s="716">
        <v>10</v>
      </c>
      <c r="B18" s="952">
        <v>71</v>
      </c>
      <c r="C18" s="953" t="s">
        <v>229</v>
      </c>
      <c r="D18" s="1031">
        <v>0.10644661289683582</v>
      </c>
      <c r="E18" s="800">
        <f>D18*$E$3</f>
        <v>6021.8977847997958</v>
      </c>
      <c r="F18" s="800">
        <v>6021.8977847997958</v>
      </c>
      <c r="G18" s="800"/>
      <c r="H18" s="767"/>
    </row>
    <row r="19" spans="1:8" x14ac:dyDescent="0.2">
      <c r="A19" s="716">
        <v>11</v>
      </c>
      <c r="B19" s="799">
        <v>92</v>
      </c>
      <c r="C19" s="953" t="s">
        <v>17</v>
      </c>
      <c r="D19" s="1031">
        <v>4.3724139160795546E-3</v>
      </c>
      <c r="E19" s="800">
        <f>D19*$E$3</f>
        <v>247.35620006045255</v>
      </c>
      <c r="F19" s="800">
        <v>247.35620006045255</v>
      </c>
      <c r="G19" s="800"/>
      <c r="H19" s="767"/>
    </row>
    <row r="20" spans="1:8" ht="13.5" thickBot="1" x14ac:dyDescent="0.25">
      <c r="A20" s="1647" t="s">
        <v>587</v>
      </c>
      <c r="B20" s="1648"/>
      <c r="C20" s="1649"/>
      <c r="D20" s="1036"/>
      <c r="E20" s="1037">
        <f>SUM(E18:E19)</f>
        <v>6269.2539848602482</v>
      </c>
      <c r="F20" s="1037">
        <f>SUM(F18:F19)</f>
        <v>6269.2539848602482</v>
      </c>
      <c r="G20" s="1037">
        <f>SUM(G18:G19)</f>
        <v>0</v>
      </c>
      <c r="H20" s="767"/>
    </row>
    <row r="21" spans="1:8" ht="13.5" thickBot="1" x14ac:dyDescent="0.25">
      <c r="A21" s="302">
        <v>12</v>
      </c>
      <c r="B21" s="497"/>
      <c r="C21" s="56" t="s">
        <v>16</v>
      </c>
      <c r="D21" s="1038">
        <f>SUM(D8:D16,D18:D19)</f>
        <v>0.99999999999999989</v>
      </c>
      <c r="E21" s="1039">
        <f>E17+E20</f>
        <v>56572</v>
      </c>
      <c r="F21" s="1039">
        <f>F17+F20</f>
        <v>47972</v>
      </c>
      <c r="G21" s="1039">
        <f>G17+G20</f>
        <v>8600</v>
      </c>
      <c r="H21" s="767"/>
    </row>
    <row r="27" spans="1:8" ht="13.5" thickBot="1" x14ac:dyDescent="0.25">
      <c r="A27" s="766" t="s">
        <v>610</v>
      </c>
    </row>
    <row r="28" spans="1:8" ht="13.5" thickBot="1" x14ac:dyDescent="0.25">
      <c r="A28" s="766"/>
      <c r="B28" s="766"/>
      <c r="C28" s="766"/>
      <c r="E28" s="1040">
        <v>56572.02</v>
      </c>
    </row>
    <row r="29" spans="1:8" ht="13.5" thickBot="1" x14ac:dyDescent="0.25">
      <c r="E29" s="1397" t="s">
        <v>570</v>
      </c>
    </row>
    <row r="30" spans="1:8" x14ac:dyDescent="0.2">
      <c r="A30" s="122"/>
      <c r="B30" s="439" t="s">
        <v>37</v>
      </c>
      <c r="C30" s="296"/>
      <c r="D30" s="296"/>
      <c r="E30" s="796"/>
    </row>
    <row r="31" spans="1:8" ht="13.5" thickBot="1" x14ac:dyDescent="0.25">
      <c r="A31" s="442" t="s">
        <v>34</v>
      </c>
      <c r="B31" s="443" t="s">
        <v>38</v>
      </c>
      <c r="C31" s="444"/>
      <c r="D31" s="444"/>
      <c r="E31" s="797" t="s">
        <v>399</v>
      </c>
    </row>
    <row r="32" spans="1:8" ht="25.5" x14ac:dyDescent="0.2">
      <c r="A32" s="1395"/>
      <c r="B32" s="296"/>
      <c r="C32" s="798"/>
      <c r="D32" s="1029" t="s">
        <v>586</v>
      </c>
      <c r="E32" s="796" t="s">
        <v>410</v>
      </c>
      <c r="F32" s="796" t="s">
        <v>611</v>
      </c>
      <c r="G32" s="796" t="s">
        <v>612</v>
      </c>
    </row>
    <row r="33" spans="1:11" x14ac:dyDescent="0.2">
      <c r="A33" s="317">
        <v>1</v>
      </c>
      <c r="B33" s="1030">
        <v>11</v>
      </c>
      <c r="C33" s="318" t="s">
        <v>7</v>
      </c>
      <c r="D33" s="1031">
        <v>0.15691123580889943</v>
      </c>
      <c r="E33" s="800">
        <v>8876.7855704057747</v>
      </c>
      <c r="F33" s="800">
        <v>8876.7855704057747</v>
      </c>
      <c r="G33" s="800"/>
    </row>
    <row r="34" spans="1:11" x14ac:dyDescent="0.2">
      <c r="A34" s="298">
        <v>2</v>
      </c>
      <c r="B34" s="1032">
        <v>21</v>
      </c>
      <c r="C34" s="52" t="s">
        <v>8</v>
      </c>
      <c r="D34" s="1031">
        <v>0.15440943723182129</v>
      </c>
      <c r="E34" s="800">
        <v>8735.2537712673384</v>
      </c>
      <c r="F34" s="800">
        <v>8735.2537712673384</v>
      </c>
      <c r="G34" s="800"/>
    </row>
    <row r="35" spans="1:11" x14ac:dyDescent="0.2">
      <c r="A35" s="48">
        <v>3</v>
      </c>
      <c r="B35" s="1032">
        <v>22</v>
      </c>
      <c r="C35" s="52" t="s">
        <v>9</v>
      </c>
      <c r="D35" s="1031">
        <v>4.9138379858681358E-2</v>
      </c>
      <c r="E35" s="800">
        <v>2779.8574081329189</v>
      </c>
      <c r="F35" s="800">
        <v>2779.8574081329189</v>
      </c>
      <c r="G35" s="800"/>
    </row>
    <row r="36" spans="1:11" x14ac:dyDescent="0.2">
      <c r="A36" s="298">
        <v>4</v>
      </c>
      <c r="B36" s="1032">
        <v>23</v>
      </c>
      <c r="C36" s="52" t="s">
        <v>10</v>
      </c>
      <c r="D36" s="1031">
        <v>7.4353915933633163E-2</v>
      </c>
      <c r="E36" s="800">
        <v>4206.3512192758135</v>
      </c>
      <c r="F36" s="800">
        <v>4206.3512192758135</v>
      </c>
      <c r="G36" s="800"/>
    </row>
    <row r="37" spans="1:11" x14ac:dyDescent="0.2">
      <c r="A37" s="48">
        <v>5</v>
      </c>
      <c r="B37" s="1032">
        <v>31</v>
      </c>
      <c r="C37" s="52" t="s">
        <v>11</v>
      </c>
      <c r="D37" s="1031">
        <v>0.2407516066829756</v>
      </c>
      <c r="E37" s="800">
        <v>13619.804708301428</v>
      </c>
      <c r="F37" s="800">
        <v>5019.804708301428</v>
      </c>
      <c r="G37" s="800">
        <v>8600</v>
      </c>
    </row>
    <row r="38" spans="1:11" x14ac:dyDescent="0.2">
      <c r="A38" s="298">
        <v>6</v>
      </c>
      <c r="B38" s="1032">
        <v>33</v>
      </c>
      <c r="C38" s="52" t="s">
        <v>12</v>
      </c>
      <c r="D38" s="1031">
        <v>5.879629296910352E-2</v>
      </c>
      <c r="E38" s="800">
        <v>3326.2250617739837</v>
      </c>
      <c r="F38" s="800">
        <v>3326.2250617739837</v>
      </c>
      <c r="G38" s="800"/>
    </row>
    <row r="39" spans="1:11" x14ac:dyDescent="0.2">
      <c r="A39" s="48">
        <v>7</v>
      </c>
      <c r="B39" s="1032">
        <v>41</v>
      </c>
      <c r="C39" s="52" t="s">
        <v>13</v>
      </c>
      <c r="D39" s="1031">
        <v>7.438640763466646E-2</v>
      </c>
      <c r="E39" s="800">
        <v>4208.1893404365037</v>
      </c>
      <c r="F39" s="800">
        <v>4208.1893404365037</v>
      </c>
      <c r="G39" s="800"/>
    </row>
    <row r="40" spans="1:11" x14ac:dyDescent="0.2">
      <c r="A40" s="298">
        <v>8</v>
      </c>
      <c r="B40" s="1032">
        <v>51</v>
      </c>
      <c r="C40" s="52" t="s">
        <v>14</v>
      </c>
      <c r="D40" s="1031">
        <v>2.7080486355687435E-2</v>
      </c>
      <c r="E40" s="800">
        <v>1531.9978157236767</v>
      </c>
      <c r="F40" s="800">
        <v>1531.9978157236767</v>
      </c>
      <c r="G40" s="800"/>
    </row>
    <row r="41" spans="1:11" x14ac:dyDescent="0.2">
      <c r="A41" s="50">
        <v>9</v>
      </c>
      <c r="B41" s="1033">
        <v>56</v>
      </c>
      <c r="C41" s="518" t="s">
        <v>15</v>
      </c>
      <c r="D41" s="1031">
        <v>4.6657423184597237E-2</v>
      </c>
      <c r="E41" s="800">
        <v>2639.5046775474984</v>
      </c>
      <c r="F41" s="800">
        <v>2639.5046775474984</v>
      </c>
      <c r="G41" s="800"/>
    </row>
    <row r="42" spans="1:11" x14ac:dyDescent="0.2">
      <c r="A42" s="1644" t="s">
        <v>426</v>
      </c>
      <c r="B42" s="1645"/>
      <c r="C42" s="1646"/>
      <c r="D42" s="1034"/>
      <c r="E42" s="1035">
        <v>49923.969572864931</v>
      </c>
      <c r="F42" s="1035">
        <v>41323.969572864931</v>
      </c>
      <c r="G42" s="1035">
        <v>8600</v>
      </c>
    </row>
    <row r="43" spans="1:11" x14ac:dyDescent="0.2">
      <c r="A43" s="716">
        <v>10</v>
      </c>
      <c r="B43" s="952">
        <v>71</v>
      </c>
      <c r="C43" s="953" t="s">
        <v>229</v>
      </c>
      <c r="D43" s="1031">
        <v>0.11101900069841633</v>
      </c>
      <c r="E43" s="800">
        <v>6280.5691278908225</v>
      </c>
      <c r="F43" s="800">
        <v>6280.5691278908225</v>
      </c>
      <c r="G43" s="800"/>
    </row>
    <row r="44" spans="1:11" x14ac:dyDescent="0.2">
      <c r="A44" s="716">
        <v>11</v>
      </c>
      <c r="B44" s="799">
        <v>92</v>
      </c>
      <c r="C44" s="953" t="s">
        <v>17</v>
      </c>
      <c r="D44" s="1031">
        <v>6.4958136415180449E-3</v>
      </c>
      <c r="E44" s="800">
        <v>367.48129924423165</v>
      </c>
      <c r="F44" s="800">
        <v>367.48129924423165</v>
      </c>
      <c r="G44" s="800"/>
      <c r="K44" s="1499"/>
    </row>
    <row r="45" spans="1:11" ht="13.5" thickBot="1" x14ac:dyDescent="0.25">
      <c r="A45" s="1647" t="s">
        <v>587</v>
      </c>
      <c r="B45" s="1648"/>
      <c r="C45" s="1649"/>
      <c r="D45" s="1036"/>
      <c r="E45" s="1037">
        <v>6648.0504271350546</v>
      </c>
      <c r="F45" s="1037">
        <v>6648.0504271350546</v>
      </c>
      <c r="G45" s="1037">
        <v>0</v>
      </c>
    </row>
    <row r="46" spans="1:11" ht="13.5" thickBot="1" x14ac:dyDescent="0.25">
      <c r="A46" s="302">
        <v>12</v>
      </c>
      <c r="B46" s="497"/>
      <c r="C46" s="56" t="s">
        <v>16</v>
      </c>
      <c r="D46" s="1038">
        <v>0.99999999999999978</v>
      </c>
      <c r="E46" s="1039">
        <v>56572.01999999999</v>
      </c>
      <c r="F46" s="1039">
        <v>47972.01999999999</v>
      </c>
      <c r="G46" s="1039">
        <v>8600</v>
      </c>
    </row>
  </sheetData>
  <mergeCells count="4">
    <mergeCell ref="A42:C42"/>
    <mergeCell ref="A45:C45"/>
    <mergeCell ref="A17:C17"/>
    <mergeCell ref="A20:C20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fitToPage="1"/>
  </sheetPr>
  <dimension ref="A1:R42"/>
  <sheetViews>
    <sheetView showGridLines="0" zoomScale="91" zoomScaleNormal="91" workbookViewId="0"/>
  </sheetViews>
  <sheetFormatPr defaultColWidth="11.42578125" defaultRowHeight="12" x14ac:dyDescent="0.2"/>
  <cols>
    <col min="1" max="1" width="4.42578125" style="61" customWidth="1"/>
    <col min="2" max="2" width="9.85546875" style="61" customWidth="1"/>
    <col min="3" max="3" width="9.42578125" style="61" bestFit="1" customWidth="1"/>
    <col min="4" max="4" width="9.5703125" style="61" customWidth="1"/>
    <col min="5" max="5" width="9.140625" style="61" customWidth="1"/>
    <col min="6" max="6" width="8.7109375" style="61" customWidth="1"/>
    <col min="7" max="7" width="9.85546875" style="61" customWidth="1"/>
    <col min="8" max="8" width="10.140625" style="61" customWidth="1"/>
    <col min="9" max="9" width="9.85546875" style="61" customWidth="1"/>
    <col min="10" max="10" width="10.85546875" style="61" customWidth="1"/>
    <col min="11" max="11" width="10.42578125" style="61" customWidth="1"/>
    <col min="12" max="12" width="11.28515625" style="61" customWidth="1"/>
    <col min="13" max="13" width="9.5703125" style="61" customWidth="1"/>
    <col min="14" max="14" width="9.28515625" style="61" customWidth="1"/>
    <col min="15" max="15" width="11.5703125" style="61" customWidth="1"/>
    <col min="16" max="16" width="9.42578125" style="61" customWidth="1"/>
    <col min="17" max="17" width="10" style="61" customWidth="1"/>
    <col min="18" max="16384" width="11.42578125" style="61"/>
  </cols>
  <sheetData>
    <row r="1" spans="1:18" ht="12.75" x14ac:dyDescent="0.2">
      <c r="A1" s="129" t="s">
        <v>354</v>
      </c>
    </row>
    <row r="2" spans="1:18" x14ac:dyDescent="0.2">
      <c r="A2" s="125"/>
    </row>
    <row r="3" spans="1:18" x14ac:dyDescent="0.2">
      <c r="A3" s="126" t="s">
        <v>336</v>
      </c>
    </row>
    <row r="4" spans="1:18" x14ac:dyDescent="0.2">
      <c r="A4" s="126"/>
      <c r="H4" s="768"/>
    </row>
    <row r="5" spans="1:18" ht="12.75" thickBot="1" x14ac:dyDescent="0.25">
      <c r="D5" s="1002">
        <f>'pom2 - Poměr VaV'!K31</f>
        <v>0.39</v>
      </c>
      <c r="N5" s="687"/>
    </row>
    <row r="6" spans="1:18" x14ac:dyDescent="0.2">
      <c r="C6" s="62" t="s">
        <v>297</v>
      </c>
      <c r="D6" s="1658" t="s">
        <v>333</v>
      </c>
      <c r="E6" s="63"/>
      <c r="F6" s="64"/>
      <c r="G6" s="1658" t="s">
        <v>332</v>
      </c>
      <c r="H6" s="1028" t="s">
        <v>297</v>
      </c>
      <c r="I6" s="63" t="s">
        <v>584</v>
      </c>
      <c r="J6" s="1658" t="s">
        <v>333</v>
      </c>
      <c r="K6" s="1658" t="s">
        <v>332</v>
      </c>
      <c r="L6" s="658" t="s">
        <v>583</v>
      </c>
      <c r="M6" s="1650" t="s">
        <v>31</v>
      </c>
      <c r="N6" s="1651"/>
      <c r="O6" s="63"/>
      <c r="P6" s="65"/>
      <c r="Q6" s="65"/>
    </row>
    <row r="7" spans="1:18" x14ac:dyDescent="0.2">
      <c r="C7" s="66" t="s">
        <v>328</v>
      </c>
      <c r="D7" s="1659"/>
      <c r="E7" s="67" t="s">
        <v>331</v>
      </c>
      <c r="F7" s="67" t="s">
        <v>340</v>
      </c>
      <c r="G7" s="1659"/>
      <c r="H7" s="68" t="s">
        <v>581</v>
      </c>
      <c r="I7" s="67" t="s">
        <v>335</v>
      </c>
      <c r="J7" s="1659"/>
      <c r="K7" s="1659"/>
      <c r="L7" s="1027" t="s">
        <v>582</v>
      </c>
      <c r="M7" s="1652"/>
      <c r="N7" s="1653"/>
      <c r="O7" s="67" t="s">
        <v>349</v>
      </c>
      <c r="P7" s="69" t="s">
        <v>341</v>
      </c>
      <c r="Q7" s="69" t="s">
        <v>182</v>
      </c>
    </row>
    <row r="8" spans="1:18" ht="26.25" customHeight="1" x14ac:dyDescent="0.2">
      <c r="C8" s="70" t="s">
        <v>371</v>
      </c>
      <c r="D8" s="71" t="s">
        <v>330</v>
      </c>
      <c r="E8" s="72" t="s">
        <v>182</v>
      </c>
      <c r="F8" s="72" t="s">
        <v>182</v>
      </c>
      <c r="G8" s="71" t="s">
        <v>338</v>
      </c>
      <c r="H8" s="73" t="s">
        <v>373</v>
      </c>
      <c r="I8" s="72" t="s">
        <v>348</v>
      </c>
      <c r="J8" s="71" t="s">
        <v>330</v>
      </c>
      <c r="K8" s="71" t="s">
        <v>338</v>
      </c>
      <c r="L8" s="659" t="s">
        <v>372</v>
      </c>
      <c r="M8" s="74" t="s">
        <v>348</v>
      </c>
      <c r="N8" s="74" t="s">
        <v>373</v>
      </c>
      <c r="O8" s="72" t="s">
        <v>16</v>
      </c>
      <c r="P8" s="75" t="s">
        <v>182</v>
      </c>
      <c r="Q8" s="75" t="s">
        <v>366</v>
      </c>
    </row>
    <row r="9" spans="1:18" ht="14.25" customHeight="1" thickBot="1" x14ac:dyDescent="0.25">
      <c r="C9" s="1556">
        <v>1</v>
      </c>
      <c r="D9" s="1557">
        <v>2</v>
      </c>
      <c r="E9" s="1558">
        <v>3</v>
      </c>
      <c r="F9" s="1558">
        <v>4</v>
      </c>
      <c r="G9" s="1557">
        <v>5</v>
      </c>
      <c r="H9" s="1559" t="s">
        <v>342</v>
      </c>
      <c r="I9" s="1558">
        <v>7</v>
      </c>
      <c r="J9" s="1557">
        <v>8</v>
      </c>
      <c r="K9" s="1557">
        <v>9</v>
      </c>
      <c r="L9" s="1560" t="s">
        <v>343</v>
      </c>
      <c r="M9" s="1559" t="s">
        <v>350</v>
      </c>
      <c r="N9" s="1559" t="s">
        <v>351</v>
      </c>
      <c r="O9" s="1558" t="s">
        <v>344</v>
      </c>
      <c r="P9" s="1561" t="s">
        <v>585</v>
      </c>
      <c r="Q9" s="1561"/>
    </row>
    <row r="10" spans="1:18" x14ac:dyDescent="0.2">
      <c r="A10" s="916">
        <v>11</v>
      </c>
      <c r="B10" s="917" t="s">
        <v>7</v>
      </c>
      <c r="C10" s="96">
        <f>'rozpis pro rozpocet'!G48</f>
        <v>222621.5</v>
      </c>
      <c r="D10" s="97"/>
      <c r="E10" s="98">
        <f>'rozpis pro rozpocet'!E48</f>
        <v>71404.600000000006</v>
      </c>
      <c r="F10" s="99">
        <f>E10/SUM($E$10:$E$18,$E$20)</f>
        <v>0.11985252710565562</v>
      </c>
      <c r="G10" s="98">
        <f t="shared" ref="G10:G18" si="0">F10*-$D$32</f>
        <v>8479.6521876090974</v>
      </c>
      <c r="H10" s="703">
        <f>C10+G10+D10</f>
        <v>231101.15218760908</v>
      </c>
      <c r="I10" s="98">
        <f>'rozpis pro rozpocet'!H48</f>
        <v>0</v>
      </c>
      <c r="J10" s="97"/>
      <c r="K10" s="101">
        <f>-F10*$J$36</f>
        <v>2291.0134158069259</v>
      </c>
      <c r="L10" s="663">
        <f t="shared" ref="L10:L18" si="1">I10+K10+J10</f>
        <v>2291.0134158069259</v>
      </c>
      <c r="M10" s="100">
        <f>I10</f>
        <v>0</v>
      </c>
      <c r="N10" s="100">
        <f>L10-M10</f>
        <v>2291.0134158069259</v>
      </c>
      <c r="O10" s="98">
        <f>-D10-G10-J10-K10</f>
        <v>-10770.665603416022</v>
      </c>
      <c r="P10" s="682">
        <f>O10+E10</f>
        <v>60633.93439658398</v>
      </c>
      <c r="Q10" s="102">
        <f>TRUNC(ROUND(P10,0),0)</f>
        <v>60634</v>
      </c>
      <c r="R10" s="127"/>
    </row>
    <row r="11" spans="1:18" x14ac:dyDescent="0.2">
      <c r="A11" s="918">
        <v>21</v>
      </c>
      <c r="B11" s="710" t="s">
        <v>8</v>
      </c>
      <c r="C11" s="76">
        <f>'rozpis pro rozpocet'!G49</f>
        <v>257465.7</v>
      </c>
      <c r="D11" s="77"/>
      <c r="E11" s="78">
        <f>'rozpis pro rozpocet'!E49</f>
        <v>66759.100000000006</v>
      </c>
      <c r="F11" s="79">
        <f t="shared" ref="F11:F18" si="2">E11/SUM($E$10:$E$18,$E$20)</f>
        <v>0.11205506147081805</v>
      </c>
      <c r="G11" s="78">
        <f t="shared" si="0"/>
        <v>7927.9759057233641</v>
      </c>
      <c r="H11" s="700">
        <f t="shared" ref="H11:H31" si="3">C11+G11+D11</f>
        <v>265393.67590572336</v>
      </c>
      <c r="I11" s="78">
        <f>'rozpis pro rozpocet'!H49</f>
        <v>746</v>
      </c>
      <c r="J11" s="77"/>
      <c r="K11" s="81">
        <f t="shared" ref="K11:K17" si="4">-F11*$J$36</f>
        <v>2141.9627548812841</v>
      </c>
      <c r="L11" s="660">
        <f t="shared" si="1"/>
        <v>2887.9627548812841</v>
      </c>
      <c r="M11" s="80">
        <f t="shared" ref="M11:M18" si="5">I11</f>
        <v>746</v>
      </c>
      <c r="N11" s="80">
        <f t="shared" ref="N11:N18" si="6">L11-M11</f>
        <v>2141.9627548812841</v>
      </c>
      <c r="O11" s="78">
        <f t="shared" ref="O11:O18" si="7">-D11-G11-J11-K11</f>
        <v>-10069.938660604648</v>
      </c>
      <c r="P11" s="679">
        <f t="shared" ref="P11:P18" si="8">O11+E11</f>
        <v>56689.161339395359</v>
      </c>
      <c r="Q11" s="102">
        <f>TRUNC(ROUND(P11,0),0)</f>
        <v>56689</v>
      </c>
      <c r="R11" s="127"/>
    </row>
    <row r="12" spans="1:18" x14ac:dyDescent="0.2">
      <c r="A12" s="918">
        <v>22</v>
      </c>
      <c r="B12" s="710" t="s">
        <v>9</v>
      </c>
      <c r="C12" s="76">
        <f>'rozpis pro rozpocet'!G50</f>
        <v>87710.5</v>
      </c>
      <c r="D12" s="77"/>
      <c r="E12" s="78">
        <f>'rozpis pro rozpocet'!E50</f>
        <v>22858</v>
      </c>
      <c r="F12" s="79">
        <f t="shared" si="2"/>
        <v>3.8367122910583855E-2</v>
      </c>
      <c r="G12" s="78">
        <f t="shared" si="0"/>
        <v>2714.5014425452805</v>
      </c>
      <c r="H12" s="700">
        <f t="shared" si="3"/>
        <v>90425.001442545283</v>
      </c>
      <c r="I12" s="78">
        <f>'rozpis pro rozpocet'!H50</f>
        <v>0</v>
      </c>
      <c r="J12" s="77"/>
      <c r="K12" s="81">
        <f t="shared" si="4"/>
        <v>733.39791355899627</v>
      </c>
      <c r="L12" s="660">
        <f t="shared" si="1"/>
        <v>733.39791355899627</v>
      </c>
      <c r="M12" s="80">
        <f t="shared" si="5"/>
        <v>0</v>
      </c>
      <c r="N12" s="80">
        <f t="shared" si="6"/>
        <v>733.39791355899627</v>
      </c>
      <c r="O12" s="78">
        <f t="shared" si="7"/>
        <v>-3447.8993561042766</v>
      </c>
      <c r="P12" s="679">
        <f t="shared" si="8"/>
        <v>19410.100643895723</v>
      </c>
      <c r="Q12" s="82">
        <f t="shared" ref="Q12:Q18" si="9">TRUNC(ROUND(P12,0),0)</f>
        <v>19410</v>
      </c>
      <c r="R12" s="127"/>
    </row>
    <row r="13" spans="1:18" x14ac:dyDescent="0.2">
      <c r="A13" s="918">
        <v>23</v>
      </c>
      <c r="B13" s="710" t="s">
        <v>10</v>
      </c>
      <c r="C13" s="76">
        <f>'rozpis pro rozpocet'!G51</f>
        <v>106546.4</v>
      </c>
      <c r="D13" s="77"/>
      <c r="E13" s="78">
        <f>'rozpis pro rozpocet'!E51</f>
        <v>33977</v>
      </c>
      <c r="F13" s="79">
        <f t="shared" si="2"/>
        <v>5.7030349773948191E-2</v>
      </c>
      <c r="G13" s="78">
        <f t="shared" si="0"/>
        <v>4034.938118530099</v>
      </c>
      <c r="H13" s="700">
        <f t="shared" si="3"/>
        <v>110581.3381185301</v>
      </c>
      <c r="I13" s="78">
        <f>'rozpis pro rozpocet'!H51</f>
        <v>200</v>
      </c>
      <c r="J13" s="77"/>
      <c r="K13" s="81">
        <f t="shared" si="4"/>
        <v>1090.1505341234586</v>
      </c>
      <c r="L13" s="660">
        <f t="shared" si="1"/>
        <v>1290.1505341234586</v>
      </c>
      <c r="M13" s="80">
        <f t="shared" si="5"/>
        <v>200</v>
      </c>
      <c r="N13" s="80">
        <f t="shared" si="6"/>
        <v>1090.1505341234586</v>
      </c>
      <c r="O13" s="78">
        <f t="shared" si="7"/>
        <v>-5125.0886526535578</v>
      </c>
      <c r="P13" s="679">
        <f t="shared" si="8"/>
        <v>28851.911347346442</v>
      </c>
      <c r="Q13" s="82">
        <f t="shared" si="9"/>
        <v>28852</v>
      </c>
      <c r="R13" s="127"/>
    </row>
    <row r="14" spans="1:18" x14ac:dyDescent="0.2">
      <c r="A14" s="918">
        <v>31</v>
      </c>
      <c r="B14" s="710" t="s">
        <v>11</v>
      </c>
      <c r="C14" s="76">
        <f>'rozpis pro rozpocet'!G52</f>
        <v>230684.6</v>
      </c>
      <c r="D14" s="77"/>
      <c r="E14" s="78">
        <f>'rozpis pro rozpocet'!E52</f>
        <v>234595.7</v>
      </c>
      <c r="F14" s="79">
        <f t="shared" si="2"/>
        <v>0.39376857363699613</v>
      </c>
      <c r="G14" s="78">
        <f t="shared" si="0"/>
        <v>27859.408787510714</v>
      </c>
      <c r="H14" s="700">
        <f t="shared" si="3"/>
        <v>258544.00878751071</v>
      </c>
      <c r="I14" s="78">
        <f>'rozpis pro rozpocet'!H52</f>
        <v>2200</v>
      </c>
      <c r="J14" s="77"/>
      <c r="K14" s="81">
        <f t="shared" si="4"/>
        <v>7526.9926025860632</v>
      </c>
      <c r="L14" s="660">
        <f t="shared" si="1"/>
        <v>9726.9926025860623</v>
      </c>
      <c r="M14" s="80">
        <f t="shared" si="5"/>
        <v>2200</v>
      </c>
      <c r="N14" s="80">
        <f t="shared" si="6"/>
        <v>7526.9926025860623</v>
      </c>
      <c r="O14" s="78">
        <f t="shared" si="7"/>
        <v>-35386.401390096777</v>
      </c>
      <c r="P14" s="679">
        <f t="shared" si="8"/>
        <v>199209.29860990323</v>
      </c>
      <c r="Q14" s="82">
        <f t="shared" si="9"/>
        <v>199209</v>
      </c>
      <c r="R14" s="127"/>
    </row>
    <row r="15" spans="1:18" x14ac:dyDescent="0.2">
      <c r="A15" s="918">
        <v>33</v>
      </c>
      <c r="B15" s="710" t="s">
        <v>12</v>
      </c>
      <c r="C15" s="76">
        <f>'rozpis pro rozpocet'!G53</f>
        <v>96045.3</v>
      </c>
      <c r="D15" s="77"/>
      <c r="E15" s="78">
        <f>'rozpis pro rozpocet'!E53</f>
        <v>38973</v>
      </c>
      <c r="F15" s="79">
        <f t="shared" si="2"/>
        <v>6.5416129197400683E-2</v>
      </c>
      <c r="G15" s="78">
        <f t="shared" si="0"/>
        <v>4628.2380225880315</v>
      </c>
      <c r="H15" s="700">
        <f t="shared" si="3"/>
        <v>100673.53802258804</v>
      </c>
      <c r="I15" s="78">
        <f>'rozpis pro rozpocet'!H53</f>
        <v>39500</v>
      </c>
      <c r="J15" s="77"/>
      <c r="K15" s="81">
        <f t="shared" si="4"/>
        <v>1250.4469719631975</v>
      </c>
      <c r="L15" s="660">
        <f t="shared" si="1"/>
        <v>40750.446971963196</v>
      </c>
      <c r="M15" s="80">
        <f t="shared" si="5"/>
        <v>39500</v>
      </c>
      <c r="N15" s="80">
        <f t="shared" si="6"/>
        <v>1250.4469719631961</v>
      </c>
      <c r="O15" s="78">
        <f t="shared" si="7"/>
        <v>-5878.6849945512295</v>
      </c>
      <c r="P15" s="679">
        <f t="shared" si="8"/>
        <v>33094.315005448771</v>
      </c>
      <c r="Q15" s="82">
        <f t="shared" si="9"/>
        <v>33094</v>
      </c>
      <c r="R15" s="127"/>
    </row>
    <row r="16" spans="1:18" x14ac:dyDescent="0.2">
      <c r="A16" s="918">
        <v>41</v>
      </c>
      <c r="B16" s="710" t="s">
        <v>13</v>
      </c>
      <c r="C16" s="76">
        <f>'rozpis pro rozpocet'!G54</f>
        <v>152941.70000000001</v>
      </c>
      <c r="D16" s="77"/>
      <c r="E16" s="78">
        <f>'rozpis pro rozpocet'!E54</f>
        <v>31202.2</v>
      </c>
      <c r="F16" s="79">
        <f t="shared" si="2"/>
        <v>5.237285162659111E-2</v>
      </c>
      <c r="G16" s="78">
        <f t="shared" si="0"/>
        <v>3705.4167867086512</v>
      </c>
      <c r="H16" s="700">
        <f t="shared" si="3"/>
        <v>156647.11678670868</v>
      </c>
      <c r="I16" s="78">
        <f>'rozpis pro rozpocet'!H54</f>
        <v>700</v>
      </c>
      <c r="J16" s="77"/>
      <c r="K16" s="81">
        <f t="shared" si="4"/>
        <v>1001.1211995122283</v>
      </c>
      <c r="L16" s="660">
        <f t="shared" si="1"/>
        <v>1701.1211995122283</v>
      </c>
      <c r="M16" s="80">
        <f t="shared" si="5"/>
        <v>700</v>
      </c>
      <c r="N16" s="80">
        <f t="shared" si="6"/>
        <v>1001.1211995122283</v>
      </c>
      <c r="O16" s="78">
        <f t="shared" si="7"/>
        <v>-4706.5379862208792</v>
      </c>
      <c r="P16" s="679">
        <f t="shared" si="8"/>
        <v>26495.662013779121</v>
      </c>
      <c r="Q16" s="82">
        <f t="shared" si="9"/>
        <v>26496</v>
      </c>
      <c r="R16" s="127"/>
    </row>
    <row r="17" spans="1:18" x14ac:dyDescent="0.2">
      <c r="A17" s="918">
        <v>51</v>
      </c>
      <c r="B17" s="710" t="s">
        <v>14</v>
      </c>
      <c r="C17" s="76">
        <f>'rozpis pro rozpocet'!G55</f>
        <v>68336.800000000003</v>
      </c>
      <c r="D17" s="77"/>
      <c r="E17" s="78">
        <f>'rozpis pro rozpocet'!E55</f>
        <v>3951.8</v>
      </c>
      <c r="F17" s="79">
        <f t="shared" si="2"/>
        <v>6.6330910979983063E-3</v>
      </c>
      <c r="G17" s="78">
        <f t="shared" si="0"/>
        <v>469.29594893037182</v>
      </c>
      <c r="H17" s="700">
        <f t="shared" si="3"/>
        <v>68806.095948930379</v>
      </c>
      <c r="I17" s="78">
        <f>'rozpis pro rozpocet'!H55</f>
        <v>300</v>
      </c>
      <c r="J17" s="77"/>
      <c r="K17" s="81">
        <f t="shared" si="4"/>
        <v>126.79332727283409</v>
      </c>
      <c r="L17" s="660">
        <f t="shared" si="1"/>
        <v>426.79332727283406</v>
      </c>
      <c r="M17" s="80">
        <f t="shared" si="5"/>
        <v>300</v>
      </c>
      <c r="N17" s="80">
        <f t="shared" si="6"/>
        <v>126.79332727283406</v>
      </c>
      <c r="O17" s="78">
        <f t="shared" si="7"/>
        <v>-596.08927620320594</v>
      </c>
      <c r="P17" s="679">
        <f t="shared" si="8"/>
        <v>3355.7107237967944</v>
      </c>
      <c r="Q17" s="82">
        <f t="shared" si="9"/>
        <v>3356</v>
      </c>
      <c r="R17" s="127"/>
    </row>
    <row r="18" spans="1:18" ht="12.75" thickBot="1" x14ac:dyDescent="0.25">
      <c r="A18" s="919">
        <v>56</v>
      </c>
      <c r="B18" s="711" t="s">
        <v>15</v>
      </c>
      <c r="C18" s="83">
        <f>'rozpis pro rozpocet'!G56</f>
        <v>96676.6</v>
      </c>
      <c r="D18" s="84"/>
      <c r="E18" s="78">
        <f>'rozpis pro rozpocet'!E56</f>
        <v>14645</v>
      </c>
      <c r="F18" s="86">
        <f t="shared" si="2"/>
        <v>2.458161322186983E-2</v>
      </c>
      <c r="G18" s="85">
        <f t="shared" si="0"/>
        <v>1739.1667523875944</v>
      </c>
      <c r="H18" s="701">
        <f t="shared" si="3"/>
        <v>98415.766752387601</v>
      </c>
      <c r="I18" s="85">
        <f>'rozpis pro rozpocet'!H56</f>
        <v>0</v>
      </c>
      <c r="J18" s="84"/>
      <c r="K18" s="88">
        <f>-F18*$J$36</f>
        <v>469.8841737716117</v>
      </c>
      <c r="L18" s="661">
        <f t="shared" si="1"/>
        <v>469.8841737716117</v>
      </c>
      <c r="M18" s="80">
        <f t="shared" si="5"/>
        <v>0</v>
      </c>
      <c r="N18" s="87">
        <f t="shared" si="6"/>
        <v>469.8841737716117</v>
      </c>
      <c r="O18" s="85">
        <f t="shared" si="7"/>
        <v>-2209.050926159206</v>
      </c>
      <c r="P18" s="680">
        <f t="shared" si="8"/>
        <v>12435.949073840795</v>
      </c>
      <c r="Q18" s="82">
        <f t="shared" si="9"/>
        <v>12436</v>
      </c>
      <c r="R18" s="127"/>
    </row>
    <row r="19" spans="1:18" ht="13.5" customHeight="1" thickBot="1" x14ac:dyDescent="0.25">
      <c r="A19" s="1654" t="s">
        <v>375</v>
      </c>
      <c r="B19" s="1655"/>
      <c r="C19" s="90">
        <f>SUM(C10:C18)</f>
        <v>1319029.1000000001</v>
      </c>
      <c r="D19" s="91">
        <f t="shared" ref="D19:I19" si="10">SUM(D10:D18)</f>
        <v>0</v>
      </c>
      <c r="E19" s="91">
        <f t="shared" si="10"/>
        <v>518366.4</v>
      </c>
      <c r="F19" s="92">
        <f t="shared" si="10"/>
        <v>0.87007732004186167</v>
      </c>
      <c r="G19" s="91">
        <f t="shared" si="10"/>
        <v>61558.5939525332</v>
      </c>
      <c r="H19" s="702">
        <f t="shared" si="10"/>
        <v>1380587.6939525332</v>
      </c>
      <c r="I19" s="91">
        <f t="shared" si="10"/>
        <v>43646</v>
      </c>
      <c r="J19" s="91">
        <f t="shared" ref="J19:P19" si="11">SUM(J10:J18)</f>
        <v>0</v>
      </c>
      <c r="K19" s="91">
        <f t="shared" si="11"/>
        <v>16631.7628934766</v>
      </c>
      <c r="L19" s="662">
        <f t="shared" si="11"/>
        <v>60277.762893476603</v>
      </c>
      <c r="M19" s="93">
        <f t="shared" si="11"/>
        <v>43646</v>
      </c>
      <c r="N19" s="93">
        <f t="shared" si="11"/>
        <v>16631.762893476596</v>
      </c>
      <c r="O19" s="91">
        <f t="shared" si="11"/>
        <v>-78190.356846009803</v>
      </c>
      <c r="P19" s="681">
        <f t="shared" si="11"/>
        <v>440176.04315399023</v>
      </c>
      <c r="Q19" s="94">
        <f>SUM(Q10:Q18)</f>
        <v>440176</v>
      </c>
      <c r="R19" s="127"/>
    </row>
    <row r="20" spans="1:18" x14ac:dyDescent="0.2">
      <c r="A20" s="920">
        <v>71</v>
      </c>
      <c r="B20" s="921" t="s">
        <v>203</v>
      </c>
      <c r="C20" s="96">
        <f>'rozpis pro rozpocet'!G58</f>
        <v>0</v>
      </c>
      <c r="D20" s="97"/>
      <c r="E20" s="78">
        <f>'rozpis pro rozpocet'!E58</f>
        <v>77404.100000000006</v>
      </c>
      <c r="F20" s="99">
        <f>E20/SUM($E$10:$E$18,$E$20)</f>
        <v>0.12992267995813825</v>
      </c>
      <c r="G20" s="98">
        <f>F20*-$D$32</f>
        <v>9192.1227189132533</v>
      </c>
      <c r="H20" s="703">
        <f t="shared" si="3"/>
        <v>9192.1227189132533</v>
      </c>
      <c r="I20" s="803">
        <f>'rozpis pro rozpocet'!H58</f>
        <v>2000</v>
      </c>
      <c r="J20" s="97"/>
      <c r="K20" s="101">
        <f>-F20*$J$36</f>
        <v>2483.5071065234015</v>
      </c>
      <c r="L20" s="663">
        <f>I20+K20</f>
        <v>4483.5071065234015</v>
      </c>
      <c r="M20" s="80">
        <f>I20+J20</f>
        <v>2000</v>
      </c>
      <c r="N20" s="100">
        <f t="shared" ref="N20:N35" si="12">L20-M20</f>
        <v>2483.5071065234015</v>
      </c>
      <c r="O20" s="98">
        <f t="shared" ref="O20:O31" si="13">-D20-G20-J20-K20</f>
        <v>-11675.629825436656</v>
      </c>
      <c r="P20" s="682">
        <f t="shared" ref="P20:P31" si="14">O20+E20</f>
        <v>65728.47017456335</v>
      </c>
      <c r="Q20" s="102">
        <v>65729</v>
      </c>
      <c r="R20" s="127"/>
    </row>
    <row r="21" spans="1:18" x14ac:dyDescent="0.2">
      <c r="A21" s="920">
        <v>79</v>
      </c>
      <c r="B21" s="921" t="s">
        <v>296</v>
      </c>
      <c r="C21" s="96">
        <f>'rozpis pro rozpocet'!G59</f>
        <v>0</v>
      </c>
      <c r="D21" s="97"/>
      <c r="E21" s="78">
        <f>'rozpis pro rozpocet'!E59</f>
        <v>0</v>
      </c>
      <c r="F21" s="99"/>
      <c r="G21" s="98"/>
      <c r="H21" s="703"/>
      <c r="I21" s="98">
        <f>'rozpis pro rozpocet'!H59</f>
        <v>5340</v>
      </c>
      <c r="J21" s="97"/>
      <c r="K21" s="101"/>
      <c r="L21" s="663">
        <f>I21+K21</f>
        <v>5340</v>
      </c>
      <c r="M21" s="80">
        <f>I21+J21</f>
        <v>5340</v>
      </c>
      <c r="N21" s="100">
        <f t="shared" si="12"/>
        <v>0</v>
      </c>
      <c r="O21" s="98"/>
      <c r="P21" s="682"/>
      <c r="Q21" s="102">
        <f t="shared" ref="Q21:Q30" si="15">TRUNC(ROUND(P21,0),0)</f>
        <v>0</v>
      </c>
      <c r="R21" s="127"/>
    </row>
    <row r="22" spans="1:18" x14ac:dyDescent="0.2">
      <c r="A22" s="922">
        <v>81</v>
      </c>
      <c r="B22" s="923" t="s">
        <v>71</v>
      </c>
      <c r="C22" s="96">
        <f>'rozpis pro rozpocet'!G60</f>
        <v>0</v>
      </c>
      <c r="D22" s="77"/>
      <c r="E22" s="78">
        <f>'rozpis pro rozpocet'!E60</f>
        <v>0</v>
      </c>
      <c r="F22" s="79"/>
      <c r="G22" s="78"/>
      <c r="H22" s="700">
        <f t="shared" si="3"/>
        <v>0</v>
      </c>
      <c r="I22" s="98">
        <f>'rozpis pro rozpocet'!H60</f>
        <v>0</v>
      </c>
      <c r="J22" s="77"/>
      <c r="K22" s="77"/>
      <c r="L22" s="660">
        <f t="shared" ref="L22:L31" si="16">I22+K22+J22</f>
        <v>0</v>
      </c>
      <c r="M22" s="80">
        <f>I22+J22</f>
        <v>0</v>
      </c>
      <c r="N22" s="80">
        <f t="shared" si="12"/>
        <v>0</v>
      </c>
      <c r="O22" s="78">
        <f t="shared" si="13"/>
        <v>0</v>
      </c>
      <c r="P22" s="679">
        <f t="shared" si="14"/>
        <v>0</v>
      </c>
      <c r="Q22" s="102">
        <f t="shared" si="15"/>
        <v>0</v>
      </c>
      <c r="R22" s="127"/>
    </row>
    <row r="23" spans="1:18" x14ac:dyDescent="0.2">
      <c r="A23" s="922">
        <v>82</v>
      </c>
      <c r="B23" s="923" t="s">
        <v>1</v>
      </c>
      <c r="C23" s="96">
        <f>'rozpis pro rozpocet'!G61</f>
        <v>0</v>
      </c>
      <c r="D23" s="77"/>
      <c r="E23" s="78">
        <f>'rozpis pro rozpocet'!E61</f>
        <v>0</v>
      </c>
      <c r="F23" s="79"/>
      <c r="G23" s="78"/>
      <c r="H23" s="700">
        <f t="shared" si="3"/>
        <v>0</v>
      </c>
      <c r="I23" s="98">
        <f>'rozpis pro rozpocet'!H61</f>
        <v>10348</v>
      </c>
      <c r="J23" s="77"/>
      <c r="K23" s="77"/>
      <c r="L23" s="660">
        <f t="shared" si="16"/>
        <v>10348</v>
      </c>
      <c r="M23" s="80">
        <f>I23+J23</f>
        <v>10348</v>
      </c>
      <c r="N23" s="80">
        <f t="shared" si="12"/>
        <v>0</v>
      </c>
      <c r="O23" s="78">
        <f t="shared" si="13"/>
        <v>0</v>
      </c>
      <c r="P23" s="679">
        <f t="shared" si="14"/>
        <v>0</v>
      </c>
      <c r="Q23" s="102">
        <f t="shared" si="15"/>
        <v>0</v>
      </c>
      <c r="R23" s="127"/>
    </row>
    <row r="24" spans="1:18" x14ac:dyDescent="0.2">
      <c r="A24" s="922">
        <v>83</v>
      </c>
      <c r="B24" s="923" t="s">
        <v>83</v>
      </c>
      <c r="C24" s="96">
        <f>'rozpis pro rozpocet'!G62</f>
        <v>4559</v>
      </c>
      <c r="D24" s="77"/>
      <c r="E24" s="78">
        <f>'rozpis pro rozpocet'!E62</f>
        <v>0</v>
      </c>
      <c r="F24" s="79"/>
      <c r="G24" s="78"/>
      <c r="H24" s="700">
        <f t="shared" si="3"/>
        <v>4559</v>
      </c>
      <c r="I24" s="98">
        <f>'rozpis pro rozpocet'!H62</f>
        <v>2070</v>
      </c>
      <c r="J24" s="77"/>
      <c r="K24" s="77"/>
      <c r="L24" s="660">
        <f t="shared" si="16"/>
        <v>2070</v>
      </c>
      <c r="M24" s="80">
        <f t="shared" ref="M24:M31" si="17">I24+J24</f>
        <v>2070</v>
      </c>
      <c r="N24" s="80">
        <f t="shared" si="12"/>
        <v>0</v>
      </c>
      <c r="O24" s="78">
        <f t="shared" si="13"/>
        <v>0</v>
      </c>
      <c r="P24" s="679">
        <f t="shared" si="14"/>
        <v>0</v>
      </c>
      <c r="Q24" s="102">
        <f t="shared" si="15"/>
        <v>0</v>
      </c>
      <c r="R24" s="127"/>
    </row>
    <row r="25" spans="1:18" x14ac:dyDescent="0.2">
      <c r="A25" s="922">
        <v>84</v>
      </c>
      <c r="B25" s="923" t="s">
        <v>82</v>
      </c>
      <c r="C25" s="96">
        <f>'rozpis pro rozpocet'!G63</f>
        <v>3000</v>
      </c>
      <c r="D25" s="77"/>
      <c r="E25" s="78">
        <f>'rozpis pro rozpocet'!E63</f>
        <v>673.4</v>
      </c>
      <c r="F25" s="79"/>
      <c r="G25" s="77"/>
      <c r="H25" s="700">
        <f t="shared" si="3"/>
        <v>3000</v>
      </c>
      <c r="I25" s="98">
        <f>'rozpis pro rozpocet'!H63</f>
        <v>10</v>
      </c>
      <c r="J25" s="77"/>
      <c r="K25" s="77"/>
      <c r="L25" s="660">
        <f t="shared" si="16"/>
        <v>10</v>
      </c>
      <c r="M25" s="80">
        <f t="shared" si="17"/>
        <v>10</v>
      </c>
      <c r="N25" s="80">
        <f t="shared" si="12"/>
        <v>0</v>
      </c>
      <c r="O25" s="78">
        <f t="shared" si="13"/>
        <v>0</v>
      </c>
      <c r="P25" s="679">
        <f t="shared" si="14"/>
        <v>673.4</v>
      </c>
      <c r="Q25" s="102">
        <f t="shared" si="15"/>
        <v>673</v>
      </c>
      <c r="R25" s="127"/>
    </row>
    <row r="26" spans="1:18" x14ac:dyDescent="0.2">
      <c r="A26" s="922">
        <v>85</v>
      </c>
      <c r="B26" s="923" t="s">
        <v>105</v>
      </c>
      <c r="C26" s="96">
        <f>'rozpis pro rozpocet'!G64</f>
        <v>0</v>
      </c>
      <c r="D26" s="77"/>
      <c r="E26" s="78">
        <f>'rozpis pro rozpocet'!E64</f>
        <v>1275</v>
      </c>
      <c r="F26" s="79"/>
      <c r="G26" s="77"/>
      <c r="H26" s="700">
        <f t="shared" si="3"/>
        <v>0</v>
      </c>
      <c r="I26" s="98">
        <f>'rozpis pro rozpocet'!H64</f>
        <v>0</v>
      </c>
      <c r="J26" s="77"/>
      <c r="K26" s="77"/>
      <c r="L26" s="660">
        <f t="shared" si="16"/>
        <v>0</v>
      </c>
      <c r="M26" s="80">
        <f t="shared" si="17"/>
        <v>0</v>
      </c>
      <c r="N26" s="80">
        <f t="shared" si="12"/>
        <v>0</v>
      </c>
      <c r="O26" s="78">
        <f t="shared" si="13"/>
        <v>0</v>
      </c>
      <c r="P26" s="679">
        <f t="shared" si="14"/>
        <v>1275</v>
      </c>
      <c r="Q26" s="102">
        <f t="shared" si="15"/>
        <v>1275</v>
      </c>
      <c r="R26" s="127"/>
    </row>
    <row r="27" spans="1:18" x14ac:dyDescent="0.2">
      <c r="A27" s="922">
        <v>87</v>
      </c>
      <c r="B27" s="923" t="s">
        <v>134</v>
      </c>
      <c r="C27" s="96">
        <f>'rozpis pro rozpocet'!G65</f>
        <v>7724</v>
      </c>
      <c r="D27" s="78">
        <f>-$D$5*C27</f>
        <v>-3012.36</v>
      </c>
      <c r="E27" s="78">
        <f>'rozpis pro rozpocet'!E65</f>
        <v>0</v>
      </c>
      <c r="F27" s="79"/>
      <c r="G27" s="77"/>
      <c r="H27" s="700">
        <f>C27+G27+D27</f>
        <v>4711.6399999999994</v>
      </c>
      <c r="I27" s="98">
        <f>'rozpis pro rozpocet'!H65</f>
        <v>800</v>
      </c>
      <c r="J27" s="78">
        <f>-'příl.1 - cp 2017'!L21-'příl.1 - cp 2017'!L124</f>
        <v>-767</v>
      </c>
      <c r="K27" s="78"/>
      <c r="L27" s="660">
        <f t="shared" si="16"/>
        <v>33</v>
      </c>
      <c r="M27" s="80">
        <f t="shared" si="17"/>
        <v>33</v>
      </c>
      <c r="N27" s="80">
        <f t="shared" si="12"/>
        <v>0</v>
      </c>
      <c r="O27" s="78">
        <f>-D27-G27-J27-K27</f>
        <v>3779.36</v>
      </c>
      <c r="P27" s="679">
        <f t="shared" si="14"/>
        <v>3779.36</v>
      </c>
      <c r="Q27" s="102">
        <f t="shared" si="15"/>
        <v>3779</v>
      </c>
      <c r="R27" s="127"/>
    </row>
    <row r="28" spans="1:18" x14ac:dyDescent="0.2">
      <c r="A28" s="922">
        <v>92</v>
      </c>
      <c r="B28" s="923" t="s">
        <v>17</v>
      </c>
      <c r="C28" s="96">
        <f>'rozpis pro rozpocet'!G66</f>
        <v>96197</v>
      </c>
      <c r="D28" s="78">
        <f>-$D$5*C28</f>
        <v>-37516.83</v>
      </c>
      <c r="E28" s="78">
        <f>'rozpis pro rozpocet'!E66</f>
        <v>3793.5</v>
      </c>
      <c r="F28" s="79"/>
      <c r="G28" s="77"/>
      <c r="H28" s="700">
        <f t="shared" si="3"/>
        <v>58680.17</v>
      </c>
      <c r="I28" s="98">
        <f>'rozpis pro rozpocet'!H66</f>
        <v>39070</v>
      </c>
      <c r="J28" s="78">
        <f>-'příl.1 - cp 2017'!L22-'příl.1 - cp 2017'!L146</f>
        <v>-11005.8</v>
      </c>
      <c r="K28" s="78"/>
      <c r="L28" s="660">
        <f t="shared" si="16"/>
        <v>28064.2</v>
      </c>
      <c r="M28" s="80">
        <f t="shared" si="17"/>
        <v>28064.2</v>
      </c>
      <c r="N28" s="80">
        <f t="shared" si="12"/>
        <v>0</v>
      </c>
      <c r="O28" s="78">
        <f t="shared" si="13"/>
        <v>48522.630000000005</v>
      </c>
      <c r="P28" s="679">
        <f>O28+E28</f>
        <v>52316.130000000005</v>
      </c>
      <c r="Q28" s="102">
        <f t="shared" si="15"/>
        <v>52316</v>
      </c>
      <c r="R28" s="127"/>
    </row>
    <row r="29" spans="1:18" x14ac:dyDescent="0.2">
      <c r="A29" s="922">
        <v>96</v>
      </c>
      <c r="B29" s="923" t="s">
        <v>24</v>
      </c>
      <c r="C29" s="96">
        <f>'rozpis pro rozpocet'!G67</f>
        <v>32000</v>
      </c>
      <c r="D29" s="78"/>
      <c r="E29" s="78">
        <f>'rozpis pro rozpocet'!E67</f>
        <v>819.7</v>
      </c>
      <c r="F29" s="79"/>
      <c r="G29" s="77"/>
      <c r="H29" s="700">
        <f t="shared" si="3"/>
        <v>32000</v>
      </c>
      <c r="I29" s="98">
        <f>'rozpis pro rozpocet'!H67</f>
        <v>2</v>
      </c>
      <c r="J29" s="77"/>
      <c r="K29" s="77"/>
      <c r="L29" s="660">
        <f t="shared" si="16"/>
        <v>2</v>
      </c>
      <c r="M29" s="80">
        <f t="shared" si="17"/>
        <v>2</v>
      </c>
      <c r="N29" s="80">
        <f t="shared" si="12"/>
        <v>0</v>
      </c>
      <c r="O29" s="78">
        <f t="shared" si="13"/>
        <v>0</v>
      </c>
      <c r="P29" s="679">
        <f t="shared" si="14"/>
        <v>819.7</v>
      </c>
      <c r="Q29" s="102">
        <f t="shared" si="15"/>
        <v>820</v>
      </c>
      <c r="R29" s="127"/>
    </row>
    <row r="30" spans="1:18" x14ac:dyDescent="0.2">
      <c r="A30" s="922">
        <v>97</v>
      </c>
      <c r="B30" s="923" t="s">
        <v>25</v>
      </c>
      <c r="C30" s="96">
        <f>'rozpis pro rozpocet'!G68</f>
        <v>9450</v>
      </c>
      <c r="D30" s="78"/>
      <c r="E30" s="78">
        <f>'rozpis pro rozpocet'!E68</f>
        <v>0</v>
      </c>
      <c r="F30" s="79"/>
      <c r="G30" s="77"/>
      <c r="H30" s="700">
        <f>C30+G30+D30</f>
        <v>9450</v>
      </c>
      <c r="I30" s="98">
        <f>'rozpis pro rozpocet'!H68</f>
        <v>0</v>
      </c>
      <c r="J30" s="78"/>
      <c r="K30" s="77"/>
      <c r="L30" s="660">
        <f t="shared" si="16"/>
        <v>0</v>
      </c>
      <c r="M30" s="80">
        <f t="shared" si="17"/>
        <v>0</v>
      </c>
      <c r="N30" s="80">
        <f t="shared" si="12"/>
        <v>0</v>
      </c>
      <c r="O30" s="78">
        <f t="shared" si="13"/>
        <v>0</v>
      </c>
      <c r="P30" s="679">
        <f t="shared" si="14"/>
        <v>0</v>
      </c>
      <c r="Q30" s="102">
        <f t="shared" si="15"/>
        <v>0</v>
      </c>
      <c r="R30" s="127"/>
    </row>
    <row r="31" spans="1:18" ht="12.75" thickBot="1" x14ac:dyDescent="0.25">
      <c r="A31" s="924">
        <v>99</v>
      </c>
      <c r="B31" s="925" t="s">
        <v>85</v>
      </c>
      <c r="C31" s="96">
        <f>'rozpis pro rozpocet'!G69</f>
        <v>77491.094029349857</v>
      </c>
      <c r="D31" s="85">
        <f>-C31*$D$5</f>
        <v>-30221.526671446445</v>
      </c>
      <c r="E31" s="78">
        <f>'rozpis pro rozpocet'!E69</f>
        <v>24439.5</v>
      </c>
      <c r="F31" s="86"/>
      <c r="G31" s="84"/>
      <c r="H31" s="701">
        <f t="shared" si="3"/>
        <v>47269.567357903412</v>
      </c>
      <c r="I31" s="803">
        <f>'rozpis pro rozpocet'!H69</f>
        <v>82872</v>
      </c>
      <c r="J31" s="85">
        <f>-'příl.1 - cp 2017'!L25-'příl.1 - cp 2017'!L83</f>
        <v>-7342.47</v>
      </c>
      <c r="K31" s="85"/>
      <c r="L31" s="661">
        <f t="shared" si="16"/>
        <v>75529.53</v>
      </c>
      <c r="M31" s="80">
        <f t="shared" si="17"/>
        <v>75529.53</v>
      </c>
      <c r="N31" s="87">
        <f t="shared" si="12"/>
        <v>0</v>
      </c>
      <c r="O31" s="85">
        <f t="shared" si="13"/>
        <v>37563.996671446446</v>
      </c>
      <c r="P31" s="680">
        <f t="shared" si="14"/>
        <v>62003.496671446446</v>
      </c>
      <c r="Q31" s="102">
        <v>62004</v>
      </c>
      <c r="R31" s="127"/>
    </row>
    <row r="32" spans="1:18" ht="13.5" customHeight="1" thickBot="1" x14ac:dyDescent="0.25">
      <c r="A32" s="1656" t="s">
        <v>376</v>
      </c>
      <c r="B32" s="1657"/>
      <c r="C32" s="104">
        <f t="shared" ref="C32:I32" si="18">SUM(C20:C31)</f>
        <v>230421.09402934986</v>
      </c>
      <c r="D32" s="105">
        <f t="shared" si="18"/>
        <v>-70750.716671446455</v>
      </c>
      <c r="E32" s="105">
        <f t="shared" si="18"/>
        <v>108405.2</v>
      </c>
      <c r="F32" s="106">
        <f t="shared" si="18"/>
        <v>0.12992267995813825</v>
      </c>
      <c r="G32" s="105">
        <f t="shared" si="18"/>
        <v>9192.1227189132533</v>
      </c>
      <c r="H32" s="704">
        <f t="shared" si="18"/>
        <v>168862.50007681665</v>
      </c>
      <c r="I32" s="105">
        <f t="shared" si="18"/>
        <v>142512</v>
      </c>
      <c r="J32" s="105">
        <f t="shared" ref="J32:P32" si="19">SUM(J20:J31)</f>
        <v>-19115.27</v>
      </c>
      <c r="K32" s="105">
        <f t="shared" si="19"/>
        <v>2483.5071065234015</v>
      </c>
      <c r="L32" s="664">
        <f t="shared" si="19"/>
        <v>125880.2371065234</v>
      </c>
      <c r="M32" s="107">
        <f t="shared" si="19"/>
        <v>123396.73</v>
      </c>
      <c r="N32" s="107">
        <f t="shared" si="19"/>
        <v>2483.5071065234015</v>
      </c>
      <c r="O32" s="105">
        <f t="shared" si="19"/>
        <v>78190.356846009789</v>
      </c>
      <c r="P32" s="683">
        <f t="shared" si="19"/>
        <v>186595.5568460098</v>
      </c>
      <c r="Q32" s="108">
        <f>SUM(Q20:Q31)</f>
        <v>186596</v>
      </c>
      <c r="R32" s="127"/>
    </row>
    <row r="33" spans="1:18" x14ac:dyDescent="0.2">
      <c r="A33" s="926" t="s">
        <v>339</v>
      </c>
      <c r="B33" s="927"/>
      <c r="C33" s="96">
        <f t="shared" ref="C33:I33" si="20">C19+C20</f>
        <v>1319029.1000000001</v>
      </c>
      <c r="D33" s="98">
        <f t="shared" si="20"/>
        <v>0</v>
      </c>
      <c r="E33" s="98">
        <f t="shared" si="20"/>
        <v>595770.5</v>
      </c>
      <c r="F33" s="99">
        <f t="shared" si="20"/>
        <v>0.99999999999999989</v>
      </c>
      <c r="G33" s="98">
        <f t="shared" si="20"/>
        <v>70750.716671446455</v>
      </c>
      <c r="H33" s="703">
        <f t="shared" si="20"/>
        <v>1389779.8166714464</v>
      </c>
      <c r="I33" s="98">
        <f t="shared" si="20"/>
        <v>45646</v>
      </c>
      <c r="J33" s="98">
        <f t="shared" ref="J33:P33" si="21">J19+J20</f>
        <v>0</v>
      </c>
      <c r="K33" s="98">
        <f t="shared" si="21"/>
        <v>19115.27</v>
      </c>
      <c r="L33" s="663">
        <f t="shared" si="21"/>
        <v>64761.270000000004</v>
      </c>
      <c r="M33" s="100">
        <f t="shared" si="21"/>
        <v>45646</v>
      </c>
      <c r="N33" s="80">
        <f t="shared" si="12"/>
        <v>19115.270000000004</v>
      </c>
      <c r="O33" s="98">
        <f t="shared" si="21"/>
        <v>-89865.986671446459</v>
      </c>
      <c r="P33" s="682">
        <f t="shared" si="21"/>
        <v>505904.51332855358</v>
      </c>
      <c r="Q33" s="682">
        <f>Q19+Q20</f>
        <v>505905</v>
      </c>
      <c r="R33" s="127"/>
    </row>
    <row r="34" spans="1:18" x14ac:dyDescent="0.2">
      <c r="A34" s="926" t="s">
        <v>337</v>
      </c>
      <c r="B34" s="927"/>
      <c r="C34" s="110"/>
      <c r="D34" s="77"/>
      <c r="E34" s="77"/>
      <c r="F34" s="79"/>
      <c r="G34" s="77"/>
      <c r="H34" s="700"/>
      <c r="I34" s="78">
        <f>'rozpis pro rozpocet'!H71</f>
        <v>88000</v>
      </c>
      <c r="J34" s="77"/>
      <c r="K34" s="77"/>
      <c r="L34" s="660">
        <f>I34+K34</f>
        <v>88000</v>
      </c>
      <c r="M34" s="80">
        <f>L34</f>
        <v>88000</v>
      </c>
      <c r="N34" s="80">
        <f t="shared" si="12"/>
        <v>0</v>
      </c>
      <c r="O34" s="78">
        <f>G34+K34</f>
        <v>0</v>
      </c>
      <c r="P34" s="679">
        <f>O34+E34</f>
        <v>0</v>
      </c>
      <c r="Q34" s="82"/>
      <c r="R34" s="127"/>
    </row>
    <row r="35" spans="1:18" ht="12.75" thickBot="1" x14ac:dyDescent="0.25">
      <c r="A35" s="926" t="s">
        <v>33</v>
      </c>
      <c r="B35" s="927"/>
      <c r="C35" s="111"/>
      <c r="D35" s="84"/>
      <c r="E35" s="84"/>
      <c r="F35" s="86"/>
      <c r="G35" s="84"/>
      <c r="H35" s="701"/>
      <c r="I35" s="85">
        <f>'rozpis pro rozpocet'!I69</f>
        <v>19000</v>
      </c>
      <c r="J35" s="84"/>
      <c r="K35" s="84"/>
      <c r="L35" s="661">
        <f>I35</f>
        <v>19000</v>
      </c>
      <c r="M35" s="87">
        <f>L35</f>
        <v>19000</v>
      </c>
      <c r="N35" s="80">
        <f t="shared" si="12"/>
        <v>0</v>
      </c>
      <c r="O35" s="85"/>
      <c r="P35" s="680"/>
      <c r="Q35" s="89"/>
      <c r="R35" s="127"/>
    </row>
    <row r="36" spans="1:18" ht="12.75" thickBot="1" x14ac:dyDescent="0.25">
      <c r="A36" s="112" t="s">
        <v>329</v>
      </c>
      <c r="B36" s="928"/>
      <c r="C36" s="104">
        <f t="shared" ref="C36:H36" si="22">C19+C32+C34</f>
        <v>1549450.1940293498</v>
      </c>
      <c r="D36" s="105">
        <f t="shared" si="22"/>
        <v>-70750.716671446455</v>
      </c>
      <c r="E36" s="105">
        <f>E19+E32+E34</f>
        <v>626771.6</v>
      </c>
      <c r="F36" s="106">
        <f t="shared" si="22"/>
        <v>0.99999999999999989</v>
      </c>
      <c r="G36" s="105">
        <f t="shared" si="22"/>
        <v>70750.716671446455</v>
      </c>
      <c r="H36" s="704">
        <f t="shared" si="22"/>
        <v>1549450.1940293498</v>
      </c>
      <c r="I36" s="105">
        <f>I19+I32+I34+I35</f>
        <v>293158</v>
      </c>
      <c r="J36" s="105">
        <f>J19+J32+J34+J35</f>
        <v>-19115.27</v>
      </c>
      <c r="K36" s="105">
        <f t="shared" ref="K36:P36" si="23">K19+K32+K34+K35</f>
        <v>19115.27</v>
      </c>
      <c r="L36" s="664">
        <f>L19+L32+L34+L35</f>
        <v>293158</v>
      </c>
      <c r="M36" s="107">
        <f t="shared" si="23"/>
        <v>274042.73</v>
      </c>
      <c r="N36" s="107">
        <f t="shared" si="23"/>
        <v>19115.269999999997</v>
      </c>
      <c r="O36" s="105">
        <f t="shared" si="23"/>
        <v>-1.4551915228366852E-11</v>
      </c>
      <c r="P36" s="683">
        <f t="shared" si="23"/>
        <v>626771.60000000009</v>
      </c>
      <c r="Q36" s="108">
        <f>Q19+Q32+Q34+Q35</f>
        <v>626772</v>
      </c>
      <c r="R36" s="127"/>
    </row>
    <row r="37" spans="1:18" ht="12.75" thickBot="1" x14ac:dyDescent="0.25">
      <c r="B37" s="113"/>
      <c r="C37" s="1085">
        <f>'rozpis pro rozpocet'!G72</f>
        <v>1549450.1940293498</v>
      </c>
      <c r="D37" s="114"/>
      <c r="E37" s="1086">
        <f>'rozpis pro rozpocet'!E72</f>
        <v>626771.6</v>
      </c>
      <c r="F37" s="114"/>
      <c r="G37" s="114"/>
      <c r="H37" s="114"/>
      <c r="I37" s="1086">
        <f>'rozpis pro rozpocet'!H72+I35</f>
        <v>293158</v>
      </c>
      <c r="J37" s="114"/>
      <c r="K37" s="115"/>
      <c r="L37" s="115"/>
      <c r="M37" s="115"/>
      <c r="N37" s="1086">
        <f>'příl.1 - cp 2017'!L163</f>
        <v>19115.27</v>
      </c>
      <c r="O37" s="116">
        <f>G37+K37</f>
        <v>0</v>
      </c>
      <c r="P37" s="117">
        <f>O37+E37</f>
        <v>626771.6</v>
      </c>
      <c r="Q37" s="117"/>
      <c r="R37" s="127"/>
    </row>
    <row r="38" spans="1:18" x14ac:dyDescent="0.2">
      <c r="E38" s="127"/>
      <c r="I38" s="1084">
        <f>C37+I37</f>
        <v>1842608.1940293498</v>
      </c>
      <c r="Q38" s="127"/>
    </row>
    <row r="39" spans="1:18" x14ac:dyDescent="0.2">
      <c r="A39" s="1014" t="s">
        <v>374</v>
      </c>
      <c r="Q39" s="127"/>
    </row>
    <row r="41" spans="1:18" x14ac:dyDescent="0.2">
      <c r="H41" s="768"/>
    </row>
    <row r="42" spans="1:18" x14ac:dyDescent="0.2">
      <c r="H42" s="768"/>
    </row>
  </sheetData>
  <mergeCells count="7">
    <mergeCell ref="M6:N7"/>
    <mergeCell ref="A19:B19"/>
    <mergeCell ref="A32:B32"/>
    <mergeCell ref="D6:D7"/>
    <mergeCell ref="G6:G7"/>
    <mergeCell ref="J6:J7"/>
    <mergeCell ref="K6:K7"/>
  </mergeCells>
  <pageMargins left="0.70866141732283472" right="0.70866141732283472" top="0.78740157480314965" bottom="0.78740157480314965" header="0.31496062992125984" footer="0.31496062992125984"/>
  <pageSetup paperSize="9" scale="81" orientation="landscape" r:id="rId1"/>
  <headerFooter differentFirst="1" scaleWithDoc="0" alignWithMargins="0">
    <oddFooter>&amp;C&amp;9 7</oddFooter>
    <firstFooter>&amp;C&amp;N+7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"/>
  <dimension ref="A2:L95"/>
  <sheetViews>
    <sheetView showGridLines="0" zoomScaleNormal="100" workbookViewId="0"/>
  </sheetViews>
  <sheetFormatPr defaultColWidth="8.7109375" defaultRowHeight="12.75" x14ac:dyDescent="0.2"/>
  <cols>
    <col min="2" max="2" width="9.7109375" customWidth="1"/>
    <col min="3" max="3" width="10" customWidth="1"/>
    <col min="4" max="4" width="9.5703125" customWidth="1"/>
    <col min="5" max="5" width="11.28515625" customWidth="1"/>
    <col min="6" max="6" width="10" customWidth="1"/>
    <col min="7" max="7" width="10.140625" customWidth="1"/>
    <col min="8" max="8" width="11.5703125" customWidth="1"/>
    <col min="9" max="9" width="12" customWidth="1"/>
    <col min="10" max="10" width="11" customWidth="1"/>
    <col min="11" max="11" width="10.42578125" customWidth="1"/>
  </cols>
  <sheetData>
    <row r="2" spans="1:11" ht="15.75" x14ac:dyDescent="0.25">
      <c r="A2" s="121" t="s">
        <v>353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3.5" thickBot="1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5" x14ac:dyDescent="0.25">
      <c r="A5" s="122"/>
      <c r="B5" s="1660" t="s">
        <v>674</v>
      </c>
      <c r="C5" s="1661"/>
      <c r="D5" s="1661"/>
      <c r="E5" s="1661"/>
      <c r="F5" s="1661"/>
      <c r="G5" s="1661"/>
      <c r="H5" s="1661"/>
      <c r="I5" s="1661"/>
      <c r="J5" s="1661"/>
      <c r="K5" s="1662"/>
    </row>
    <row r="6" spans="1:11" ht="36" x14ac:dyDescent="0.2">
      <c r="A6" s="36"/>
      <c r="B6" s="979" t="s">
        <v>286</v>
      </c>
      <c r="C6" s="979" t="s">
        <v>287</v>
      </c>
      <c r="D6" s="979" t="s">
        <v>288</v>
      </c>
      <c r="E6" s="979" t="s">
        <v>289</v>
      </c>
      <c r="F6" s="979" t="s">
        <v>290</v>
      </c>
      <c r="G6" s="979" t="s">
        <v>291</v>
      </c>
      <c r="H6" s="979" t="s">
        <v>292</v>
      </c>
      <c r="I6" s="979" t="s">
        <v>293</v>
      </c>
      <c r="J6" s="979" t="s">
        <v>294</v>
      </c>
      <c r="K6" s="980" t="s">
        <v>295</v>
      </c>
    </row>
    <row r="7" spans="1:11" x14ac:dyDescent="0.2">
      <c r="A7" s="37" t="s">
        <v>7</v>
      </c>
      <c r="B7" s="18">
        <v>747199.54253000091</v>
      </c>
      <c r="C7" s="18">
        <v>53708.549420000003</v>
      </c>
      <c r="D7" s="18">
        <v>15920.043530000003</v>
      </c>
      <c r="E7" s="18">
        <v>16044.15034</v>
      </c>
      <c r="F7" s="18">
        <v>200299.19931000003</v>
      </c>
      <c r="G7" s="18">
        <v>3894.72658</v>
      </c>
      <c r="H7" s="18">
        <v>16044.15034</v>
      </c>
      <c r="I7" s="18">
        <f>B7-C7-D7-E7</f>
        <v>661526.79924000078</v>
      </c>
      <c r="J7" s="18">
        <f>F7-G7-H7</f>
        <v>180360.32239000004</v>
      </c>
      <c r="K7" s="1004">
        <f>J7/I7</f>
        <v>0.27264250306595006</v>
      </c>
    </row>
    <row r="8" spans="1:11" x14ac:dyDescent="0.2">
      <c r="A8" s="37" t="s">
        <v>8</v>
      </c>
      <c r="B8" s="18">
        <v>561261.61521999957</v>
      </c>
      <c r="C8" s="18">
        <v>16406.587010000003</v>
      </c>
      <c r="D8" s="18">
        <v>23829.766340000002</v>
      </c>
      <c r="E8" s="18">
        <v>2694.6030500000002</v>
      </c>
      <c r="F8" s="18">
        <v>137773.96643999999</v>
      </c>
      <c r="G8" s="18">
        <v>8045.6921499999999</v>
      </c>
      <c r="H8" s="18">
        <v>3442</v>
      </c>
      <c r="I8" s="18">
        <f t="shared" ref="I8:I27" si="0">B8-C8-D8-E8</f>
        <v>518330.6588199996</v>
      </c>
      <c r="J8" s="18">
        <f t="shared" ref="J8:J27" si="1">F8-G8-H8</f>
        <v>126286.27428999999</v>
      </c>
      <c r="K8" s="1004">
        <f t="shared" ref="K8:K28" si="2">J8/I8</f>
        <v>0.24364037152943205</v>
      </c>
    </row>
    <row r="9" spans="1:11" x14ac:dyDescent="0.2">
      <c r="A9" s="37" t="s">
        <v>9</v>
      </c>
      <c r="B9" s="18">
        <v>199040.8139699997</v>
      </c>
      <c r="C9" s="18">
        <v>10813.07381</v>
      </c>
      <c r="D9" s="18">
        <v>3179.9859999999994</v>
      </c>
      <c r="E9" s="18"/>
      <c r="F9" s="18">
        <v>44648.609059999995</v>
      </c>
      <c r="G9" s="18">
        <v>9212.1526900000008</v>
      </c>
      <c r="H9" s="18"/>
      <c r="I9" s="18">
        <f t="shared" si="0"/>
        <v>185047.75415999969</v>
      </c>
      <c r="J9" s="18">
        <f t="shared" si="1"/>
        <v>35436.456369999993</v>
      </c>
      <c r="K9" s="1004">
        <f t="shared" si="2"/>
        <v>0.19149898106496452</v>
      </c>
    </row>
    <row r="10" spans="1:11" x14ac:dyDescent="0.2">
      <c r="A10" s="37" t="s">
        <v>10</v>
      </c>
      <c r="B10" s="18">
        <v>262177.33577999979</v>
      </c>
      <c r="C10" s="18">
        <v>10722.584279999999</v>
      </c>
      <c r="D10" s="18">
        <v>4301.2779999999993</v>
      </c>
      <c r="E10" s="18">
        <v>8716.7753300000004</v>
      </c>
      <c r="F10" s="18">
        <v>86712.427510000009</v>
      </c>
      <c r="G10" s="18">
        <v>4674.4928</v>
      </c>
      <c r="H10" s="18">
        <v>5095.2750000000005</v>
      </c>
      <c r="I10" s="18">
        <f t="shared" si="0"/>
        <v>238436.69816999979</v>
      </c>
      <c r="J10" s="18">
        <f t="shared" si="1"/>
        <v>76942.659710000007</v>
      </c>
      <c r="K10" s="1004">
        <f t="shared" si="2"/>
        <v>0.32269638147371799</v>
      </c>
    </row>
    <row r="11" spans="1:11" x14ac:dyDescent="0.2">
      <c r="A11" s="37" t="s">
        <v>11</v>
      </c>
      <c r="B11" s="18">
        <v>1147222.2905199991</v>
      </c>
      <c r="C11" s="18">
        <v>71395.087320000006</v>
      </c>
      <c r="D11" s="18">
        <v>124127.04287999999</v>
      </c>
      <c r="E11" s="18">
        <v>65106.97277</v>
      </c>
      <c r="F11" s="18">
        <v>576428.78639999998</v>
      </c>
      <c r="G11" s="18">
        <v>18220.70911</v>
      </c>
      <c r="H11" s="18">
        <v>64924.628570000001</v>
      </c>
      <c r="I11" s="18">
        <f t="shared" si="0"/>
        <v>886593.18754999922</v>
      </c>
      <c r="J11" s="18">
        <f t="shared" si="1"/>
        <v>493283.44871999993</v>
      </c>
      <c r="K11" s="1004">
        <f t="shared" si="2"/>
        <v>0.55638082453930582</v>
      </c>
    </row>
    <row r="12" spans="1:11" x14ac:dyDescent="0.2">
      <c r="A12" s="37" t="s">
        <v>12</v>
      </c>
      <c r="B12" s="18">
        <v>319140.56854000024</v>
      </c>
      <c r="C12" s="18">
        <v>26487.520379999998</v>
      </c>
      <c r="D12" s="18">
        <v>27181.019960000001</v>
      </c>
      <c r="E12" s="18">
        <v>5459</v>
      </c>
      <c r="F12" s="18">
        <v>106039.24190999998</v>
      </c>
      <c r="G12" s="18">
        <v>8719.1765900000009</v>
      </c>
      <c r="H12" s="18">
        <v>5459</v>
      </c>
      <c r="I12" s="18">
        <f t="shared" si="0"/>
        <v>260013.02820000023</v>
      </c>
      <c r="J12" s="18">
        <f t="shared" si="1"/>
        <v>91861.06531999998</v>
      </c>
      <c r="K12" s="1004">
        <f t="shared" si="2"/>
        <v>0.35329408666915368</v>
      </c>
    </row>
    <row r="13" spans="1:11" x14ac:dyDescent="0.2">
      <c r="A13" s="37" t="s">
        <v>13</v>
      </c>
      <c r="B13" s="18">
        <v>295775.8991399997</v>
      </c>
      <c r="C13" s="18">
        <v>33467.966320000007</v>
      </c>
      <c r="D13" s="18">
        <v>7958.9634800000003</v>
      </c>
      <c r="E13" s="18"/>
      <c r="F13" s="18">
        <v>46316.712660000005</v>
      </c>
      <c r="G13" s="18">
        <v>294.93295000000001</v>
      </c>
      <c r="H13" s="18"/>
      <c r="I13" s="18">
        <f t="shared" si="0"/>
        <v>254348.96933999969</v>
      </c>
      <c r="J13" s="18">
        <f t="shared" si="1"/>
        <v>46021.779710000003</v>
      </c>
      <c r="K13" s="1004">
        <f t="shared" si="2"/>
        <v>0.18093951718939588</v>
      </c>
    </row>
    <row r="14" spans="1:11" x14ac:dyDescent="0.2">
      <c r="A14" s="37" t="s">
        <v>14</v>
      </c>
      <c r="B14" s="18">
        <v>111762.77857999998</v>
      </c>
      <c r="C14" s="18">
        <v>3844.7091600000003</v>
      </c>
      <c r="D14" s="18">
        <v>2835.7643400000006</v>
      </c>
      <c r="E14" s="18"/>
      <c r="F14" s="18">
        <v>5199.8597200000004</v>
      </c>
      <c r="G14" s="18"/>
      <c r="H14" s="18"/>
      <c r="I14" s="18">
        <f t="shared" si="0"/>
        <v>105082.30507999999</v>
      </c>
      <c r="J14" s="18">
        <f t="shared" si="1"/>
        <v>5199.8597200000004</v>
      </c>
      <c r="K14" s="1004">
        <f t="shared" si="2"/>
        <v>4.9483685345894403E-2</v>
      </c>
    </row>
    <row r="15" spans="1:11" x14ac:dyDescent="0.2">
      <c r="A15" s="37" t="s">
        <v>15</v>
      </c>
      <c r="B15" s="18">
        <v>192007.9091100001</v>
      </c>
      <c r="C15" s="18">
        <v>8898.5562800000007</v>
      </c>
      <c r="D15" s="18">
        <v>6268.8168399999995</v>
      </c>
      <c r="E15" s="18">
        <v>1274.60851</v>
      </c>
      <c r="F15" s="18">
        <v>31482.573529999998</v>
      </c>
      <c r="G15" s="18">
        <v>927.59523000000002</v>
      </c>
      <c r="H15" s="18">
        <v>948.77664000000004</v>
      </c>
      <c r="I15" s="18">
        <f t="shared" si="0"/>
        <v>175565.92748000013</v>
      </c>
      <c r="J15" s="18">
        <f t="shared" si="1"/>
        <v>29606.201659999999</v>
      </c>
      <c r="K15" s="1004">
        <f t="shared" si="2"/>
        <v>0.16863295791475619</v>
      </c>
    </row>
    <row r="16" spans="1:11" x14ac:dyDescent="0.2">
      <c r="A16" s="37" t="s">
        <v>229</v>
      </c>
      <c r="B16" s="18">
        <v>854203.20504000026</v>
      </c>
      <c r="C16" s="18">
        <v>26072.566100000004</v>
      </c>
      <c r="D16" s="18">
        <v>290875.18445</v>
      </c>
      <c r="E16" s="18">
        <v>110583.46256000001</v>
      </c>
      <c r="F16" s="18">
        <v>513487.47990000015</v>
      </c>
      <c r="G16" s="18">
        <v>25031.940499999997</v>
      </c>
      <c r="H16" s="18">
        <v>110313.14596000001</v>
      </c>
      <c r="I16" s="18">
        <f t="shared" si="0"/>
        <v>426671.99193000013</v>
      </c>
      <c r="J16" s="18">
        <f t="shared" si="1"/>
        <v>378142.39344000013</v>
      </c>
      <c r="K16" s="1004">
        <f t="shared" si="2"/>
        <v>0.88626017313561611</v>
      </c>
    </row>
    <row r="17" spans="1:11" x14ac:dyDescent="0.2">
      <c r="A17" s="38" t="s">
        <v>296</v>
      </c>
      <c r="B17" s="20">
        <v>15973.424360000003</v>
      </c>
      <c r="C17" s="20">
        <v>314.99047000000002</v>
      </c>
      <c r="D17" s="20">
        <v>2048.8149999999996</v>
      </c>
      <c r="E17" s="20">
        <v>2832.68235</v>
      </c>
      <c r="F17" s="20">
        <v>8888.2258600000005</v>
      </c>
      <c r="G17" s="20">
        <v>100.73399999999999</v>
      </c>
      <c r="H17" s="20">
        <v>2832.68235</v>
      </c>
      <c r="I17" s="20">
        <f t="shared" si="0"/>
        <v>10776.936540000002</v>
      </c>
      <c r="J17" s="20">
        <f t="shared" si="1"/>
        <v>5954.80951</v>
      </c>
      <c r="K17" s="1005">
        <f t="shared" si="2"/>
        <v>0.55255122714121496</v>
      </c>
    </row>
    <row r="18" spans="1:11" x14ac:dyDescent="0.2">
      <c r="A18" s="38" t="s">
        <v>71</v>
      </c>
      <c r="B18" s="20">
        <v>210684.34735000003</v>
      </c>
      <c r="C18" s="20">
        <v>0</v>
      </c>
      <c r="D18" s="20">
        <v>3683.7320000000004</v>
      </c>
      <c r="E18" s="20"/>
      <c r="F18" s="20"/>
      <c r="G18" s="20"/>
      <c r="H18" s="20"/>
      <c r="I18" s="20">
        <f t="shared" si="0"/>
        <v>207000.61535000004</v>
      </c>
      <c r="J18" s="20">
        <f t="shared" si="1"/>
        <v>0</v>
      </c>
      <c r="K18" s="1005">
        <f t="shared" si="2"/>
        <v>0</v>
      </c>
    </row>
    <row r="19" spans="1:11" x14ac:dyDescent="0.2">
      <c r="A19" s="38" t="s">
        <v>1</v>
      </c>
      <c r="B19" s="20">
        <v>96541.485370000024</v>
      </c>
      <c r="C19" s="20">
        <v>1002.6927900000001</v>
      </c>
      <c r="D19" s="20">
        <v>80336.331019999998</v>
      </c>
      <c r="E19" s="20"/>
      <c r="F19" s="20"/>
      <c r="G19" s="20"/>
      <c r="H19" s="20"/>
      <c r="I19" s="20">
        <f t="shared" si="0"/>
        <v>15202.461560000025</v>
      </c>
      <c r="J19" s="20">
        <f t="shared" si="1"/>
        <v>0</v>
      </c>
      <c r="K19" s="1005">
        <f t="shared" si="2"/>
        <v>0</v>
      </c>
    </row>
    <row r="20" spans="1:11" x14ac:dyDescent="0.2">
      <c r="A20" s="38" t="s">
        <v>83</v>
      </c>
      <c r="B20" s="20">
        <v>12925.376360000002</v>
      </c>
      <c r="C20" s="20">
        <v>2438.0019899999998</v>
      </c>
      <c r="D20" s="20">
        <v>2218.0740000000001</v>
      </c>
      <c r="E20" s="20"/>
      <c r="F20" s="20"/>
      <c r="G20" s="20"/>
      <c r="H20" s="20"/>
      <c r="I20" s="20">
        <f t="shared" si="0"/>
        <v>8269.3003700000008</v>
      </c>
      <c r="J20" s="20">
        <f t="shared" si="1"/>
        <v>0</v>
      </c>
      <c r="K20" s="1005">
        <f t="shared" si="2"/>
        <v>0</v>
      </c>
    </row>
    <row r="21" spans="1:11" x14ac:dyDescent="0.2">
      <c r="A21" s="38" t="s">
        <v>82</v>
      </c>
      <c r="B21" s="20">
        <v>29565.007890000004</v>
      </c>
      <c r="C21" s="20">
        <v>2499.2370800000003</v>
      </c>
      <c r="D21" s="20">
        <v>864.87728000000004</v>
      </c>
      <c r="E21" s="20">
        <v>391.52256</v>
      </c>
      <c r="F21" s="20">
        <v>471</v>
      </c>
      <c r="G21" s="20"/>
      <c r="H21" s="20"/>
      <c r="I21" s="20">
        <f t="shared" si="0"/>
        <v>25809.370970000004</v>
      </c>
      <c r="J21" s="20">
        <f t="shared" si="1"/>
        <v>471</v>
      </c>
      <c r="K21" s="1005">
        <f t="shared" si="2"/>
        <v>1.8249185559286799E-2</v>
      </c>
    </row>
    <row r="22" spans="1:11" x14ac:dyDescent="0.2">
      <c r="A22" s="38" t="s">
        <v>105</v>
      </c>
      <c r="B22" s="20">
        <v>57185.912969999976</v>
      </c>
      <c r="C22" s="20">
        <v>9420.7831500000011</v>
      </c>
      <c r="D22" s="20">
        <v>143.90358000000001</v>
      </c>
      <c r="E22" s="20">
        <v>1384.6798899999999</v>
      </c>
      <c r="F22" s="20">
        <v>2933.28523</v>
      </c>
      <c r="G22" s="20">
        <v>14.1</v>
      </c>
      <c r="H22" s="20"/>
      <c r="I22" s="20">
        <f t="shared" si="0"/>
        <v>46236.546349999975</v>
      </c>
      <c r="J22" s="20">
        <f t="shared" si="1"/>
        <v>2919.18523</v>
      </c>
      <c r="K22" s="1005">
        <f t="shared" si="2"/>
        <v>6.3135884066738937E-2</v>
      </c>
    </row>
    <row r="23" spans="1:11" x14ac:dyDescent="0.2">
      <c r="A23" s="38" t="s">
        <v>134</v>
      </c>
      <c r="B23" s="20">
        <v>13603.465219999998</v>
      </c>
      <c r="C23" s="20">
        <v>210.48120999999998</v>
      </c>
      <c r="D23" s="20">
        <v>628.74592000000007</v>
      </c>
      <c r="E23" s="20"/>
      <c r="F23" s="20">
        <v>5283.6146600000002</v>
      </c>
      <c r="G23" s="20">
        <v>6.5536799999999999</v>
      </c>
      <c r="H23" s="20"/>
      <c r="I23" s="20">
        <f t="shared" si="0"/>
        <v>12764.238089999999</v>
      </c>
      <c r="J23" s="20">
        <f t="shared" si="1"/>
        <v>5277.0609800000002</v>
      </c>
      <c r="K23" s="1005">
        <f t="shared" si="2"/>
        <v>0.41342545812697234</v>
      </c>
    </row>
    <row r="24" spans="1:11" x14ac:dyDescent="0.2">
      <c r="A24" s="39" t="s">
        <v>17</v>
      </c>
      <c r="B24" s="19">
        <v>271005.81068000011</v>
      </c>
      <c r="C24" s="19">
        <v>10481.116539999999</v>
      </c>
      <c r="D24" s="19">
        <v>50233.960139999988</v>
      </c>
      <c r="E24" s="19"/>
      <c r="F24" s="19">
        <v>86265.155329999994</v>
      </c>
      <c r="G24" s="19">
        <v>3468.94488</v>
      </c>
      <c r="H24" s="19"/>
      <c r="I24" s="19">
        <f t="shared" si="0"/>
        <v>210290.73400000014</v>
      </c>
      <c r="J24" s="19">
        <f t="shared" si="1"/>
        <v>82796.210449999999</v>
      </c>
      <c r="K24" s="1006">
        <f t="shared" si="2"/>
        <v>0.39372258052035686</v>
      </c>
    </row>
    <row r="25" spans="1:11" x14ac:dyDescent="0.2">
      <c r="A25" s="38" t="s">
        <v>24</v>
      </c>
      <c r="B25" s="20">
        <v>38711.982039999988</v>
      </c>
      <c r="C25" s="20">
        <v>103.20164</v>
      </c>
      <c r="D25" s="20">
        <v>97.575999999999993</v>
      </c>
      <c r="E25" s="20">
        <v>1006.43262</v>
      </c>
      <c r="F25" s="20">
        <v>807</v>
      </c>
      <c r="G25" s="20"/>
      <c r="H25" s="20"/>
      <c r="I25" s="20">
        <f t="shared" si="0"/>
        <v>37504.771779999988</v>
      </c>
      <c r="J25" s="20">
        <f t="shared" si="1"/>
        <v>807</v>
      </c>
      <c r="K25" s="1005">
        <f t="shared" si="2"/>
        <v>2.1517261982923076E-2</v>
      </c>
    </row>
    <row r="26" spans="1:11" x14ac:dyDescent="0.2">
      <c r="A26" s="38" t="s">
        <v>25</v>
      </c>
      <c r="B26" s="20">
        <v>309916.57012999995</v>
      </c>
      <c r="C26" s="20">
        <v>110653.93783000001</v>
      </c>
      <c r="D26" s="20">
        <v>0</v>
      </c>
      <c r="E26" s="20">
        <v>40449.691359999997</v>
      </c>
      <c r="F26" s="20"/>
      <c r="G26" s="20"/>
      <c r="H26" s="20"/>
      <c r="I26" s="20">
        <f t="shared" si="0"/>
        <v>158812.94093999994</v>
      </c>
      <c r="J26" s="20">
        <f t="shared" si="1"/>
        <v>0</v>
      </c>
      <c r="K26" s="1005">
        <f t="shared" si="2"/>
        <v>0</v>
      </c>
    </row>
    <row r="27" spans="1:11" x14ac:dyDescent="0.2">
      <c r="A27" s="39" t="s">
        <v>18</v>
      </c>
      <c r="B27" s="19">
        <v>394313.39345999982</v>
      </c>
      <c r="C27" s="19">
        <v>42280.887209999979</v>
      </c>
      <c r="D27" s="19">
        <v>7816.4176200000002</v>
      </c>
      <c r="E27" s="19"/>
      <c r="F27" s="19">
        <v>33304.781660000001</v>
      </c>
      <c r="G27" s="19">
        <v>4842.4846800000005</v>
      </c>
      <c r="H27" s="19"/>
      <c r="I27" s="19">
        <f t="shared" si="0"/>
        <v>344216.08862999984</v>
      </c>
      <c r="J27" s="19">
        <f t="shared" si="1"/>
        <v>28462.296979999999</v>
      </c>
      <c r="K27" s="1006">
        <f t="shared" si="2"/>
        <v>8.2687294174080023E-2</v>
      </c>
    </row>
    <row r="28" spans="1:11" ht="13.5" thickBot="1" x14ac:dyDescent="0.25">
      <c r="A28" s="40" t="s">
        <v>73</v>
      </c>
      <c r="B28" s="41">
        <f>SUM(B7:B27)</f>
        <v>6140218.7342599994</v>
      </c>
      <c r="C28" s="41">
        <f t="shared" ref="C28:J28" si="3">SUM(C7:C27)</f>
        <v>441222.52998999995</v>
      </c>
      <c r="D28" s="41">
        <f t="shared" si="3"/>
        <v>654550.29838000005</v>
      </c>
      <c r="E28" s="41">
        <f t="shared" si="3"/>
        <v>255944.58134</v>
      </c>
      <c r="F28" s="41">
        <f t="shared" si="3"/>
        <v>1886341.9191800002</v>
      </c>
      <c r="G28" s="41">
        <f t="shared" si="3"/>
        <v>87454.235839999994</v>
      </c>
      <c r="H28" s="41">
        <f t="shared" si="3"/>
        <v>209059.65886</v>
      </c>
      <c r="I28" s="41">
        <f t="shared" si="3"/>
        <v>4788501.3245499991</v>
      </c>
      <c r="J28" s="41">
        <f t="shared" si="3"/>
        <v>1589828.0244800004</v>
      </c>
      <c r="K28" s="1007">
        <f t="shared" si="2"/>
        <v>0.33200951962342934</v>
      </c>
    </row>
    <row r="29" spans="1:11" x14ac:dyDescent="0.2">
      <c r="A29" s="22"/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11" ht="15.75" x14ac:dyDescent="0.25">
      <c r="A30" s="42" t="s">
        <v>675</v>
      </c>
      <c r="B30" s="123"/>
      <c r="C30" s="124"/>
      <c r="D30" s="124"/>
      <c r="E30" s="124"/>
      <c r="F30" s="124"/>
      <c r="G30" s="124"/>
      <c r="H30" s="124"/>
      <c r="I30" s="1452">
        <f>SUM(I7:I16)</f>
        <v>3711617.3199699987</v>
      </c>
      <c r="J30" s="1452">
        <f>SUM(J7:J16)</f>
        <v>1463140.4613300003</v>
      </c>
      <c r="K30" s="1450">
        <f>J30/I30</f>
        <v>0.39420563468591285</v>
      </c>
    </row>
    <row r="31" spans="1:11" ht="15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1451">
        <f>FLOOR(K30,0.01)</f>
        <v>0.39</v>
      </c>
    </row>
    <row r="32" spans="1:11" ht="15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1453"/>
    </row>
    <row r="34" spans="1:12" ht="15.75" x14ac:dyDescent="0.25">
      <c r="A34" s="121" t="s">
        <v>353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1:12" x14ac:dyDescent="0.2">
      <c r="A35" s="46"/>
      <c r="B35" s="46"/>
      <c r="C35" s="46"/>
      <c r="D35" s="46"/>
      <c r="E35" s="46"/>
      <c r="F35" s="120"/>
      <c r="G35" s="46"/>
      <c r="H35" s="46"/>
      <c r="I35" s="46"/>
      <c r="J35" s="46"/>
      <c r="K35" s="46"/>
    </row>
    <row r="36" spans="1:12" ht="13.5" thickBot="1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</row>
    <row r="37" spans="1:12" ht="15" x14ac:dyDescent="0.25">
      <c r="A37" s="122"/>
      <c r="B37" s="1660" t="s">
        <v>613</v>
      </c>
      <c r="C37" s="1661"/>
      <c r="D37" s="1661"/>
      <c r="E37" s="1661"/>
      <c r="F37" s="1661"/>
      <c r="G37" s="1661"/>
      <c r="H37" s="1661"/>
      <c r="I37" s="1661"/>
      <c r="J37" s="1661"/>
      <c r="K37" s="1662"/>
    </row>
    <row r="38" spans="1:12" ht="36" x14ac:dyDescent="0.2">
      <c r="A38" s="36"/>
      <c r="B38" s="979" t="s">
        <v>286</v>
      </c>
      <c r="C38" s="979" t="s">
        <v>287</v>
      </c>
      <c r="D38" s="979" t="s">
        <v>288</v>
      </c>
      <c r="E38" s="979" t="s">
        <v>289</v>
      </c>
      <c r="F38" s="979" t="s">
        <v>290</v>
      </c>
      <c r="G38" s="979" t="s">
        <v>291</v>
      </c>
      <c r="H38" s="979" t="s">
        <v>292</v>
      </c>
      <c r="I38" s="979" t="s">
        <v>293</v>
      </c>
      <c r="J38" s="979" t="s">
        <v>294</v>
      </c>
      <c r="K38" s="980" t="s">
        <v>295</v>
      </c>
    </row>
    <row r="39" spans="1:12" x14ac:dyDescent="0.2">
      <c r="A39" s="37" t="s">
        <v>7</v>
      </c>
      <c r="B39" s="18">
        <v>712737.76800999988</v>
      </c>
      <c r="C39" s="18">
        <v>43960.653890000001</v>
      </c>
      <c r="D39" s="18">
        <v>19495.388510000001</v>
      </c>
      <c r="E39" s="18">
        <v>15757.06817</v>
      </c>
      <c r="F39" s="18">
        <v>162407.79216000004</v>
      </c>
      <c r="G39" s="18">
        <v>1052.69489</v>
      </c>
      <c r="H39" s="18">
        <v>13505.589760000001</v>
      </c>
      <c r="I39" s="18">
        <f>B39-C39-D39-E39</f>
        <v>633524.65743999998</v>
      </c>
      <c r="J39" s="18">
        <f>F39-G39-H39</f>
        <v>147849.50751000002</v>
      </c>
      <c r="K39" s="1004">
        <f>J39/I39</f>
        <v>0.23337609006008198</v>
      </c>
    </row>
    <row r="40" spans="1:12" x14ac:dyDescent="0.2">
      <c r="A40" s="37" t="s">
        <v>8</v>
      </c>
      <c r="B40" s="18">
        <v>605983.46314999962</v>
      </c>
      <c r="C40" s="18">
        <v>6069.78622</v>
      </c>
      <c r="D40" s="18">
        <v>13917.97683</v>
      </c>
      <c r="E40" s="18">
        <v>6815.2706300000009</v>
      </c>
      <c r="F40" s="18">
        <v>152379.57461999997</v>
      </c>
      <c r="G40" s="18">
        <v>470.39171999999996</v>
      </c>
      <c r="H40" s="18">
        <v>2620</v>
      </c>
      <c r="I40" s="18">
        <f t="shared" ref="I40:I59" si="4">B40-C40-D40-E40</f>
        <v>579180.42946999951</v>
      </c>
      <c r="J40" s="18">
        <f t="shared" ref="J40:J59" si="5">F40-G40-H40</f>
        <v>149289.18289999996</v>
      </c>
      <c r="K40" s="1004">
        <f t="shared" ref="K40:K60" si="6">J40/I40</f>
        <v>0.25775937048945619</v>
      </c>
    </row>
    <row r="41" spans="1:12" x14ac:dyDescent="0.2">
      <c r="A41" s="37" t="s">
        <v>9</v>
      </c>
      <c r="B41" s="18">
        <v>196635.58199000012</v>
      </c>
      <c r="C41" s="18">
        <v>3529.9854500000001</v>
      </c>
      <c r="D41" s="18">
        <v>3015.8450000000003</v>
      </c>
      <c r="E41" s="18">
        <v>77.739449999999991</v>
      </c>
      <c r="F41" s="18">
        <v>33734.682339999999</v>
      </c>
      <c r="G41" s="18">
        <v>349.89614</v>
      </c>
      <c r="H41" s="18">
        <v>0</v>
      </c>
      <c r="I41" s="18">
        <f t="shared" si="4"/>
        <v>190012.01209000012</v>
      </c>
      <c r="J41" s="18">
        <f t="shared" si="5"/>
        <v>33384.786200000002</v>
      </c>
      <c r="K41" s="1004">
        <f t="shared" si="6"/>
        <v>0.17569829313836818</v>
      </c>
    </row>
    <row r="42" spans="1:12" x14ac:dyDescent="0.2">
      <c r="A42" s="37" t="s">
        <v>10</v>
      </c>
      <c r="B42" s="18">
        <v>288435.9231399998</v>
      </c>
      <c r="C42" s="18">
        <v>16607.318740000002</v>
      </c>
      <c r="D42" s="18">
        <v>4322.4129999999996</v>
      </c>
      <c r="E42" s="18">
        <v>5325.9745999999996</v>
      </c>
      <c r="F42" s="18">
        <v>80443.070920000013</v>
      </c>
      <c r="G42" s="18">
        <v>7453.8923000000004</v>
      </c>
      <c r="H42" s="18">
        <v>4071</v>
      </c>
      <c r="I42" s="18">
        <f t="shared" si="4"/>
        <v>262180.21679999976</v>
      </c>
      <c r="J42" s="18">
        <f t="shared" si="5"/>
        <v>68918.178620000006</v>
      </c>
      <c r="K42" s="1004">
        <f t="shared" si="6"/>
        <v>0.2628656710302944</v>
      </c>
    </row>
    <row r="43" spans="1:12" x14ac:dyDescent="0.2">
      <c r="A43" s="37" t="s">
        <v>11</v>
      </c>
      <c r="B43" s="18">
        <v>1113040.7059600009</v>
      </c>
      <c r="C43" s="18">
        <v>45809.650979999999</v>
      </c>
      <c r="D43" s="18">
        <v>117347.40494000001</v>
      </c>
      <c r="E43" s="18">
        <v>53834.763249999996</v>
      </c>
      <c r="F43" s="18">
        <v>535873.14506000001</v>
      </c>
      <c r="G43" s="18">
        <v>7644.8686300000008</v>
      </c>
      <c r="H43" s="18">
        <v>53706.078219999996</v>
      </c>
      <c r="I43" s="18">
        <f t="shared" si="4"/>
        <v>896048.88679000095</v>
      </c>
      <c r="J43" s="18">
        <f t="shared" si="5"/>
        <v>474522.19820999994</v>
      </c>
      <c r="K43" s="1004">
        <f t="shared" si="6"/>
        <v>0.5295717736003499</v>
      </c>
    </row>
    <row r="44" spans="1:12" x14ac:dyDescent="0.2">
      <c r="A44" s="37" t="s">
        <v>12</v>
      </c>
      <c r="B44" s="18">
        <v>320188.28577000042</v>
      </c>
      <c r="C44" s="18">
        <v>18480.641900000002</v>
      </c>
      <c r="D44" s="18">
        <v>27375.953150000001</v>
      </c>
      <c r="E44" s="18">
        <v>18148.225919999997</v>
      </c>
      <c r="F44" s="18">
        <v>98371.087790000005</v>
      </c>
      <c r="G44" s="18">
        <v>2341.0367200000005</v>
      </c>
      <c r="H44" s="18">
        <v>17517.603759999998</v>
      </c>
      <c r="I44" s="18">
        <f t="shared" si="4"/>
        <v>256183.46480000042</v>
      </c>
      <c r="J44" s="18">
        <f t="shared" si="5"/>
        <v>78512.447310000003</v>
      </c>
      <c r="K44" s="1004">
        <f t="shared" si="6"/>
        <v>0.30646961298338982</v>
      </c>
    </row>
    <row r="45" spans="1:12" x14ac:dyDescent="0.2">
      <c r="A45" s="37" t="s">
        <v>13</v>
      </c>
      <c r="B45" s="18">
        <v>278912.04518999998</v>
      </c>
      <c r="C45" s="18">
        <v>16944.82562</v>
      </c>
      <c r="D45" s="18">
        <v>8058.5329299999994</v>
      </c>
      <c r="E45" s="18">
        <v>915.71850999999992</v>
      </c>
      <c r="F45" s="18">
        <v>45853.733840000001</v>
      </c>
      <c r="G45" s="18">
        <v>512.70911000000001</v>
      </c>
      <c r="H45" s="18">
        <v>0</v>
      </c>
      <c r="I45" s="18">
        <f t="shared" si="4"/>
        <v>252992.96812999999</v>
      </c>
      <c r="J45" s="18">
        <f t="shared" si="5"/>
        <v>45341.024729999997</v>
      </c>
      <c r="K45" s="1004">
        <f t="shared" si="6"/>
        <v>0.17921851767319316</v>
      </c>
    </row>
    <row r="46" spans="1:12" x14ac:dyDescent="0.2">
      <c r="A46" s="37" t="s">
        <v>14</v>
      </c>
      <c r="B46" s="18">
        <v>112376.57976000001</v>
      </c>
      <c r="C46" s="18">
        <v>4198.4072900000001</v>
      </c>
      <c r="D46" s="18">
        <v>3044.7547600000003</v>
      </c>
      <c r="E46" s="18">
        <v>-5.8088800000000003</v>
      </c>
      <c r="F46" s="18">
        <v>5030.2834899999998</v>
      </c>
      <c r="G46" s="18">
        <v>48.326180000000001</v>
      </c>
      <c r="H46" s="18">
        <v>0</v>
      </c>
      <c r="I46" s="18">
        <f t="shared" si="4"/>
        <v>105139.22659000001</v>
      </c>
      <c r="J46" s="18">
        <f t="shared" si="5"/>
        <v>4981.9573099999998</v>
      </c>
      <c r="K46" s="1004">
        <f t="shared" si="6"/>
        <v>4.738438232409295E-2</v>
      </c>
    </row>
    <row r="47" spans="1:12" x14ac:dyDescent="0.2">
      <c r="A47" s="37" t="s">
        <v>15</v>
      </c>
      <c r="B47" s="18">
        <v>201787.76094999991</v>
      </c>
      <c r="C47" s="18">
        <v>8999.50108</v>
      </c>
      <c r="D47" s="18">
        <v>6274.0469599999997</v>
      </c>
      <c r="E47" s="18">
        <v>2653.6746899999998</v>
      </c>
      <c r="F47" s="18">
        <v>25220.097560000002</v>
      </c>
      <c r="G47" s="18">
        <v>1438.4425299999998</v>
      </c>
      <c r="H47" s="18">
        <v>1058.93424</v>
      </c>
      <c r="I47" s="18">
        <f t="shared" si="4"/>
        <v>183860.53821999993</v>
      </c>
      <c r="J47" s="18">
        <f t="shared" si="5"/>
        <v>22722.720790000003</v>
      </c>
      <c r="K47" s="1004">
        <f t="shared" si="6"/>
        <v>0.12358671964079064</v>
      </c>
    </row>
    <row r="48" spans="1:12" x14ac:dyDescent="0.2">
      <c r="A48" s="37" t="s">
        <v>229</v>
      </c>
      <c r="B48" s="18">
        <v>813255.75626000017</v>
      </c>
      <c r="C48" s="18">
        <v>100464.31588000001</v>
      </c>
      <c r="D48" s="18">
        <v>238494.89818000002</v>
      </c>
      <c r="E48" s="18">
        <v>14234.923650000002</v>
      </c>
      <c r="F48" s="18">
        <v>492751.89476999996</v>
      </c>
      <c r="G48" s="18">
        <v>91908.315880000009</v>
      </c>
      <c r="H48" s="18">
        <v>14338.651300000001</v>
      </c>
      <c r="I48" s="18">
        <f t="shared" si="4"/>
        <v>460061.61855000013</v>
      </c>
      <c r="J48" s="18">
        <f t="shared" si="5"/>
        <v>386504.92758999992</v>
      </c>
      <c r="K48" s="1004">
        <f t="shared" si="6"/>
        <v>0.84011556714547797</v>
      </c>
    </row>
    <row r="49" spans="1:11" x14ac:dyDescent="0.2">
      <c r="A49" s="38" t="s">
        <v>296</v>
      </c>
      <c r="B49" s="20">
        <v>220075.10728000005</v>
      </c>
      <c r="C49" s="20">
        <v>842.32511999999997</v>
      </c>
      <c r="D49" s="20">
        <v>5796.2963799999998</v>
      </c>
      <c r="E49" s="20">
        <v>175710.25203999999</v>
      </c>
      <c r="F49" s="20">
        <v>207847.80990000002</v>
      </c>
      <c r="G49" s="20">
        <v>842.32511999999997</v>
      </c>
      <c r="H49" s="20">
        <v>175553.66084999999</v>
      </c>
      <c r="I49" s="20">
        <f t="shared" si="4"/>
        <v>37726.233740000054</v>
      </c>
      <c r="J49" s="20">
        <f t="shared" si="5"/>
        <v>31451.823930000042</v>
      </c>
      <c r="K49" s="1005">
        <f t="shared" si="6"/>
        <v>0.83368576218761448</v>
      </c>
    </row>
    <row r="50" spans="1:11" x14ac:dyDescent="0.2">
      <c r="A50" s="38" t="s">
        <v>71</v>
      </c>
      <c r="B50" s="20">
        <v>207375.37719999999</v>
      </c>
      <c r="C50" s="20">
        <v>0</v>
      </c>
      <c r="D50" s="20">
        <v>3926.3420000000001</v>
      </c>
      <c r="E50" s="20">
        <v>0</v>
      </c>
      <c r="F50" s="20"/>
      <c r="G50" s="20"/>
      <c r="H50" s="20"/>
      <c r="I50" s="20">
        <f t="shared" si="4"/>
        <v>203449.03519999998</v>
      </c>
      <c r="J50" s="20">
        <f t="shared" si="5"/>
        <v>0</v>
      </c>
      <c r="K50" s="1005">
        <f t="shared" si="6"/>
        <v>0</v>
      </c>
    </row>
    <row r="51" spans="1:11" x14ac:dyDescent="0.2">
      <c r="A51" s="38" t="s">
        <v>237</v>
      </c>
      <c r="B51" s="20">
        <v>130631.78422000006</v>
      </c>
      <c r="C51" s="20">
        <v>718.49856</v>
      </c>
      <c r="D51" s="20">
        <v>116311.08150999999</v>
      </c>
      <c r="E51" s="20">
        <v>0</v>
      </c>
      <c r="F51" s="20"/>
      <c r="G51" s="20"/>
      <c r="H51" s="20"/>
      <c r="I51" s="20">
        <f t="shared" si="4"/>
        <v>13602.204150000063</v>
      </c>
      <c r="J51" s="20">
        <f t="shared" si="5"/>
        <v>0</v>
      </c>
      <c r="K51" s="1005">
        <f t="shared" si="6"/>
        <v>0</v>
      </c>
    </row>
    <row r="52" spans="1:11" x14ac:dyDescent="0.2">
      <c r="A52" s="38" t="s">
        <v>83</v>
      </c>
      <c r="B52" s="20">
        <v>14000.697629999999</v>
      </c>
      <c r="C52" s="20">
        <v>2572.0932499999999</v>
      </c>
      <c r="D52" s="20">
        <v>2286.2293399999999</v>
      </c>
      <c r="E52" s="20">
        <v>1191.2374499999999</v>
      </c>
      <c r="F52" s="20"/>
      <c r="G52" s="20"/>
      <c r="H52" s="20"/>
      <c r="I52" s="20">
        <f t="shared" si="4"/>
        <v>7951.1375899999994</v>
      </c>
      <c r="J52" s="20">
        <f t="shared" si="5"/>
        <v>0</v>
      </c>
      <c r="K52" s="1005">
        <f t="shared" si="6"/>
        <v>0</v>
      </c>
    </row>
    <row r="53" spans="1:11" x14ac:dyDescent="0.2">
      <c r="A53" s="38" t="s">
        <v>82</v>
      </c>
      <c r="B53" s="20">
        <v>29822.372229999997</v>
      </c>
      <c r="C53" s="20">
        <v>2614.7764099999999</v>
      </c>
      <c r="D53" s="20">
        <v>866.9620000000001</v>
      </c>
      <c r="E53" s="20">
        <v>-106.83691999999999</v>
      </c>
      <c r="F53" s="20">
        <v>353</v>
      </c>
      <c r="G53" s="20">
        <v>0</v>
      </c>
      <c r="H53" s="20"/>
      <c r="I53" s="20">
        <f t="shared" si="4"/>
        <v>26447.470740000001</v>
      </c>
      <c r="J53" s="20">
        <f t="shared" si="5"/>
        <v>353</v>
      </c>
      <c r="K53" s="1005">
        <f t="shared" si="6"/>
        <v>1.3347212044216822E-2</v>
      </c>
    </row>
    <row r="54" spans="1:11" x14ac:dyDescent="0.2">
      <c r="A54" s="38" t="s">
        <v>105</v>
      </c>
      <c r="B54" s="20">
        <v>99561.901610000044</v>
      </c>
      <c r="C54" s="20">
        <v>15447.537919999999</v>
      </c>
      <c r="D54" s="20">
        <v>206.72500000000002</v>
      </c>
      <c r="E54" s="20">
        <v>2612.3249100000003</v>
      </c>
      <c r="F54" s="20">
        <v>3449.5831199999998</v>
      </c>
      <c r="G54" s="20">
        <v>111.42250999999999</v>
      </c>
      <c r="H54" s="20"/>
      <c r="I54" s="20">
        <f t="shared" si="4"/>
        <v>81295.31378000004</v>
      </c>
      <c r="J54" s="20">
        <f t="shared" si="5"/>
        <v>3338.1606099999999</v>
      </c>
      <c r="K54" s="1005">
        <f t="shared" si="6"/>
        <v>4.1062152967804168E-2</v>
      </c>
    </row>
    <row r="55" spans="1:11" x14ac:dyDescent="0.2">
      <c r="A55" s="38" t="s">
        <v>134</v>
      </c>
      <c r="B55" s="20">
        <v>21432.888529999986</v>
      </c>
      <c r="C55" s="20">
        <v>660.79209000000003</v>
      </c>
      <c r="D55" s="20">
        <v>409.39</v>
      </c>
      <c r="E55" s="20">
        <v>0</v>
      </c>
      <c r="F55" s="20">
        <v>14550.946379999998</v>
      </c>
      <c r="G55" s="20">
        <v>4.99993</v>
      </c>
      <c r="H55" s="20"/>
      <c r="I55" s="20">
        <f t="shared" si="4"/>
        <v>20362.706439999987</v>
      </c>
      <c r="J55" s="20">
        <f t="shared" si="5"/>
        <v>14545.946449999998</v>
      </c>
      <c r="K55" s="1005">
        <f t="shared" si="6"/>
        <v>0.71434249140017592</v>
      </c>
    </row>
    <row r="56" spans="1:11" x14ac:dyDescent="0.2">
      <c r="A56" s="39" t="s">
        <v>17</v>
      </c>
      <c r="B56" s="19">
        <v>294285.50332000025</v>
      </c>
      <c r="C56" s="19">
        <v>8232.7389700000003</v>
      </c>
      <c r="D56" s="19">
        <v>82883.660560000004</v>
      </c>
      <c r="E56" s="19">
        <v>1147.9870800000001</v>
      </c>
      <c r="F56" s="19">
        <v>83228.162680000023</v>
      </c>
      <c r="G56" s="19">
        <v>7430.2177499999998</v>
      </c>
      <c r="H56" s="19"/>
      <c r="I56" s="19">
        <f t="shared" si="4"/>
        <v>202021.11671000026</v>
      </c>
      <c r="J56" s="19">
        <f t="shared" si="5"/>
        <v>75797.944930000027</v>
      </c>
      <c r="K56" s="1006">
        <f t="shared" si="6"/>
        <v>0.37519812861349233</v>
      </c>
    </row>
    <row r="57" spans="1:11" x14ac:dyDescent="0.2">
      <c r="A57" s="38" t="s">
        <v>24</v>
      </c>
      <c r="B57" s="20">
        <v>45681.378749999996</v>
      </c>
      <c r="C57" s="20">
        <v>0</v>
      </c>
      <c r="D57" s="20">
        <v>97.593999999999994</v>
      </c>
      <c r="E57" s="20">
        <v>3500.7439800000002</v>
      </c>
      <c r="F57" s="20">
        <v>469</v>
      </c>
      <c r="G57" s="20">
        <v>0</v>
      </c>
      <c r="H57" s="20"/>
      <c r="I57" s="20">
        <f t="shared" si="4"/>
        <v>42083.04077</v>
      </c>
      <c r="J57" s="20">
        <f t="shared" si="5"/>
        <v>469</v>
      </c>
      <c r="K57" s="1005">
        <f t="shared" si="6"/>
        <v>1.1144631932926743E-2</v>
      </c>
    </row>
    <row r="58" spans="1:11" x14ac:dyDescent="0.2">
      <c r="A58" s="38" t="s">
        <v>25</v>
      </c>
      <c r="B58" s="20">
        <v>312437.50230999989</v>
      </c>
      <c r="C58" s="20">
        <v>108527.78736999999</v>
      </c>
      <c r="D58" s="20">
        <v>0</v>
      </c>
      <c r="E58" s="20">
        <v>31729.221569999998</v>
      </c>
      <c r="F58" s="20"/>
      <c r="G58" s="20"/>
      <c r="H58" s="20"/>
      <c r="I58" s="20">
        <f t="shared" si="4"/>
        <v>172180.49336999992</v>
      </c>
      <c r="J58" s="20">
        <f t="shared" si="5"/>
        <v>0</v>
      </c>
      <c r="K58" s="1005">
        <f t="shared" si="6"/>
        <v>0</v>
      </c>
    </row>
    <row r="59" spans="1:11" x14ac:dyDescent="0.2">
      <c r="A59" s="39" t="s">
        <v>18</v>
      </c>
      <c r="B59" s="19">
        <v>441660.44808000018</v>
      </c>
      <c r="C59" s="19">
        <v>110525.86958000001</v>
      </c>
      <c r="D59" s="19">
        <v>7322.2650000000012</v>
      </c>
      <c r="E59" s="19">
        <v>1.6</v>
      </c>
      <c r="F59" s="19">
        <v>28389.847110000002</v>
      </c>
      <c r="G59" s="19">
        <v>638.42915000000005</v>
      </c>
      <c r="H59" s="19"/>
      <c r="I59" s="19">
        <f t="shared" si="4"/>
        <v>323810.71350000019</v>
      </c>
      <c r="J59" s="19">
        <f t="shared" si="5"/>
        <v>27751.417960000002</v>
      </c>
      <c r="K59" s="1006">
        <f t="shared" si="6"/>
        <v>8.5702593530772683E-2</v>
      </c>
    </row>
    <row r="60" spans="1:11" ht="13.5" thickBot="1" x14ac:dyDescent="0.25">
      <c r="A60" s="40" t="s">
        <v>73</v>
      </c>
      <c r="B60" s="41">
        <f t="shared" ref="B60:J60" si="7">SUM(B39:B59)</f>
        <v>6460318.8313400028</v>
      </c>
      <c r="C60" s="41">
        <f t="shared" si="7"/>
        <v>515207.50631999987</v>
      </c>
      <c r="D60" s="41">
        <f t="shared" si="7"/>
        <v>661453.76005000016</v>
      </c>
      <c r="E60" s="41">
        <f t="shared" si="7"/>
        <v>333544.08010000008</v>
      </c>
      <c r="F60" s="41">
        <f t="shared" si="7"/>
        <v>1970353.7117400002</v>
      </c>
      <c r="G60" s="41">
        <f t="shared" si="7"/>
        <v>122247.96856000001</v>
      </c>
      <c r="H60" s="41">
        <f t="shared" si="7"/>
        <v>282371.51812999998</v>
      </c>
      <c r="I60" s="41">
        <f t="shared" si="7"/>
        <v>4950113.4848700026</v>
      </c>
      <c r="J60" s="41">
        <f t="shared" si="7"/>
        <v>1565734.2250499995</v>
      </c>
      <c r="K60" s="1007">
        <f t="shared" si="6"/>
        <v>0.31630269282424706</v>
      </c>
    </row>
    <row r="61" spans="1:11" x14ac:dyDescent="0.2">
      <c r="A61" s="22"/>
      <c r="B61" s="46"/>
      <c r="C61" s="46"/>
      <c r="D61" s="46"/>
      <c r="E61" s="46"/>
      <c r="F61" s="46"/>
      <c r="G61" s="46"/>
      <c r="H61" s="46"/>
      <c r="I61" s="46"/>
      <c r="J61" s="46"/>
      <c r="K61" s="46"/>
    </row>
    <row r="62" spans="1:11" ht="15.75" x14ac:dyDescent="0.25">
      <c r="A62" s="42" t="s">
        <v>347</v>
      </c>
      <c r="B62" s="123"/>
      <c r="C62" s="124"/>
      <c r="D62" s="124"/>
      <c r="E62" s="124"/>
      <c r="F62" s="124"/>
      <c r="G62" s="124"/>
      <c r="H62" s="124"/>
      <c r="I62" s="750">
        <f>SUM(I39:I48)</f>
        <v>3819184.0188800013</v>
      </c>
      <c r="J62" s="750">
        <f>SUM(J39:J48)</f>
        <v>1412026.9311699998</v>
      </c>
      <c r="K62" s="1010">
        <f>J62/I62</f>
        <v>0.36971953280849901</v>
      </c>
    </row>
    <row r="63" spans="1:11" ht="15" x14ac:dyDescent="0.2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1009">
        <f>FLOOR(K62,0.01)</f>
        <v>0.36</v>
      </c>
    </row>
    <row r="66" spans="1:11" ht="15.75" x14ac:dyDescent="0.25">
      <c r="A66" s="121" t="s">
        <v>353</v>
      </c>
      <c r="B66" s="46"/>
      <c r="C66" s="46"/>
      <c r="D66" s="46"/>
      <c r="E66" s="46"/>
      <c r="F66" s="46"/>
      <c r="G66" s="46"/>
      <c r="H66" s="46"/>
      <c r="I66" s="46"/>
    </row>
    <row r="67" spans="1:11" x14ac:dyDescent="0.2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</row>
    <row r="68" spans="1:11" ht="13.5" thickBot="1" x14ac:dyDescent="0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</row>
    <row r="69" spans="1:11" ht="15" x14ac:dyDescent="0.25">
      <c r="A69" s="122"/>
      <c r="B69" s="1660" t="s">
        <v>511</v>
      </c>
      <c r="C69" s="1661"/>
      <c r="D69" s="1661"/>
      <c r="E69" s="1661"/>
      <c r="F69" s="1661"/>
      <c r="G69" s="1661"/>
      <c r="H69" s="1661"/>
      <c r="I69" s="1661"/>
      <c r="J69" s="1661"/>
      <c r="K69" s="1662"/>
    </row>
    <row r="70" spans="1:11" ht="36" x14ac:dyDescent="0.2">
      <c r="A70" s="36"/>
      <c r="B70" s="979" t="s">
        <v>286</v>
      </c>
      <c r="C70" s="979" t="s">
        <v>287</v>
      </c>
      <c r="D70" s="979" t="s">
        <v>288</v>
      </c>
      <c r="E70" s="979" t="s">
        <v>289</v>
      </c>
      <c r="F70" s="979" t="s">
        <v>290</v>
      </c>
      <c r="G70" s="979" t="s">
        <v>291</v>
      </c>
      <c r="H70" s="979" t="s">
        <v>292</v>
      </c>
      <c r="I70" s="979" t="s">
        <v>293</v>
      </c>
      <c r="J70" s="979" t="s">
        <v>294</v>
      </c>
      <c r="K70" s="980" t="s">
        <v>295</v>
      </c>
    </row>
    <row r="71" spans="1:11" x14ac:dyDescent="0.2">
      <c r="A71" s="37" t="s">
        <v>7</v>
      </c>
      <c r="B71" s="18">
        <v>757251.13204000052</v>
      </c>
      <c r="C71" s="18">
        <v>42941.844869999994</v>
      </c>
      <c r="D71" s="18">
        <v>27738.42265</v>
      </c>
      <c r="E71" s="18">
        <v>20673.98979</v>
      </c>
      <c r="F71" s="18"/>
      <c r="G71" s="18"/>
      <c r="H71" s="18"/>
      <c r="I71" s="18">
        <f t="shared" ref="I71:I91" si="8">B71-C71-D71-E71</f>
        <v>665896.87473000051</v>
      </c>
      <c r="J71" s="18">
        <v>141515.09813000011</v>
      </c>
      <c r="K71" s="746">
        <f>J71/I71</f>
        <v>0.21251803920446372</v>
      </c>
    </row>
    <row r="72" spans="1:11" x14ac:dyDescent="0.2">
      <c r="A72" s="37" t="s">
        <v>8</v>
      </c>
      <c r="B72" s="18">
        <v>618886.1055399999</v>
      </c>
      <c r="C72" s="18">
        <v>13982.833190000003</v>
      </c>
      <c r="D72" s="18">
        <v>5083.7272199999998</v>
      </c>
      <c r="E72" s="18">
        <v>16699.040430000001</v>
      </c>
      <c r="F72" s="18"/>
      <c r="G72" s="18"/>
      <c r="H72" s="18"/>
      <c r="I72" s="18">
        <f t="shared" si="8"/>
        <v>583120.50469999982</v>
      </c>
      <c r="J72" s="18">
        <v>126001.03289999999</v>
      </c>
      <c r="K72" s="746">
        <f t="shared" ref="K72:K92" si="9">J72/I72</f>
        <v>0.2160806074978005</v>
      </c>
    </row>
    <row r="73" spans="1:11" x14ac:dyDescent="0.2">
      <c r="A73" s="37" t="s">
        <v>9</v>
      </c>
      <c r="B73" s="18">
        <v>211803.33041000014</v>
      </c>
      <c r="C73" s="18">
        <v>7464.7503799999995</v>
      </c>
      <c r="D73" s="18">
        <v>1808.0799999999997</v>
      </c>
      <c r="E73" s="18">
        <v>2188.17695</v>
      </c>
      <c r="F73" s="18"/>
      <c r="G73" s="18"/>
      <c r="H73" s="18"/>
      <c r="I73" s="18">
        <f t="shared" si="8"/>
        <v>200342.32308000015</v>
      </c>
      <c r="J73" s="18">
        <v>38960.397690000005</v>
      </c>
      <c r="K73" s="746">
        <f t="shared" si="9"/>
        <v>0.19446913208869224</v>
      </c>
    </row>
    <row r="74" spans="1:11" x14ac:dyDescent="0.2">
      <c r="A74" s="37" t="s">
        <v>10</v>
      </c>
      <c r="B74" s="18">
        <v>291657.40934000001</v>
      </c>
      <c r="C74" s="18">
        <v>10581.990379999999</v>
      </c>
      <c r="D74" s="18">
        <v>4321.5891800000009</v>
      </c>
      <c r="E74" s="18">
        <v>264</v>
      </c>
      <c r="F74" s="18"/>
      <c r="G74" s="18"/>
      <c r="H74" s="18"/>
      <c r="I74" s="18">
        <f t="shared" si="8"/>
        <v>276489.82978000003</v>
      </c>
      <c r="J74" s="18">
        <v>72056.574690000009</v>
      </c>
      <c r="K74" s="746">
        <f t="shared" si="9"/>
        <v>0.2606120259372095</v>
      </c>
    </row>
    <row r="75" spans="1:11" x14ac:dyDescent="0.2">
      <c r="A75" s="37" t="s">
        <v>11</v>
      </c>
      <c r="B75" s="18">
        <v>1138631.7248300002</v>
      </c>
      <c r="C75" s="18">
        <v>61028.204120000009</v>
      </c>
      <c r="D75" s="18">
        <v>114136.05157999998</v>
      </c>
      <c r="E75" s="18">
        <v>58425.454830000002</v>
      </c>
      <c r="F75" s="18"/>
      <c r="G75" s="18"/>
      <c r="H75" s="18"/>
      <c r="I75" s="18">
        <f t="shared" si="8"/>
        <v>905042.01430000039</v>
      </c>
      <c r="J75" s="18">
        <v>475797.41525000019</v>
      </c>
      <c r="K75" s="746">
        <f t="shared" si="9"/>
        <v>0.52571859397931153</v>
      </c>
    </row>
    <row r="76" spans="1:11" x14ac:dyDescent="0.2">
      <c r="A76" s="37" t="s">
        <v>12</v>
      </c>
      <c r="B76" s="18">
        <v>306407.06458999973</v>
      </c>
      <c r="C76" s="18">
        <v>5519.3196200000002</v>
      </c>
      <c r="D76" s="18">
        <v>18040.64028</v>
      </c>
      <c r="E76" s="18">
        <v>11671.820000000002</v>
      </c>
      <c r="F76" s="18"/>
      <c r="G76" s="18"/>
      <c r="H76" s="18"/>
      <c r="I76" s="18">
        <f t="shared" si="8"/>
        <v>271175.28468999971</v>
      </c>
      <c r="J76" s="18">
        <v>90016.525680000093</v>
      </c>
      <c r="K76" s="746">
        <f t="shared" si="9"/>
        <v>0.33194959408968472</v>
      </c>
    </row>
    <row r="77" spans="1:11" x14ac:dyDescent="0.2">
      <c r="A77" s="37" t="s">
        <v>13</v>
      </c>
      <c r="B77" s="18">
        <v>309821.43837999977</v>
      </c>
      <c r="C77" s="18">
        <v>12638.626160000002</v>
      </c>
      <c r="D77" s="18">
        <v>7175.5018100000007</v>
      </c>
      <c r="E77" s="18">
        <v>1049.0920000000001</v>
      </c>
      <c r="F77" s="18"/>
      <c r="G77" s="18"/>
      <c r="H77" s="18"/>
      <c r="I77" s="18">
        <f t="shared" si="8"/>
        <v>288958.2184099998</v>
      </c>
      <c r="J77" s="18">
        <v>60731.53648000001</v>
      </c>
      <c r="K77" s="746">
        <f t="shared" si="9"/>
        <v>0.21017411034085443</v>
      </c>
    </row>
    <row r="78" spans="1:11" x14ac:dyDescent="0.2">
      <c r="A78" s="37" t="s">
        <v>14</v>
      </c>
      <c r="B78" s="18">
        <v>138543.55656999987</v>
      </c>
      <c r="C78" s="18">
        <v>7467.0349700000006</v>
      </c>
      <c r="D78" s="18">
        <v>3276.0169999999998</v>
      </c>
      <c r="E78" s="18">
        <v>-114.10838000000001</v>
      </c>
      <c r="F78" s="18"/>
      <c r="G78" s="18"/>
      <c r="H78" s="18"/>
      <c r="I78" s="18">
        <f t="shared" si="8"/>
        <v>127914.61297999987</v>
      </c>
      <c r="J78" s="18">
        <v>6428.3258900000001</v>
      </c>
      <c r="K78" s="746">
        <f t="shared" si="9"/>
        <v>5.0254820307396017E-2</v>
      </c>
    </row>
    <row r="79" spans="1:11" x14ac:dyDescent="0.2">
      <c r="A79" s="37" t="s">
        <v>15</v>
      </c>
      <c r="B79" s="18">
        <v>209961.14926999991</v>
      </c>
      <c r="C79" s="18">
        <v>8764.7062000000005</v>
      </c>
      <c r="D79" s="18">
        <v>6560.03413</v>
      </c>
      <c r="E79" s="18">
        <v>12275.557799999999</v>
      </c>
      <c r="F79" s="18"/>
      <c r="G79" s="18"/>
      <c r="H79" s="18"/>
      <c r="I79" s="18">
        <f t="shared" si="8"/>
        <v>182360.85113999993</v>
      </c>
      <c r="J79" s="18">
        <v>17735.371180000002</v>
      </c>
      <c r="K79" s="746">
        <f t="shared" si="9"/>
        <v>9.7254268496391322E-2</v>
      </c>
    </row>
    <row r="80" spans="1:11" x14ac:dyDescent="0.2">
      <c r="A80" s="37" t="s">
        <v>229</v>
      </c>
      <c r="B80" s="18">
        <v>721278.4652099997</v>
      </c>
      <c r="C80" s="18">
        <v>47154.454689999999</v>
      </c>
      <c r="D80" s="18">
        <v>160439.50894</v>
      </c>
      <c r="E80" s="18">
        <v>13843.52701</v>
      </c>
      <c r="F80" s="18"/>
      <c r="G80" s="18"/>
      <c r="H80" s="18"/>
      <c r="I80" s="18">
        <f t="shared" si="8"/>
        <v>499840.97456999967</v>
      </c>
      <c r="J80" s="18">
        <v>356929.34366999974</v>
      </c>
      <c r="K80" s="746">
        <f t="shared" si="9"/>
        <v>0.71408580294374002</v>
      </c>
    </row>
    <row r="81" spans="1:11" x14ac:dyDescent="0.2">
      <c r="A81" s="38" t="s">
        <v>296</v>
      </c>
      <c r="B81" s="20">
        <v>132333.75420999998</v>
      </c>
      <c r="C81" s="20">
        <v>5.09016</v>
      </c>
      <c r="D81" s="20">
        <v>5161.2527399999999</v>
      </c>
      <c r="E81" s="20">
        <v>90521.69286000001</v>
      </c>
      <c r="F81" s="20"/>
      <c r="G81" s="20"/>
      <c r="H81" s="20"/>
      <c r="I81" s="21">
        <f t="shared" si="8"/>
        <v>36645.718449999986</v>
      </c>
      <c r="J81" s="21">
        <v>28592.297110000007</v>
      </c>
      <c r="K81" s="747">
        <f t="shared" si="9"/>
        <v>0.78023568153021206</v>
      </c>
    </row>
    <row r="82" spans="1:11" x14ac:dyDescent="0.2">
      <c r="A82" s="38" t="s">
        <v>71</v>
      </c>
      <c r="B82" s="20">
        <v>216378.10815999997</v>
      </c>
      <c r="C82" s="20">
        <v>0</v>
      </c>
      <c r="D82" s="20">
        <v>4141.0550000000003</v>
      </c>
      <c r="E82" s="20">
        <v>0</v>
      </c>
      <c r="F82" s="20"/>
      <c r="G82" s="20"/>
      <c r="H82" s="20"/>
      <c r="I82" s="21">
        <f t="shared" si="8"/>
        <v>212237.05315999998</v>
      </c>
      <c r="J82" s="21">
        <v>0</v>
      </c>
      <c r="K82" s="747">
        <f t="shared" si="9"/>
        <v>0</v>
      </c>
    </row>
    <row r="83" spans="1:11" x14ac:dyDescent="0.2">
      <c r="A83" s="38" t="s">
        <v>237</v>
      </c>
      <c r="B83" s="20">
        <v>140683.37912000003</v>
      </c>
      <c r="C83" s="20">
        <v>2469.7660599999999</v>
      </c>
      <c r="D83" s="20">
        <v>121540.35204999999</v>
      </c>
      <c r="E83" s="20">
        <v>0</v>
      </c>
      <c r="F83" s="20"/>
      <c r="G83" s="20"/>
      <c r="H83" s="20"/>
      <c r="I83" s="21">
        <f t="shared" si="8"/>
        <v>16673.261010000046</v>
      </c>
      <c r="J83" s="21">
        <v>0</v>
      </c>
      <c r="K83" s="747">
        <f t="shared" si="9"/>
        <v>0</v>
      </c>
    </row>
    <row r="84" spans="1:11" x14ac:dyDescent="0.2">
      <c r="A84" s="38" t="s">
        <v>83</v>
      </c>
      <c r="B84" s="20">
        <v>17446.561709999994</v>
      </c>
      <c r="C84" s="20">
        <v>3149.00288</v>
      </c>
      <c r="D84" s="20">
        <v>2537.1731999999997</v>
      </c>
      <c r="E84" s="20">
        <v>1320.3640500000001</v>
      </c>
      <c r="F84" s="20"/>
      <c r="G84" s="20"/>
      <c r="H84" s="20"/>
      <c r="I84" s="21">
        <f t="shared" si="8"/>
        <v>10440.021579999995</v>
      </c>
      <c r="J84" s="21">
        <v>0</v>
      </c>
      <c r="K84" s="747">
        <f t="shared" si="9"/>
        <v>0</v>
      </c>
    </row>
    <row r="85" spans="1:11" x14ac:dyDescent="0.2">
      <c r="A85" s="38" t="s">
        <v>82</v>
      </c>
      <c r="B85" s="20">
        <v>51166.381039999986</v>
      </c>
      <c r="C85" s="20">
        <v>2716.5402899999999</v>
      </c>
      <c r="D85" s="20">
        <v>775.61349999999993</v>
      </c>
      <c r="E85" s="20">
        <v>1677.1378500000001</v>
      </c>
      <c r="F85" s="20"/>
      <c r="G85" s="20"/>
      <c r="H85" s="20"/>
      <c r="I85" s="21">
        <f t="shared" si="8"/>
        <v>45997.08939999999</v>
      </c>
      <c r="J85" s="21">
        <v>97</v>
      </c>
      <c r="K85" s="747">
        <f t="shared" si="9"/>
        <v>2.1088290860421274E-3</v>
      </c>
    </row>
    <row r="86" spans="1:11" x14ac:dyDescent="0.2">
      <c r="A86" s="38" t="s">
        <v>105</v>
      </c>
      <c r="B86" s="20">
        <v>114953.90716000005</v>
      </c>
      <c r="C86" s="20">
        <v>26785.57705</v>
      </c>
      <c r="D86" s="20">
        <v>206.73700000000005</v>
      </c>
      <c r="E86" s="20">
        <v>8003.7497000000003</v>
      </c>
      <c r="F86" s="20"/>
      <c r="G86" s="20"/>
      <c r="H86" s="20"/>
      <c r="I86" s="21">
        <f t="shared" si="8"/>
        <v>79957.843410000045</v>
      </c>
      <c r="J86" s="21">
        <v>3367.7436400000001</v>
      </c>
      <c r="K86" s="747">
        <f t="shared" si="9"/>
        <v>4.2118990412625464E-2</v>
      </c>
    </row>
    <row r="87" spans="1:11" x14ac:dyDescent="0.2">
      <c r="A87" s="38" t="s">
        <v>134</v>
      </c>
      <c r="B87" s="20">
        <v>20288.583240000004</v>
      </c>
      <c r="C87" s="20">
        <v>528.88936999999999</v>
      </c>
      <c r="D87" s="20">
        <v>302.495</v>
      </c>
      <c r="E87" s="20">
        <v>0</v>
      </c>
      <c r="F87" s="20"/>
      <c r="G87" s="20"/>
      <c r="H87" s="20"/>
      <c r="I87" s="21">
        <f t="shared" si="8"/>
        <v>19457.198870000004</v>
      </c>
      <c r="J87" s="21">
        <v>16131.122729999999</v>
      </c>
      <c r="K87" s="747">
        <f t="shared" si="9"/>
        <v>0.82905678447228592</v>
      </c>
    </row>
    <row r="88" spans="1:11" x14ac:dyDescent="0.2">
      <c r="A88" s="39" t="s">
        <v>17</v>
      </c>
      <c r="B88" s="19">
        <v>318575.93389999995</v>
      </c>
      <c r="C88" s="19">
        <v>7033.2014199999994</v>
      </c>
      <c r="D88" s="19">
        <v>93768.302039999995</v>
      </c>
      <c r="E88" s="19">
        <v>1516.8045200000001</v>
      </c>
      <c r="F88" s="19"/>
      <c r="G88" s="19"/>
      <c r="H88" s="19"/>
      <c r="I88" s="21">
        <f t="shared" si="8"/>
        <v>216257.62591999996</v>
      </c>
      <c r="J88" s="21">
        <v>74503.747460000013</v>
      </c>
      <c r="K88" s="748">
        <f t="shared" si="9"/>
        <v>0.34451385075114593</v>
      </c>
    </row>
    <row r="89" spans="1:11" x14ac:dyDescent="0.2">
      <c r="A89" s="38" t="s">
        <v>24</v>
      </c>
      <c r="B89" s="20">
        <v>61440.292649999959</v>
      </c>
      <c r="C89" s="20">
        <v>0</v>
      </c>
      <c r="D89" s="20">
        <v>97.608000000000004</v>
      </c>
      <c r="E89" s="20">
        <v>6527.6111299999993</v>
      </c>
      <c r="F89" s="20"/>
      <c r="G89" s="20"/>
      <c r="H89" s="20"/>
      <c r="I89" s="21">
        <f t="shared" si="8"/>
        <v>54815.073519999962</v>
      </c>
      <c r="J89" s="21">
        <v>406</v>
      </c>
      <c r="K89" s="747">
        <f t="shared" si="9"/>
        <v>7.4067217998324102E-3</v>
      </c>
    </row>
    <row r="90" spans="1:11" x14ac:dyDescent="0.2">
      <c r="A90" s="38" t="s">
        <v>25</v>
      </c>
      <c r="B90" s="20">
        <v>279883.19853000017</v>
      </c>
      <c r="C90" s="20">
        <v>85153.703119999991</v>
      </c>
      <c r="D90" s="20">
        <v>0</v>
      </c>
      <c r="E90" s="20">
        <v>38118.027450000001</v>
      </c>
      <c r="F90" s="20"/>
      <c r="G90" s="20"/>
      <c r="H90" s="20"/>
      <c r="I90" s="21">
        <f t="shared" si="8"/>
        <v>156611.46796000018</v>
      </c>
      <c r="J90" s="21">
        <v>0</v>
      </c>
      <c r="K90" s="747">
        <f t="shared" si="9"/>
        <v>0</v>
      </c>
    </row>
    <row r="91" spans="1:11" x14ac:dyDescent="0.2">
      <c r="A91" s="39" t="s">
        <v>18</v>
      </c>
      <c r="B91" s="19">
        <v>410013.66603999934</v>
      </c>
      <c r="C91" s="19">
        <v>47196.570899999992</v>
      </c>
      <c r="D91" s="19">
        <v>7063.9900200000002</v>
      </c>
      <c r="E91" s="19">
        <v>0</v>
      </c>
      <c r="F91" s="19"/>
      <c r="G91" s="19"/>
      <c r="H91" s="19"/>
      <c r="I91" s="21">
        <f t="shared" si="8"/>
        <v>355753.10511999932</v>
      </c>
      <c r="J91" s="21">
        <v>24341.894290000007</v>
      </c>
      <c r="K91" s="748">
        <f t="shared" si="9"/>
        <v>6.8423561002480149E-2</v>
      </c>
    </row>
    <row r="92" spans="1:11" ht="13.5" thickBot="1" x14ac:dyDescent="0.25">
      <c r="A92" s="40" t="s">
        <v>73</v>
      </c>
      <c r="B92" s="41">
        <f t="shared" ref="B92:J92" si="10">SUM(B71:B91)</f>
        <v>6467405.1419399995</v>
      </c>
      <c r="C92" s="41">
        <f t="shared" si="10"/>
        <v>392582.10582999996</v>
      </c>
      <c r="D92" s="41">
        <f t="shared" si="10"/>
        <v>584174.1513400001</v>
      </c>
      <c r="E92" s="41">
        <f t="shared" si="10"/>
        <v>284661.93799000006</v>
      </c>
      <c r="F92" s="41">
        <f t="shared" si="10"/>
        <v>0</v>
      </c>
      <c r="G92" s="41">
        <f t="shared" si="10"/>
        <v>0</v>
      </c>
      <c r="H92" s="41">
        <f t="shared" si="10"/>
        <v>0</v>
      </c>
      <c r="I92" s="41">
        <f t="shared" si="10"/>
        <v>5205986.9467799999</v>
      </c>
      <c r="J92" s="41">
        <f t="shared" si="10"/>
        <v>1533611.4267899999</v>
      </c>
      <c r="K92" s="749">
        <f t="shared" si="9"/>
        <v>0.29458610681660796</v>
      </c>
    </row>
    <row r="93" spans="1:11" x14ac:dyDescent="0.2">
      <c r="A93" s="22"/>
      <c r="B93" s="46"/>
      <c r="C93" s="46"/>
      <c r="D93" s="46"/>
      <c r="E93" s="46"/>
      <c r="F93" s="46"/>
      <c r="G93" s="46"/>
      <c r="H93" s="46"/>
      <c r="I93" s="46"/>
      <c r="J93" s="46"/>
      <c r="K93" s="46"/>
    </row>
    <row r="94" spans="1:11" ht="15.75" x14ac:dyDescent="0.25">
      <c r="A94" s="42" t="s">
        <v>347</v>
      </c>
      <c r="B94" s="123"/>
      <c r="C94" s="124"/>
      <c r="D94" s="124"/>
      <c r="E94" s="124"/>
      <c r="F94" s="124"/>
      <c r="G94" s="124"/>
      <c r="H94" s="124"/>
      <c r="I94" s="750">
        <f>SUM(I71:I80)</f>
        <v>4001141.4883799995</v>
      </c>
      <c r="J94" s="750">
        <f>SUM(J71:J80)</f>
        <v>1386171.6215600001</v>
      </c>
      <c r="K94" s="1003">
        <f>J94/I94</f>
        <v>0.3464440399285254</v>
      </c>
    </row>
    <row r="95" spans="1:11" ht="15" x14ac:dyDescent="0.2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1008">
        <f>K94-0.01</f>
        <v>0.3364440399285254</v>
      </c>
    </row>
  </sheetData>
  <mergeCells count="3">
    <mergeCell ref="B69:K69"/>
    <mergeCell ref="B37:K37"/>
    <mergeCell ref="B5:K5"/>
  </mergeCells>
  <pageMargins left="0.70866141732283472" right="0.70866141732283472" top="0.78740157480314965" bottom="0.78740157480314965" header="0.31496062992125984" footer="0.31496062992125984"/>
  <pageSetup paperSize="9" orientation="landscape" r:id="rId1"/>
  <rowBreaks count="1" manualBreakCount="1">
    <brk id="6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AL49"/>
  <sheetViews>
    <sheetView showGridLines="0" workbookViewId="0"/>
  </sheetViews>
  <sheetFormatPr defaultColWidth="8.7109375" defaultRowHeight="12.75" x14ac:dyDescent="0.2"/>
  <cols>
    <col min="1" max="1" width="4.140625" style="46" customWidth="1"/>
    <col min="2" max="2" width="6.42578125" style="46" customWidth="1"/>
    <col min="3" max="3" width="9.42578125" style="46" customWidth="1"/>
    <col min="4" max="4" width="5.7109375" style="46" customWidth="1"/>
    <col min="5" max="6" width="9.42578125" style="46" customWidth="1"/>
    <col min="7" max="7" width="5.7109375" style="46" customWidth="1"/>
    <col min="8" max="9" width="9.42578125" style="46" customWidth="1"/>
    <col min="10" max="10" width="5.7109375" style="46" customWidth="1"/>
    <col min="11" max="12" width="9.42578125" style="46" customWidth="1"/>
    <col min="13" max="13" width="5.7109375" style="46" customWidth="1"/>
    <col min="14" max="16" width="9.42578125" style="46" customWidth="1"/>
    <col min="17" max="17" width="8.140625" style="46" customWidth="1"/>
    <col min="18" max="19" width="9.42578125" style="46" customWidth="1"/>
    <col min="20" max="20" width="8.140625" style="46" customWidth="1"/>
    <col min="21" max="22" width="9.42578125" style="46" customWidth="1"/>
    <col min="23" max="23" width="5.7109375" style="46" customWidth="1"/>
    <col min="24" max="25" width="9.42578125" style="46" customWidth="1"/>
    <col min="26" max="26" width="5.7109375" style="46" customWidth="1"/>
    <col min="27" max="28" width="9.42578125" style="46" customWidth="1"/>
    <col min="29" max="29" width="5.7109375" style="46" customWidth="1"/>
    <col min="30" max="30" width="9.42578125" style="46" customWidth="1"/>
    <col min="31" max="31" width="9.5703125" style="46" customWidth="1"/>
    <col min="32" max="32" width="5.7109375" style="46" customWidth="1"/>
    <col min="33" max="36" width="8.7109375" style="46"/>
    <col min="37" max="37" width="9.42578125" style="46" bestFit="1" customWidth="1"/>
    <col min="38" max="16384" width="8.7109375" style="46"/>
  </cols>
  <sheetData>
    <row r="1" spans="1:31" s="198" customFormat="1" ht="15.75" x14ac:dyDescent="0.25">
      <c r="A1" s="743" t="s">
        <v>716</v>
      </c>
      <c r="K1" s="198" t="s">
        <v>397</v>
      </c>
      <c r="N1" s="744">
        <f>'str1'!H7</f>
        <v>442225.86456704402</v>
      </c>
      <c r="Q1" s="984" t="s">
        <v>378</v>
      </c>
      <c r="R1" s="733">
        <f>D3+G3+J3+O3+Q3+T3+W3+Z3+AC3</f>
        <v>1</v>
      </c>
      <c r="S1" s="733"/>
      <c r="T1" s="733"/>
      <c r="U1" s="733"/>
    </row>
    <row r="2" spans="1:31" ht="13.5" thickBot="1" x14ac:dyDescent="0.25">
      <c r="A2" s="119"/>
    </row>
    <row r="3" spans="1:31" ht="12.75" customHeight="1" x14ac:dyDescent="0.2">
      <c r="A3" s="1574"/>
      <c r="B3" s="1575"/>
      <c r="C3" s="223"/>
      <c r="D3" s="983">
        <v>0.32907735907527896</v>
      </c>
      <c r="E3" s="224"/>
      <c r="F3" s="223"/>
      <c r="G3" s="983">
        <v>9.2264092472103517E-4</v>
      </c>
      <c r="H3" s="224"/>
      <c r="I3" s="223"/>
      <c r="J3" s="983">
        <v>0.1</v>
      </c>
      <c r="K3" s="224"/>
      <c r="L3" s="226">
        <v>2.5</v>
      </c>
      <c r="M3" s="227">
        <v>1.5</v>
      </c>
      <c r="N3" s="228" t="s">
        <v>199</v>
      </c>
      <c r="O3" s="982">
        <v>0.04</v>
      </c>
      <c r="P3" s="225"/>
      <c r="Q3" s="983">
        <v>0.05</v>
      </c>
      <c r="R3" s="224"/>
      <c r="S3" s="225"/>
      <c r="T3" s="983">
        <v>0.1</v>
      </c>
      <c r="U3" s="1489"/>
      <c r="V3" s="225"/>
      <c r="W3" s="983">
        <v>0.03</v>
      </c>
      <c r="X3" s="224"/>
      <c r="Y3" s="225"/>
      <c r="Z3" s="983">
        <v>0.3</v>
      </c>
      <c r="AA3" s="224"/>
      <c r="AB3" s="225"/>
      <c r="AC3" s="983">
        <v>0.05</v>
      </c>
      <c r="AD3" s="224"/>
      <c r="AE3" s="1582" t="s">
        <v>379</v>
      </c>
    </row>
    <row r="4" spans="1:31" s="232" customFormat="1" ht="69.75" customHeight="1" x14ac:dyDescent="0.2">
      <c r="A4" s="1580" t="s">
        <v>243</v>
      </c>
      <c r="B4" s="1581"/>
      <c r="C4" s="229" t="s">
        <v>699</v>
      </c>
      <c r="D4" s="230" t="s">
        <v>21</v>
      </c>
      <c r="E4" s="231" t="s">
        <v>244</v>
      </c>
      <c r="F4" s="229" t="s">
        <v>698</v>
      </c>
      <c r="G4" s="230" t="s">
        <v>21</v>
      </c>
      <c r="H4" s="231" t="s">
        <v>697</v>
      </c>
      <c r="I4" s="229" t="s">
        <v>696</v>
      </c>
      <c r="J4" s="230" t="s">
        <v>21</v>
      </c>
      <c r="K4" s="231" t="s">
        <v>701</v>
      </c>
      <c r="L4" s="229" t="s">
        <v>240</v>
      </c>
      <c r="M4" s="230" t="s">
        <v>241</v>
      </c>
      <c r="N4" s="230" t="s">
        <v>199</v>
      </c>
      <c r="O4" s="231" t="s">
        <v>367</v>
      </c>
      <c r="P4" s="229" t="s">
        <v>702</v>
      </c>
      <c r="Q4" s="230" t="s">
        <v>21</v>
      </c>
      <c r="R4" s="231" t="s">
        <v>703</v>
      </c>
      <c r="S4" s="229" t="s">
        <v>200</v>
      </c>
      <c r="T4" s="230" t="s">
        <v>21</v>
      </c>
      <c r="U4" s="231" t="s">
        <v>368</v>
      </c>
      <c r="V4" s="229" t="s">
        <v>700</v>
      </c>
      <c r="W4" s="230" t="s">
        <v>21</v>
      </c>
      <c r="X4" s="231" t="s">
        <v>704</v>
      </c>
      <c r="Y4" s="229" t="s">
        <v>707</v>
      </c>
      <c r="Z4" s="230" t="s">
        <v>21</v>
      </c>
      <c r="AA4" s="231" t="s">
        <v>708</v>
      </c>
      <c r="AB4" s="229" t="s">
        <v>705</v>
      </c>
      <c r="AC4" s="230" t="s">
        <v>21</v>
      </c>
      <c r="AD4" s="231" t="s">
        <v>706</v>
      </c>
      <c r="AE4" s="1583"/>
    </row>
    <row r="5" spans="1:31" s="232" customFormat="1" ht="12" thickBot="1" x14ac:dyDescent="0.25">
      <c r="A5" s="1527"/>
      <c r="B5" s="1528"/>
      <c r="C5" s="1529"/>
      <c r="D5" s="1530"/>
      <c r="E5" s="1531" t="s">
        <v>245</v>
      </c>
      <c r="F5" s="1529"/>
      <c r="G5" s="1530"/>
      <c r="H5" s="1531" t="s">
        <v>246</v>
      </c>
      <c r="I5" s="1529"/>
      <c r="J5" s="1530"/>
      <c r="K5" s="1531" t="s">
        <v>247</v>
      </c>
      <c r="L5" s="1529"/>
      <c r="M5" s="1530"/>
      <c r="N5" s="1530"/>
      <c r="O5" s="1531" t="s">
        <v>248</v>
      </c>
      <c r="P5" s="1529"/>
      <c r="Q5" s="1530"/>
      <c r="R5" s="1531" t="s">
        <v>249</v>
      </c>
      <c r="S5" s="1529"/>
      <c r="T5" s="1530"/>
      <c r="U5" s="1531" t="s">
        <v>250</v>
      </c>
      <c r="V5" s="1529"/>
      <c r="W5" s="1530"/>
      <c r="X5" s="1531" t="s">
        <v>251</v>
      </c>
      <c r="Y5" s="1529"/>
      <c r="Z5" s="1530"/>
      <c r="AA5" s="1531" t="s">
        <v>252</v>
      </c>
      <c r="AB5" s="1529"/>
      <c r="AC5" s="1530"/>
      <c r="AD5" s="1531" t="s">
        <v>369</v>
      </c>
      <c r="AE5" s="1532" t="s">
        <v>615</v>
      </c>
    </row>
    <row r="6" spans="1:31" x14ac:dyDescent="0.2">
      <c r="A6" s="233">
        <v>11</v>
      </c>
      <c r="B6" s="234" t="s">
        <v>7</v>
      </c>
      <c r="C6" s="1519">
        <v>28639.100173380299</v>
      </c>
      <c r="D6" s="1520">
        <f>C6/$C$18</f>
        <v>0.11884148390569688</v>
      </c>
      <c r="E6" s="1521">
        <f t="shared" ref="E6:E17" si="0">D6*$N$1*$D$3</f>
        <v>17294.587540045355</v>
      </c>
      <c r="F6" s="1519"/>
      <c r="G6" s="1520"/>
      <c r="H6" s="1521"/>
      <c r="I6" s="1519">
        <v>242417.34840000005</v>
      </c>
      <c r="J6" s="1520">
        <f>I6/$I$18</f>
        <v>0.23702294084095379</v>
      </c>
      <c r="K6" s="1521">
        <f t="shared" ref="K6:K17" si="1">J6*$N$1*$J$3</f>
        <v>10481.767493561412</v>
      </c>
      <c r="L6" s="1519">
        <v>61.344999999999999</v>
      </c>
      <c r="M6" s="1522">
        <v>57.012500000000003</v>
      </c>
      <c r="N6" s="1523">
        <f t="shared" ref="N6:N17" si="2">L6*$L$3+M6*$M$3</f>
        <v>238.88125000000002</v>
      </c>
      <c r="O6" s="1521">
        <f t="shared" ref="O6:O17" si="3">N6/$N$18*$N$1*$O$3</f>
        <v>3873.8833501102963</v>
      </c>
      <c r="P6" s="1519">
        <v>1732.1290380520052</v>
      </c>
      <c r="Q6" s="1524">
        <f t="shared" ref="Q6:Q17" si="4">P6/$P$18</f>
        <v>0.21146373178383709</v>
      </c>
      <c r="R6" s="1521">
        <f t="shared" ref="R6:R17" si="5">Q6*$N$1*$Q$3</f>
        <v>4675.7365806340431</v>
      </c>
      <c r="S6" s="1519">
        <f>1408+7.0062</f>
        <v>1415.0062</v>
      </c>
      <c r="T6" s="1524">
        <f>(1408/2455+7.0062/(210.9422/2))/3</f>
        <v>0.21331703234570998</v>
      </c>
      <c r="U6" s="1521">
        <f t="shared" ref="U6:U17" si="6">T6*$T$3*$N$1</f>
        <v>9433.4309055957692</v>
      </c>
      <c r="V6" s="1525">
        <v>29.085067399555033</v>
      </c>
      <c r="W6" s="1524">
        <f t="shared" ref="W6:W14" si="7">V6/$V$18</f>
        <v>6.0637272663773757E-2</v>
      </c>
      <c r="X6" s="1521">
        <f t="shared" ref="X6:X14" si="8">W6*$N$1*$W$3</f>
        <v>804.46110986174801</v>
      </c>
      <c r="Y6" s="1525">
        <v>16675</v>
      </c>
      <c r="Z6" s="1524">
        <f t="shared" ref="Z6:Z14" si="9">Y6/$Y$18</f>
        <v>6.0108501703224411E-2</v>
      </c>
      <c r="AA6" s="1521">
        <f t="shared" ref="AA6:AA17" si="10">Z6*$N$1*$Z$3</f>
        <v>7974.4602400614158</v>
      </c>
      <c r="AB6" s="1525">
        <v>712</v>
      </c>
      <c r="AC6" s="1524">
        <f t="shared" ref="AC6:AC14" si="11">AB6/$AB$18</f>
        <v>8.4021713476516408E-2</v>
      </c>
      <c r="AD6" s="1521">
        <f t="shared" ref="AD6:AD17" si="12">AC6*$N$1*$AC$3</f>
        <v>1857.8287442278463</v>
      </c>
      <c r="AE6" s="1526">
        <f>E6+H6+K6+O6+R6+U6+X6+AA6+AD6</f>
        <v>56396.155964097888</v>
      </c>
    </row>
    <row r="7" spans="1:31" x14ac:dyDescent="0.2">
      <c r="A7" s="188">
        <v>21</v>
      </c>
      <c r="B7" s="238" t="s">
        <v>8</v>
      </c>
      <c r="C7" s="235">
        <v>26775.864600795398</v>
      </c>
      <c r="D7" s="250">
        <f t="shared" ref="D7:D17" si="13">C7/$C$18</f>
        <v>0.1111097577351349</v>
      </c>
      <c r="E7" s="236">
        <f t="shared" si="0"/>
        <v>16169.416339738305</v>
      </c>
      <c r="F7" s="235">
        <v>2714.7</v>
      </c>
      <c r="G7" s="250">
        <f>F7/$F$18</f>
        <v>0.58059755758496057</v>
      </c>
      <c r="H7" s="236">
        <f>G7*$N$1*$G$3</f>
        <v>236.89290762416127</v>
      </c>
      <c r="I7" s="235">
        <v>77331.0196</v>
      </c>
      <c r="J7" s="250">
        <f t="shared" ref="J7:J17" si="14">I7/$I$18</f>
        <v>7.5610206137464026E-2</v>
      </c>
      <c r="K7" s="236">
        <f t="shared" si="1"/>
        <v>3343.6788779232447</v>
      </c>
      <c r="L7" s="235">
        <v>30.9</v>
      </c>
      <c r="M7" s="237">
        <v>59.662500000000001</v>
      </c>
      <c r="N7" s="190">
        <f t="shared" si="2"/>
        <v>166.74375000000001</v>
      </c>
      <c r="O7" s="236">
        <f t="shared" si="3"/>
        <v>2704.04578366847</v>
      </c>
      <c r="P7" s="235">
        <v>1245.408622182747</v>
      </c>
      <c r="Q7" s="1490">
        <f t="shared" si="4"/>
        <v>0.15204338075107282</v>
      </c>
      <c r="R7" s="236">
        <f t="shared" si="5"/>
        <v>3361.8757752169718</v>
      </c>
      <c r="S7" s="235">
        <f>303+57.8444</f>
        <v>360.84440000000001</v>
      </c>
      <c r="T7" s="1490">
        <f>(303/2455+57.8444/(210.9422/2))/3</f>
        <v>0.22395332532744658</v>
      </c>
      <c r="U7" s="236">
        <f t="shared" si="6"/>
        <v>9903.7952915594542</v>
      </c>
      <c r="V7" s="189">
        <v>45.249182044235049</v>
      </c>
      <c r="W7" s="1490">
        <f t="shared" si="7"/>
        <v>9.4336621323112102E-2</v>
      </c>
      <c r="X7" s="236">
        <f t="shared" si="8"/>
        <v>1251.5428177484127</v>
      </c>
      <c r="Y7" s="189">
        <v>89428</v>
      </c>
      <c r="Z7" s="1490">
        <f t="shared" si="9"/>
        <v>0.32236180451669882</v>
      </c>
      <c r="AA7" s="236">
        <f t="shared" si="10"/>
        <v>42767.018311736872</v>
      </c>
      <c r="AB7" s="189">
        <v>1754</v>
      </c>
      <c r="AC7" s="1490">
        <f t="shared" si="11"/>
        <v>0.20698607505310362</v>
      </c>
      <c r="AD7" s="236">
        <f t="shared" si="12"/>
        <v>4576.7297996848911</v>
      </c>
      <c r="AE7" s="1372">
        <f t="shared" ref="AE7:AE17" si="15">E7+H7+K7+O7+R7+U7+X7+AA7+AD7</f>
        <v>84314.995904900788</v>
      </c>
    </row>
    <row r="8" spans="1:31" x14ac:dyDescent="0.2">
      <c r="A8" s="188">
        <v>22</v>
      </c>
      <c r="B8" s="238" t="s">
        <v>9</v>
      </c>
      <c r="C8" s="235">
        <v>9167.9183815239012</v>
      </c>
      <c r="D8" s="250">
        <f t="shared" si="13"/>
        <v>3.8043409820512429E-2</v>
      </c>
      <c r="E8" s="236">
        <f t="shared" si="0"/>
        <v>5536.3250259039687</v>
      </c>
      <c r="F8" s="235"/>
      <c r="G8" s="250"/>
      <c r="H8" s="236"/>
      <c r="I8" s="235">
        <v>29874.530409999999</v>
      </c>
      <c r="J8" s="250">
        <f t="shared" si="14"/>
        <v>2.9209745510196759E-2</v>
      </c>
      <c r="K8" s="236">
        <f t="shared" si="1"/>
        <v>1291.7304962030094</v>
      </c>
      <c r="L8" s="235">
        <v>11.75</v>
      </c>
      <c r="M8" s="237">
        <v>24.875</v>
      </c>
      <c r="N8" s="190">
        <f t="shared" si="2"/>
        <v>66.6875</v>
      </c>
      <c r="O8" s="236">
        <f t="shared" si="3"/>
        <v>1081.4561457229497</v>
      </c>
      <c r="P8" s="235">
        <v>831.11615351571538</v>
      </c>
      <c r="Q8" s="1490">
        <f t="shared" si="4"/>
        <v>0.10146526009743213</v>
      </c>
      <c r="R8" s="236">
        <f t="shared" si="5"/>
        <v>2243.5281185053459</v>
      </c>
      <c r="S8" s="235">
        <f>19+0.6534</f>
        <v>19.653400000000001</v>
      </c>
      <c r="T8" s="1490">
        <f>(19/2455+0.654/(210.9422/2))/3</f>
        <v>4.646686087539314E-3</v>
      </c>
      <c r="U8" s="236">
        <f t="shared" si="6"/>
        <v>205.48847724337284</v>
      </c>
      <c r="V8" s="189">
        <v>7</v>
      </c>
      <c r="W8" s="1490">
        <f t="shared" si="7"/>
        <v>1.4593774283394305E-2</v>
      </c>
      <c r="X8" s="236">
        <f t="shared" si="8"/>
        <v>193.61233349311019</v>
      </c>
      <c r="Y8" s="189">
        <v>21003</v>
      </c>
      <c r="Z8" s="1490">
        <f t="shared" si="9"/>
        <v>7.5709676837950365E-2</v>
      </c>
      <c r="AA8" s="236">
        <f t="shared" si="10"/>
        <v>10044.233188726232</v>
      </c>
      <c r="AB8" s="189">
        <v>907</v>
      </c>
      <c r="AC8" s="1490">
        <f t="shared" si="11"/>
        <v>0.10703327826292187</v>
      </c>
      <c r="AD8" s="236">
        <f t="shared" si="12"/>
        <v>2366.6442008632816</v>
      </c>
      <c r="AE8" s="1372">
        <f t="shared" si="15"/>
        <v>22963.017986661267</v>
      </c>
    </row>
    <row r="9" spans="1:31" x14ac:dyDescent="0.2">
      <c r="A9" s="188">
        <v>23</v>
      </c>
      <c r="B9" s="238" t="s">
        <v>10</v>
      </c>
      <c r="C9" s="235">
        <v>13627.58171286994</v>
      </c>
      <c r="D9" s="250">
        <f t="shared" si="13"/>
        <v>5.6549333708079567E-2</v>
      </c>
      <c r="E9" s="236">
        <f t="shared" si="0"/>
        <v>8229.4277217346116</v>
      </c>
      <c r="F9" s="235"/>
      <c r="G9" s="250"/>
      <c r="H9" s="236"/>
      <c r="I9" s="235">
        <v>48054.027830000006</v>
      </c>
      <c r="J9" s="250">
        <f t="shared" si="14"/>
        <v>4.6984702500440498E-2</v>
      </c>
      <c r="K9" s="236">
        <f t="shared" si="1"/>
        <v>2077.7850684682653</v>
      </c>
      <c r="L9" s="235">
        <v>13.7875</v>
      </c>
      <c r="M9" s="237">
        <v>19.975000000000001</v>
      </c>
      <c r="N9" s="190">
        <f t="shared" si="2"/>
        <v>64.431250000000006</v>
      </c>
      <c r="O9" s="236">
        <f t="shared" si="3"/>
        <v>1044.8670483840572</v>
      </c>
      <c r="P9" s="235">
        <v>529.08995887110746</v>
      </c>
      <c r="Q9" s="1490">
        <f t="shared" si="4"/>
        <v>6.4592957391943512E-2</v>
      </c>
      <c r="R9" s="236">
        <f t="shared" si="5"/>
        <v>1428.2338213797229</v>
      </c>
      <c r="S9" s="235">
        <f>273+21.7572</f>
        <v>294.75720000000001</v>
      </c>
      <c r="T9" s="1490">
        <f>(273/2455+21.7572/(210.9422/2))/3</f>
        <v>0.10582917395383225</v>
      </c>
      <c r="U9" s="236">
        <f t="shared" si="6"/>
        <v>4680.0397948149566</v>
      </c>
      <c r="V9" s="189">
        <v>65</v>
      </c>
      <c r="W9" s="1490">
        <f t="shared" si="7"/>
        <v>0.13551361834580425</v>
      </c>
      <c r="X9" s="236">
        <f t="shared" si="8"/>
        <v>1797.8288110074516</v>
      </c>
      <c r="Y9" s="189">
        <v>43868</v>
      </c>
      <c r="Z9" s="1490">
        <f t="shared" si="9"/>
        <v>0.15813131950327128</v>
      </c>
      <c r="AA9" s="236">
        <f t="shared" si="10"/>
        <v>20978.927844738482</v>
      </c>
      <c r="AB9" s="189">
        <v>972</v>
      </c>
      <c r="AC9" s="1490">
        <f t="shared" si="11"/>
        <v>0.11470379985839037</v>
      </c>
      <c r="AD9" s="236">
        <f t="shared" si="12"/>
        <v>2536.249353075093</v>
      </c>
      <c r="AE9" s="1372">
        <f t="shared" si="15"/>
        <v>42773.359463602639</v>
      </c>
    </row>
    <row r="10" spans="1:31" x14ac:dyDescent="0.2">
      <c r="A10" s="188">
        <v>31</v>
      </c>
      <c r="B10" s="238" t="s">
        <v>11</v>
      </c>
      <c r="C10" s="235">
        <v>94092.123390853201</v>
      </c>
      <c r="D10" s="250">
        <f t="shared" si="13"/>
        <v>0.39044688904019775</v>
      </c>
      <c r="E10" s="236">
        <f t="shared" si="0"/>
        <v>56820.376861016099</v>
      </c>
      <c r="F10" s="235"/>
      <c r="G10" s="250"/>
      <c r="H10" s="236"/>
      <c r="I10" s="235">
        <v>265158.51812999998</v>
      </c>
      <c r="J10" s="250">
        <f t="shared" si="14"/>
        <v>0.25925806123618977</v>
      </c>
      <c r="K10" s="236">
        <f t="shared" si="1"/>
        <v>11465.062027614968</v>
      </c>
      <c r="L10" s="235">
        <v>57.8125</v>
      </c>
      <c r="M10" s="237">
        <v>93.875</v>
      </c>
      <c r="N10" s="190">
        <f t="shared" si="2"/>
        <v>285.34375</v>
      </c>
      <c r="O10" s="236">
        <f t="shared" si="3"/>
        <v>4627.3552327067728</v>
      </c>
      <c r="P10" s="235">
        <v>1404.7359941254169</v>
      </c>
      <c r="Q10" s="1490">
        <f t="shared" si="4"/>
        <v>0.17149456475997277</v>
      </c>
      <c r="R10" s="236">
        <f t="shared" si="5"/>
        <v>3791.966608476394</v>
      </c>
      <c r="S10" s="235">
        <f>150+86.12</f>
        <v>236.12</v>
      </c>
      <c r="T10" s="1490">
        <f>(150/2455+86.12/(210.9422/2))/3</f>
        <v>0.29254226269605049</v>
      </c>
      <c r="U10" s="236">
        <f t="shared" si="6"/>
        <v>12936.975504316024</v>
      </c>
      <c r="V10" s="189">
        <v>122.05549011909436</v>
      </c>
      <c r="W10" s="1490">
        <f t="shared" si="7"/>
        <v>0.25446432469244668</v>
      </c>
      <c r="X10" s="236">
        <f t="shared" si="8"/>
        <v>3375.9211796575869</v>
      </c>
      <c r="Y10" s="189">
        <v>26915</v>
      </c>
      <c r="Z10" s="1490">
        <f t="shared" si="9"/>
        <v>9.7020709046014092E-2</v>
      </c>
      <c r="AA10" s="236">
        <f t="shared" si="10"/>
        <v>12871.520081634362</v>
      </c>
      <c r="AB10" s="189">
        <v>914</v>
      </c>
      <c r="AC10" s="1490">
        <f t="shared" si="11"/>
        <v>0.10785933443474156</v>
      </c>
      <c r="AD10" s="236">
        <f t="shared" si="12"/>
        <v>2384.9093711014766</v>
      </c>
      <c r="AE10" s="1372">
        <f t="shared" si="15"/>
        <v>108274.08686652366</v>
      </c>
    </row>
    <row r="11" spans="1:31" x14ac:dyDescent="0.2">
      <c r="A11" s="188">
        <v>33</v>
      </c>
      <c r="B11" s="238" t="s">
        <v>12</v>
      </c>
      <c r="C11" s="235">
        <v>15631.3807084785</v>
      </c>
      <c r="D11" s="250">
        <f t="shared" si="13"/>
        <v>6.4864345166023685E-2</v>
      </c>
      <c r="E11" s="236">
        <f t="shared" si="0"/>
        <v>9439.4823998637294</v>
      </c>
      <c r="F11" s="235">
        <v>874.1</v>
      </c>
      <c r="G11" s="250">
        <f>F11/$F$18</f>
        <v>0.1869452702269179</v>
      </c>
      <c r="H11" s="236">
        <f>G11*$N$1*$G$3</f>
        <v>76.276601670269045</v>
      </c>
      <c r="I11" s="235">
        <v>45334.42596</v>
      </c>
      <c r="J11" s="250">
        <f t="shared" si="14"/>
        <v>4.4325618745096697E-2</v>
      </c>
      <c r="K11" s="236">
        <f t="shared" si="1"/>
        <v>1960.193507201956</v>
      </c>
      <c r="L11" s="235">
        <v>12.725</v>
      </c>
      <c r="M11" s="237">
        <v>19.625</v>
      </c>
      <c r="N11" s="190">
        <f t="shared" si="2"/>
        <v>61.25</v>
      </c>
      <c r="O11" s="236">
        <f t="shared" si="3"/>
        <v>993.27743468462108</v>
      </c>
      <c r="P11" s="235">
        <v>281.35524434476559</v>
      </c>
      <c r="Q11" s="1490">
        <f t="shared" si="4"/>
        <v>3.4348728425573079E-2</v>
      </c>
      <c r="R11" s="236">
        <f t="shared" si="5"/>
        <v>759.4948062388828</v>
      </c>
      <c r="S11" s="235">
        <f>121+12.739</f>
        <v>133.739</v>
      </c>
      <c r="T11" s="1490">
        <f>(121/2455+12.739/(210.9422/2))/3</f>
        <v>5.6689690145221093E-2</v>
      </c>
      <c r="U11" s="236">
        <f t="shared" si="6"/>
        <v>2506.9647236508235</v>
      </c>
      <c r="V11" s="189">
        <v>160</v>
      </c>
      <c r="W11" s="1490">
        <f t="shared" si="7"/>
        <v>0.33357198362044121</v>
      </c>
      <c r="X11" s="236">
        <f t="shared" si="8"/>
        <v>4425.4247655568042</v>
      </c>
      <c r="Y11" s="189">
        <v>18959</v>
      </c>
      <c r="Z11" s="1490">
        <f t="shared" si="9"/>
        <v>6.834165420038571E-2</v>
      </c>
      <c r="AA11" s="236">
        <f t="shared" si="10"/>
        <v>9066.7341344122578</v>
      </c>
      <c r="AB11" s="189">
        <v>474</v>
      </c>
      <c r="AC11" s="1490">
        <f t="shared" si="11"/>
        <v>5.5935803634647153E-2</v>
      </c>
      <c r="AD11" s="236">
        <f t="shared" si="12"/>
        <v>1236.8129561292121</v>
      </c>
      <c r="AE11" s="1372">
        <f t="shared" si="15"/>
        <v>30464.661329408555</v>
      </c>
    </row>
    <row r="12" spans="1:31" x14ac:dyDescent="0.2">
      <c r="A12" s="188">
        <v>41</v>
      </c>
      <c r="B12" s="238" t="s">
        <v>13</v>
      </c>
      <c r="C12" s="235">
        <v>12514.627466120501</v>
      </c>
      <c r="D12" s="250">
        <f t="shared" si="13"/>
        <v>5.1930992579967264E-2</v>
      </c>
      <c r="E12" s="236">
        <f t="shared" si="0"/>
        <v>7557.3366109124827</v>
      </c>
      <c r="F12" s="235">
        <v>1086.9000000000001</v>
      </c>
      <c r="G12" s="250">
        <f>F12/$F$18</f>
        <v>0.23245717218812159</v>
      </c>
      <c r="H12" s="236">
        <f>G12*$N$1*$G$3</f>
        <v>94.846171325266468</v>
      </c>
      <c r="I12" s="235">
        <v>31174.216269999997</v>
      </c>
      <c r="J12" s="250">
        <f t="shared" si="14"/>
        <v>3.0480510027422223E-2</v>
      </c>
      <c r="K12" s="236">
        <f t="shared" si="1"/>
        <v>1347.9269899321248</v>
      </c>
      <c r="L12" s="235">
        <v>10.175000000000001</v>
      </c>
      <c r="M12" s="237">
        <v>51.957500000000003</v>
      </c>
      <c r="N12" s="190">
        <f t="shared" si="2"/>
        <v>103.37375</v>
      </c>
      <c r="O12" s="236">
        <f t="shared" si="3"/>
        <v>1676.3887871629283</v>
      </c>
      <c r="P12" s="235">
        <v>1305.185580708194</v>
      </c>
      <c r="Q12" s="1490">
        <f t="shared" si="4"/>
        <v>0.15934113885499254</v>
      </c>
      <c r="R12" s="236">
        <f t="shared" si="5"/>
        <v>3523.2386445623242</v>
      </c>
      <c r="S12" s="235">
        <f>62+19.886</f>
        <v>81.885999999999996</v>
      </c>
      <c r="T12" s="1490">
        <f>(62/2455+19.886/(210.9422/2))/3</f>
        <v>7.1266374057932083E-2</v>
      </c>
      <c r="U12" s="236">
        <f t="shared" si="6"/>
        <v>3151.5833882327374</v>
      </c>
      <c r="V12" s="189">
        <v>12.266849888758017</v>
      </c>
      <c r="W12" s="1490">
        <f t="shared" si="7"/>
        <v>2.5574234063545004E-2</v>
      </c>
      <c r="X12" s="236">
        <f t="shared" si="8"/>
        <v>339.2876330817341</v>
      </c>
      <c r="Y12" s="189">
        <v>21674</v>
      </c>
      <c r="Z12" s="1490">
        <f t="shared" si="9"/>
        <v>7.8128435737072621E-2</v>
      </c>
      <c r="AA12" s="236">
        <f t="shared" si="10"/>
        <v>10365.124512329303</v>
      </c>
      <c r="AB12" s="189">
        <v>1448</v>
      </c>
      <c r="AC12" s="1490">
        <f t="shared" si="11"/>
        <v>0.17087561954212888</v>
      </c>
      <c r="AD12" s="236">
        <f t="shared" si="12"/>
        <v>3778.2809292723614</v>
      </c>
      <c r="AE12" s="1372">
        <f t="shared" si="15"/>
        <v>31834.013666811261</v>
      </c>
    </row>
    <row r="13" spans="1:31" x14ac:dyDescent="0.2">
      <c r="A13" s="188">
        <v>51</v>
      </c>
      <c r="B13" s="238" t="s">
        <v>14</v>
      </c>
      <c r="C13" s="235">
        <v>1584.9965845913002</v>
      </c>
      <c r="D13" s="250">
        <f t="shared" si="13"/>
        <v>6.5771391195234901E-3</v>
      </c>
      <c r="E13" s="236">
        <f t="shared" si="0"/>
        <v>957.14816516358792</v>
      </c>
      <c r="F13" s="235"/>
      <c r="G13" s="250"/>
      <c r="H13" s="236"/>
      <c r="I13" s="235">
        <v>9115.5876499999995</v>
      </c>
      <c r="J13" s="250">
        <f t="shared" si="14"/>
        <v>8.9127424524559247E-3</v>
      </c>
      <c r="K13" s="236">
        <f t="shared" si="1"/>
        <v>394.14452367007175</v>
      </c>
      <c r="L13" s="235">
        <v>4.3250000000000002</v>
      </c>
      <c r="M13" s="237">
        <v>10.1</v>
      </c>
      <c r="N13" s="190">
        <f t="shared" si="2"/>
        <v>25.962499999999999</v>
      </c>
      <c r="O13" s="236">
        <f t="shared" si="3"/>
        <v>421.02800649795057</v>
      </c>
      <c r="P13" s="235">
        <v>400.50293107641403</v>
      </c>
      <c r="Q13" s="1490">
        <f t="shared" si="4"/>
        <v>4.8894650765181985E-2</v>
      </c>
      <c r="R13" s="236">
        <f t="shared" si="5"/>
        <v>1081.1239603668143</v>
      </c>
      <c r="S13" s="235">
        <f>6</f>
        <v>6</v>
      </c>
      <c r="T13" s="1490">
        <f>(6/2455+0/(210.9422/2))/3</f>
        <v>8.1466395112016296E-4</v>
      </c>
      <c r="U13" s="236">
        <f t="shared" si="6"/>
        <v>36.026547011571814</v>
      </c>
      <c r="V13" s="189">
        <v>0</v>
      </c>
      <c r="W13" s="1490">
        <f t="shared" si="7"/>
        <v>0</v>
      </c>
      <c r="X13" s="236">
        <f t="shared" si="8"/>
        <v>0</v>
      </c>
      <c r="Y13" s="189">
        <v>6929</v>
      </c>
      <c r="Z13" s="1490">
        <f t="shared" si="9"/>
        <v>2.4977019988104466E-2</v>
      </c>
      <c r="AA13" s="236">
        <f t="shared" si="10"/>
        <v>3313.6452775643506</v>
      </c>
      <c r="AB13" s="189">
        <v>374</v>
      </c>
      <c r="AC13" s="1490">
        <f t="shared" si="11"/>
        <v>4.4135001180080242E-2</v>
      </c>
      <c r="AD13" s="236">
        <f t="shared" si="12"/>
        <v>975.88195272642463</v>
      </c>
      <c r="AE13" s="1372">
        <f t="shared" si="15"/>
        <v>7178.9984330007728</v>
      </c>
    </row>
    <row r="14" spans="1:31" x14ac:dyDescent="0.2">
      <c r="A14" s="188">
        <v>56</v>
      </c>
      <c r="B14" s="238" t="s">
        <v>15</v>
      </c>
      <c r="C14" s="235">
        <v>5873.8277821970996</v>
      </c>
      <c r="D14" s="250">
        <f t="shared" si="13"/>
        <v>2.4374173965550951E-2</v>
      </c>
      <c r="E14" s="236">
        <f t="shared" si="0"/>
        <v>3547.0887059775932</v>
      </c>
      <c r="F14" s="235"/>
      <c r="G14" s="250"/>
      <c r="H14" s="236"/>
      <c r="I14" s="235">
        <v>15249.388630000001</v>
      </c>
      <c r="J14" s="250">
        <f t="shared" si="14"/>
        <v>1.4910050633608873E-2</v>
      </c>
      <c r="K14" s="236">
        <f t="shared" si="1"/>
        <v>659.36100321860874</v>
      </c>
      <c r="L14" s="235">
        <v>6.3375000000000004</v>
      </c>
      <c r="M14" s="237">
        <v>19.574999999999999</v>
      </c>
      <c r="N14" s="190">
        <f t="shared" si="2"/>
        <v>45.206249999999997</v>
      </c>
      <c r="O14" s="236">
        <f t="shared" si="3"/>
        <v>733.09955970141459</v>
      </c>
      <c r="P14" s="235">
        <v>461.61650591413121</v>
      </c>
      <c r="Q14" s="1490">
        <f t="shared" si="4"/>
        <v>5.6355587169994149E-2</v>
      </c>
      <c r="R14" s="236">
        <f t="shared" si="5"/>
        <v>1246.0949129717039</v>
      </c>
      <c r="S14" s="235">
        <f>113+4.936</f>
        <v>117.93600000000001</v>
      </c>
      <c r="T14" s="1490">
        <f>(113/2455+4.936/(210.9422/2))/3</f>
        <v>3.0942687689192977E-2</v>
      </c>
      <c r="U14" s="236">
        <f t="shared" si="6"/>
        <v>1368.3656815381394</v>
      </c>
      <c r="V14" s="189">
        <v>39</v>
      </c>
      <c r="W14" s="1490">
        <f t="shared" si="7"/>
        <v>8.1308171007482555E-2</v>
      </c>
      <c r="X14" s="236">
        <f t="shared" si="8"/>
        <v>1078.6972866044709</v>
      </c>
      <c r="Y14" s="189">
        <v>31964</v>
      </c>
      <c r="Z14" s="1490">
        <f t="shared" si="9"/>
        <v>0.11522087846727827</v>
      </c>
      <c r="AA14" s="236">
        <f t="shared" si="10"/>
        <v>15286.09577890993</v>
      </c>
      <c r="AB14" s="189">
        <v>919</v>
      </c>
      <c r="AC14" s="1490">
        <f t="shared" si="11"/>
        <v>0.1084493745574699</v>
      </c>
      <c r="AD14" s="236">
        <f t="shared" si="12"/>
        <v>2397.9559212716158</v>
      </c>
      <c r="AE14" s="1372">
        <f t="shared" si="15"/>
        <v>26316.758850193477</v>
      </c>
    </row>
    <row r="15" spans="1:31" x14ac:dyDescent="0.2">
      <c r="A15" s="188">
        <v>71</v>
      </c>
      <c r="B15" s="238" t="s">
        <v>203</v>
      </c>
      <c r="C15" s="235">
        <v>31045.394499330203</v>
      </c>
      <c r="D15" s="250">
        <f t="shared" si="13"/>
        <v>0.1288266994564127</v>
      </c>
      <c r="E15" s="236">
        <f t="shared" si="0"/>
        <v>18747.701206861482</v>
      </c>
      <c r="F15" s="235"/>
      <c r="G15" s="250"/>
      <c r="H15" s="236"/>
      <c r="I15" s="235">
        <v>199400.35962999996</v>
      </c>
      <c r="J15" s="250">
        <f t="shared" si="14"/>
        <v>0.19496319036647949</v>
      </c>
      <c r="K15" s="236">
        <f t="shared" si="1"/>
        <v>8621.7765418565596</v>
      </c>
      <c r="L15" s="235">
        <v>4.5625</v>
      </c>
      <c r="M15" s="237">
        <v>11.4125</v>
      </c>
      <c r="N15" s="190">
        <f t="shared" si="2"/>
        <v>28.524999999999999</v>
      </c>
      <c r="O15" s="236">
        <f t="shared" si="3"/>
        <v>462.58349101026636</v>
      </c>
      <c r="P15" s="235"/>
      <c r="Q15" s="1490">
        <f t="shared" si="4"/>
        <v>0</v>
      </c>
      <c r="R15" s="236">
        <f t="shared" si="5"/>
        <v>0</v>
      </c>
      <c r="S15" s="235"/>
      <c r="T15" s="1490">
        <f>S15/$S$18</f>
        <v>0</v>
      </c>
      <c r="U15" s="236">
        <f t="shared" si="6"/>
        <v>0</v>
      </c>
      <c r="V15" s="235"/>
      <c r="W15" s="237"/>
      <c r="X15" s="236"/>
      <c r="Y15" s="235"/>
      <c r="Z15" s="237"/>
      <c r="AA15" s="236">
        <f t="shared" si="10"/>
        <v>0</v>
      </c>
      <c r="AB15" s="235"/>
      <c r="AC15" s="237"/>
      <c r="AD15" s="236">
        <f t="shared" si="12"/>
        <v>0</v>
      </c>
      <c r="AE15" s="1372">
        <f t="shared" si="15"/>
        <v>27832.061239728308</v>
      </c>
    </row>
    <row r="16" spans="1:31" x14ac:dyDescent="0.2">
      <c r="A16" s="188">
        <v>85</v>
      </c>
      <c r="B16" s="238" t="s">
        <v>105</v>
      </c>
      <c r="C16" s="235">
        <v>511.390154637205</v>
      </c>
      <c r="D16" s="250">
        <f t="shared" si="13"/>
        <v>2.1220766177681197E-3</v>
      </c>
      <c r="E16" s="236">
        <f t="shared" si="0"/>
        <v>308.81842456457929</v>
      </c>
      <c r="F16" s="235"/>
      <c r="G16" s="250"/>
      <c r="H16" s="236"/>
      <c r="I16" s="235">
        <v>43516.929269999993</v>
      </c>
      <c r="J16" s="250">
        <f t="shared" si="14"/>
        <v>4.2548566016503697E-2</v>
      </c>
      <c r="K16" s="236">
        <f t="shared" si="1"/>
        <v>1881.6076392736297</v>
      </c>
      <c r="L16" s="235">
        <v>0.4</v>
      </c>
      <c r="M16" s="237">
        <v>0.05</v>
      </c>
      <c r="N16" s="190">
        <f t="shared" si="2"/>
        <v>1.075</v>
      </c>
      <c r="O16" s="236">
        <f t="shared" si="3"/>
        <v>17.433032527117838</v>
      </c>
      <c r="P16" s="235"/>
      <c r="Q16" s="1490">
        <f t="shared" si="4"/>
        <v>0</v>
      </c>
      <c r="R16" s="236">
        <f t="shared" si="5"/>
        <v>0</v>
      </c>
      <c r="S16" s="235"/>
      <c r="T16" s="1490">
        <f>S16/$S$18</f>
        <v>0</v>
      </c>
      <c r="U16" s="236">
        <f t="shared" si="6"/>
        <v>0</v>
      </c>
      <c r="V16" s="235"/>
      <c r="W16" s="237"/>
      <c r="X16" s="236"/>
      <c r="Y16" s="235"/>
      <c r="Z16" s="237"/>
      <c r="AA16" s="236">
        <f t="shared" si="10"/>
        <v>0</v>
      </c>
      <c r="AB16" s="235"/>
      <c r="AC16" s="237"/>
      <c r="AD16" s="236">
        <f t="shared" si="12"/>
        <v>0</v>
      </c>
      <c r="AE16" s="1372">
        <f t="shared" si="15"/>
        <v>2207.8590963653269</v>
      </c>
    </row>
    <row r="17" spans="1:38" ht="13.5" thickBot="1" x14ac:dyDescent="0.25">
      <c r="A17" s="193">
        <v>92</v>
      </c>
      <c r="B17" s="239" t="s">
        <v>17</v>
      </c>
      <c r="C17" s="240">
        <v>1521.51125089744</v>
      </c>
      <c r="D17" s="250">
        <f t="shared" si="13"/>
        <v>6.313698885132348E-3</v>
      </c>
      <c r="E17" s="236">
        <f t="shared" si="0"/>
        <v>918.81062472305427</v>
      </c>
      <c r="F17" s="240"/>
      <c r="G17" s="250"/>
      <c r="H17" s="236"/>
      <c r="I17" s="240">
        <v>16132.658549999998</v>
      </c>
      <c r="J17" s="250">
        <f t="shared" si="14"/>
        <v>1.5773665533188201E-2</v>
      </c>
      <c r="K17" s="236">
        <f t="shared" si="1"/>
        <v>697.55228778055357</v>
      </c>
      <c r="L17" s="240">
        <v>1</v>
      </c>
      <c r="M17" s="241">
        <v>0.53749999999999998</v>
      </c>
      <c r="N17" s="190">
        <f t="shared" si="2"/>
        <v>3.3062499999999999</v>
      </c>
      <c r="O17" s="236">
        <f t="shared" si="3"/>
        <v>53.616710504914749</v>
      </c>
      <c r="P17" s="240"/>
      <c r="Q17" s="1490">
        <f t="shared" si="4"/>
        <v>0</v>
      </c>
      <c r="R17" s="236">
        <f t="shared" si="5"/>
        <v>0</v>
      </c>
      <c r="S17" s="240"/>
      <c r="T17" s="1490">
        <f>S17/$S$18</f>
        <v>0</v>
      </c>
      <c r="U17" s="236">
        <f t="shared" si="6"/>
        <v>0</v>
      </c>
      <c r="V17" s="240"/>
      <c r="W17" s="237"/>
      <c r="X17" s="236"/>
      <c r="Y17" s="240"/>
      <c r="Z17" s="237"/>
      <c r="AA17" s="236">
        <f t="shared" si="10"/>
        <v>0</v>
      </c>
      <c r="AB17" s="240"/>
      <c r="AC17" s="237"/>
      <c r="AD17" s="236">
        <f t="shared" si="12"/>
        <v>0</v>
      </c>
      <c r="AE17" s="1373">
        <f t="shared" si="15"/>
        <v>1669.9796230085226</v>
      </c>
    </row>
    <row r="18" spans="1:38" ht="13.5" thickBot="1" x14ac:dyDescent="0.25">
      <c r="A18" s="242" t="s">
        <v>238</v>
      </c>
      <c r="B18" s="243"/>
      <c r="C18" s="244">
        <f t="shared" ref="C18:K18" si="16">SUM(C6:C17)</f>
        <v>240985.71670567497</v>
      </c>
      <c r="D18" s="247">
        <f t="shared" si="16"/>
        <v>1.0000000000000002</v>
      </c>
      <c r="E18" s="245">
        <f t="shared" si="16"/>
        <v>145526.51962650486</v>
      </c>
      <c r="F18" s="244">
        <f t="shared" si="16"/>
        <v>4675.7</v>
      </c>
      <c r="G18" s="247">
        <f t="shared" si="16"/>
        <v>1</v>
      </c>
      <c r="H18" s="245">
        <f t="shared" si="16"/>
        <v>408.01568061969681</v>
      </c>
      <c r="I18" s="244">
        <f t="shared" si="16"/>
        <v>1022759.0103300001</v>
      </c>
      <c r="J18" s="247">
        <f t="shared" si="16"/>
        <v>0.99999999999999978</v>
      </c>
      <c r="K18" s="245">
        <f t="shared" si="16"/>
        <v>44222.586456704405</v>
      </c>
      <c r="L18" s="244">
        <f t="shared" ref="L18:AA18" si="17">SUM(L6:L17)</f>
        <v>215.12</v>
      </c>
      <c r="M18" s="247">
        <f>SUM(M6:M17)</f>
        <v>368.65750000000003</v>
      </c>
      <c r="N18" s="248">
        <f>SUM(N6:N17)</f>
        <v>1090.7862500000001</v>
      </c>
      <c r="O18" s="245">
        <f t="shared" si="17"/>
        <v>17689.034582681761</v>
      </c>
      <c r="P18" s="244">
        <f t="shared" si="17"/>
        <v>8191.1400287904962</v>
      </c>
      <c r="Q18" s="247">
        <f t="shared" si="17"/>
        <v>1.0000000000000002</v>
      </c>
      <c r="R18" s="245">
        <f t="shared" si="17"/>
        <v>22111.293228352206</v>
      </c>
      <c r="S18" s="244">
        <f t="shared" si="17"/>
        <v>2665.9422</v>
      </c>
      <c r="T18" s="247">
        <f t="shared" si="17"/>
        <v>1.0000018962540449</v>
      </c>
      <c r="U18" s="245">
        <f t="shared" si="17"/>
        <v>44222.670313962844</v>
      </c>
      <c r="V18" s="246">
        <f>SUM(V6:V17)</f>
        <v>479.6565894516425</v>
      </c>
      <c r="W18" s="247">
        <f>SUM(W6:W17)</f>
        <v>0.99999999999999978</v>
      </c>
      <c r="X18" s="245">
        <f>SUM(X6:X17)</f>
        <v>13266.77593701132</v>
      </c>
      <c r="Y18" s="246">
        <f t="shared" si="17"/>
        <v>277415</v>
      </c>
      <c r="Z18" s="247">
        <f t="shared" si="17"/>
        <v>1</v>
      </c>
      <c r="AA18" s="245">
        <f t="shared" si="17"/>
        <v>132667.7593701132</v>
      </c>
      <c r="AB18" s="246">
        <f>SUM(AB6:AB17)</f>
        <v>8474</v>
      </c>
      <c r="AC18" s="247">
        <f>SUM(AC6:AC17)</f>
        <v>1.0000000000000002</v>
      </c>
      <c r="AD18" s="245">
        <f>SUM(AD6:AD17)</f>
        <v>22111.293228352202</v>
      </c>
      <c r="AE18" s="1504">
        <f>SUM(AE6:AE17)</f>
        <v>442225.94842430251</v>
      </c>
    </row>
    <row r="19" spans="1:38" x14ac:dyDescent="0.2">
      <c r="A19" s="188"/>
      <c r="B19" s="249" t="s">
        <v>82</v>
      </c>
      <c r="C19" s="250">
        <v>270.08747546200004</v>
      </c>
      <c r="D19" s="58"/>
      <c r="P19" s="58"/>
      <c r="S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L19" s="120"/>
    </row>
    <row r="20" spans="1:38" x14ac:dyDescent="0.2">
      <c r="A20" s="188"/>
      <c r="B20" s="249" t="s">
        <v>24</v>
      </c>
      <c r="C20" s="250">
        <v>328.78282550941003</v>
      </c>
      <c r="D20" s="58"/>
      <c r="P20" s="58"/>
      <c r="S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L20" s="120"/>
    </row>
    <row r="21" spans="1:38" x14ac:dyDescent="0.2">
      <c r="A21" s="251" t="s">
        <v>70</v>
      </c>
      <c r="B21" s="252"/>
      <c r="C21" s="253">
        <f>C18+SUM(C19:C20)</f>
        <v>241584.58700664638</v>
      </c>
      <c r="D21" s="58"/>
      <c r="P21" s="58"/>
      <c r="S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L21" s="120"/>
    </row>
    <row r="22" spans="1:38" x14ac:dyDescent="0.2">
      <c r="A22" s="58"/>
      <c r="B22" s="58"/>
      <c r="C22" s="58"/>
      <c r="D22" s="58"/>
      <c r="M22" s="58"/>
      <c r="P22" s="58"/>
      <c r="S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L22" s="120"/>
    </row>
    <row r="23" spans="1:38" ht="13.5" hidden="1" customHeight="1" thickBot="1" x14ac:dyDescent="0.2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</row>
    <row r="24" spans="1:38" ht="12.75" hidden="1" customHeight="1" x14ac:dyDescent="0.2">
      <c r="A24" s="1576"/>
      <c r="B24" s="1577"/>
      <c r="C24" s="254" t="s">
        <v>198</v>
      </c>
      <c r="D24" s="254" t="s">
        <v>198</v>
      </c>
      <c r="E24" s="255" t="s">
        <v>201</v>
      </c>
      <c r="F24" s="255"/>
      <c r="G24" s="255"/>
      <c r="H24" s="255"/>
      <c r="I24" s="255"/>
      <c r="J24" s="255"/>
      <c r="K24" s="255"/>
      <c r="L24" s="254" t="s">
        <v>210</v>
      </c>
      <c r="M24" s="254"/>
      <c r="N24" s="255"/>
      <c r="O24" s="254"/>
      <c r="P24" s="254"/>
      <c r="Q24" s="255"/>
      <c r="R24" s="254"/>
      <c r="S24" s="254"/>
      <c r="T24" s="255"/>
      <c r="U24" s="58"/>
      <c r="V24" s="58"/>
      <c r="W24" s="58"/>
      <c r="X24" s="58"/>
      <c r="Y24" s="58"/>
      <c r="Z24" s="58"/>
      <c r="AA24" s="58"/>
      <c r="AB24" s="58"/>
      <c r="AC24" s="254"/>
      <c r="AD24" s="58"/>
      <c r="AE24" s="58"/>
      <c r="AF24" s="58"/>
      <c r="AG24" s="58"/>
      <c r="AH24" s="58"/>
      <c r="AI24" s="58"/>
      <c r="AJ24" s="58"/>
    </row>
    <row r="25" spans="1:38" ht="13.5" hidden="1" customHeight="1" thickBot="1" x14ac:dyDescent="0.25">
      <c r="A25" s="1578"/>
      <c r="B25" s="1579"/>
      <c r="C25" s="186" t="s">
        <v>267</v>
      </c>
      <c r="D25" s="186" t="s">
        <v>253</v>
      </c>
      <c r="E25" s="256" t="s">
        <v>202</v>
      </c>
      <c r="F25" s="256"/>
      <c r="G25" s="256"/>
      <c r="H25" s="256"/>
      <c r="I25" s="256"/>
      <c r="J25" s="256"/>
      <c r="K25" s="256"/>
      <c r="L25" s="186" t="s">
        <v>239</v>
      </c>
      <c r="M25" s="186"/>
      <c r="N25" s="256"/>
      <c r="O25" s="186"/>
      <c r="P25" s="186"/>
      <c r="Q25" s="256"/>
      <c r="R25" s="186"/>
      <c r="S25" s="186"/>
      <c r="T25" s="256"/>
      <c r="U25" s="58"/>
      <c r="V25" s="58"/>
      <c r="W25" s="58"/>
      <c r="X25" s="58"/>
      <c r="Y25" s="58"/>
      <c r="Z25" s="58"/>
      <c r="AA25" s="58"/>
      <c r="AB25" s="58"/>
      <c r="AC25" s="186"/>
      <c r="AD25" s="58"/>
      <c r="AE25" s="58"/>
      <c r="AF25" s="58"/>
      <c r="AG25" s="58"/>
      <c r="AH25" s="58"/>
      <c r="AI25" s="58"/>
      <c r="AJ25" s="58"/>
    </row>
    <row r="26" spans="1:38" ht="12.75" hidden="1" customHeight="1" x14ac:dyDescent="0.2">
      <c r="A26" s="257">
        <v>11</v>
      </c>
      <c r="B26" s="258" t="s">
        <v>7</v>
      </c>
      <c r="C26" s="187" t="e">
        <f>'str1'!#REF!</f>
        <v>#REF!</v>
      </c>
      <c r="D26" s="187">
        <f t="shared" ref="D26:D37" si="18">AE6</f>
        <v>56396.155964097888</v>
      </c>
      <c r="E26" s="259" t="e">
        <f>SUM(C26:D26)</f>
        <v>#REF!</v>
      </c>
      <c r="F26" s="259"/>
      <c r="G26" s="259"/>
      <c r="H26" s="259"/>
      <c r="I26" s="259"/>
      <c r="J26" s="259"/>
      <c r="K26" s="259"/>
      <c r="L26" s="187">
        <v>328299</v>
      </c>
      <c r="M26" s="187"/>
      <c r="N26" s="259"/>
      <c r="O26" s="187"/>
      <c r="P26" s="187"/>
      <c r="Q26" s="259"/>
      <c r="R26" s="187"/>
      <c r="S26" s="187"/>
      <c r="T26" s="259"/>
      <c r="U26" s="58"/>
      <c r="V26" s="58"/>
      <c r="W26" s="58"/>
      <c r="X26" s="58"/>
      <c r="Y26" s="58"/>
      <c r="Z26" s="58"/>
      <c r="AA26" s="58"/>
      <c r="AB26" s="58"/>
      <c r="AC26" s="187"/>
      <c r="AD26" s="58"/>
      <c r="AE26" s="58"/>
      <c r="AF26" s="58"/>
      <c r="AG26" s="58"/>
      <c r="AH26" s="58"/>
      <c r="AI26" s="58"/>
      <c r="AJ26" s="58"/>
    </row>
    <row r="27" spans="1:38" ht="12.75" hidden="1" customHeight="1" x14ac:dyDescent="0.2">
      <c r="A27" s="260">
        <v>21</v>
      </c>
      <c r="B27" s="261" t="s">
        <v>8</v>
      </c>
      <c r="C27" s="192" t="e">
        <f>'str1'!#REF!</f>
        <v>#REF!</v>
      </c>
      <c r="D27" s="192">
        <f t="shared" si="18"/>
        <v>84314.995904900788</v>
      </c>
      <c r="E27" s="262" t="e">
        <f t="shared" ref="E27:E37" si="19">SUM(C27:D27)</f>
        <v>#REF!</v>
      </c>
      <c r="F27" s="262"/>
      <c r="G27" s="262"/>
      <c r="H27" s="262"/>
      <c r="I27" s="262"/>
      <c r="J27" s="262"/>
      <c r="K27" s="262"/>
      <c r="L27" s="192">
        <v>333427</v>
      </c>
      <c r="M27" s="192"/>
      <c r="N27" s="262"/>
      <c r="O27" s="192"/>
      <c r="P27" s="192"/>
      <c r="Q27" s="262"/>
      <c r="R27" s="192"/>
      <c r="S27" s="192"/>
      <c r="T27" s="262"/>
      <c r="U27" s="58"/>
      <c r="V27" s="58"/>
      <c r="W27" s="58"/>
      <c r="X27" s="58"/>
      <c r="Y27" s="58"/>
      <c r="Z27" s="58"/>
      <c r="AA27" s="58"/>
      <c r="AB27" s="58"/>
      <c r="AC27" s="192"/>
      <c r="AD27" s="58"/>
      <c r="AE27" s="58"/>
      <c r="AF27" s="58"/>
      <c r="AG27" s="58"/>
      <c r="AH27" s="58"/>
      <c r="AI27" s="58"/>
      <c r="AJ27" s="58"/>
    </row>
    <row r="28" spans="1:38" ht="12.75" hidden="1" customHeight="1" x14ac:dyDescent="0.2">
      <c r="A28" s="260">
        <v>22</v>
      </c>
      <c r="B28" s="261" t="s">
        <v>9</v>
      </c>
      <c r="C28" s="192" t="e">
        <f>'str1'!#REF!</f>
        <v>#REF!</v>
      </c>
      <c r="D28" s="192">
        <f t="shared" si="18"/>
        <v>22963.017986661267</v>
      </c>
      <c r="E28" s="262" t="e">
        <f t="shared" si="19"/>
        <v>#REF!</v>
      </c>
      <c r="F28" s="262"/>
      <c r="G28" s="262"/>
      <c r="H28" s="262"/>
      <c r="I28" s="262"/>
      <c r="J28" s="262"/>
      <c r="K28" s="262"/>
      <c r="L28" s="192">
        <v>126011</v>
      </c>
      <c r="M28" s="192"/>
      <c r="N28" s="262"/>
      <c r="O28" s="192"/>
      <c r="P28" s="192"/>
      <c r="Q28" s="262"/>
      <c r="R28" s="192"/>
      <c r="S28" s="192"/>
      <c r="T28" s="262"/>
      <c r="U28" s="58"/>
      <c r="V28" s="58"/>
      <c r="W28" s="58"/>
      <c r="X28" s="58"/>
      <c r="Y28" s="58"/>
      <c r="Z28" s="58"/>
      <c r="AA28" s="58"/>
      <c r="AB28" s="58"/>
      <c r="AC28" s="192"/>
      <c r="AD28" s="58"/>
      <c r="AE28" s="58"/>
      <c r="AF28" s="58"/>
      <c r="AG28" s="58"/>
      <c r="AH28" s="58"/>
      <c r="AI28" s="58"/>
      <c r="AJ28" s="58"/>
    </row>
    <row r="29" spans="1:38" ht="12.75" hidden="1" customHeight="1" x14ac:dyDescent="0.2">
      <c r="A29" s="260">
        <v>23</v>
      </c>
      <c r="B29" s="261" t="s">
        <v>10</v>
      </c>
      <c r="C29" s="192" t="e">
        <f>'str1'!#REF!</f>
        <v>#REF!</v>
      </c>
      <c r="D29" s="192">
        <f t="shared" si="18"/>
        <v>42773.359463602639</v>
      </c>
      <c r="E29" s="262" t="e">
        <f t="shared" si="19"/>
        <v>#REF!</v>
      </c>
      <c r="F29" s="262"/>
      <c r="G29" s="262"/>
      <c r="H29" s="262"/>
      <c r="I29" s="262"/>
      <c r="J29" s="262"/>
      <c r="K29" s="262"/>
      <c r="L29" s="192">
        <v>139398</v>
      </c>
      <c r="M29" s="192"/>
      <c r="N29" s="262"/>
      <c r="O29" s="192"/>
      <c r="P29" s="192"/>
      <c r="Q29" s="262"/>
      <c r="R29" s="192"/>
      <c r="S29" s="192"/>
      <c r="T29" s="262"/>
      <c r="U29" s="58"/>
      <c r="V29" s="58"/>
      <c r="W29" s="58"/>
      <c r="X29" s="58"/>
      <c r="Y29" s="58"/>
      <c r="Z29" s="58"/>
      <c r="AA29" s="58"/>
      <c r="AB29" s="58"/>
      <c r="AC29" s="192"/>
      <c r="AD29" s="58"/>
      <c r="AE29" s="58"/>
      <c r="AF29" s="58"/>
      <c r="AG29" s="58"/>
      <c r="AH29" s="58"/>
      <c r="AI29" s="58"/>
      <c r="AJ29" s="58"/>
    </row>
    <row r="30" spans="1:38" ht="12.75" hidden="1" customHeight="1" x14ac:dyDescent="0.2">
      <c r="A30" s="260">
        <v>31</v>
      </c>
      <c r="B30" s="261" t="s">
        <v>11</v>
      </c>
      <c r="C30" s="192" t="e">
        <f>'str1'!#REF!</f>
        <v>#REF!</v>
      </c>
      <c r="D30" s="192">
        <f t="shared" si="18"/>
        <v>108274.08686652366</v>
      </c>
      <c r="E30" s="262" t="e">
        <f t="shared" si="19"/>
        <v>#REF!</v>
      </c>
      <c r="F30" s="262"/>
      <c r="G30" s="262"/>
      <c r="H30" s="262"/>
      <c r="I30" s="262"/>
      <c r="J30" s="262"/>
      <c r="K30" s="262"/>
      <c r="L30" s="192">
        <v>345106</v>
      </c>
      <c r="M30" s="192"/>
      <c r="N30" s="262"/>
      <c r="O30" s="192"/>
      <c r="P30" s="192"/>
      <c r="Q30" s="262"/>
      <c r="R30" s="192"/>
      <c r="S30" s="192"/>
      <c r="T30" s="262"/>
      <c r="U30" s="58"/>
      <c r="V30" s="58"/>
      <c r="W30" s="58"/>
      <c r="X30" s="58"/>
      <c r="Y30" s="58"/>
      <c r="Z30" s="58"/>
      <c r="AA30" s="58"/>
      <c r="AB30" s="58"/>
      <c r="AC30" s="192"/>
      <c r="AD30" s="58"/>
      <c r="AE30" s="58"/>
      <c r="AF30" s="58"/>
      <c r="AG30" s="58"/>
      <c r="AH30" s="58"/>
      <c r="AI30" s="58"/>
      <c r="AJ30" s="58"/>
    </row>
    <row r="31" spans="1:38" ht="12.75" hidden="1" customHeight="1" x14ac:dyDescent="0.2">
      <c r="A31" s="260">
        <v>33</v>
      </c>
      <c r="B31" s="261" t="s">
        <v>12</v>
      </c>
      <c r="C31" s="192" t="e">
        <f>'str1'!#REF!</f>
        <v>#REF!</v>
      </c>
      <c r="D31" s="192">
        <f t="shared" si="18"/>
        <v>30464.661329408555</v>
      </c>
      <c r="E31" s="262" t="e">
        <f t="shared" si="19"/>
        <v>#REF!</v>
      </c>
      <c r="F31" s="262"/>
      <c r="G31" s="262"/>
      <c r="H31" s="262"/>
      <c r="I31" s="262"/>
      <c r="J31" s="262"/>
      <c r="K31" s="262"/>
      <c r="L31" s="192">
        <v>126549</v>
      </c>
      <c r="M31" s="192"/>
      <c r="N31" s="262"/>
      <c r="O31" s="192"/>
      <c r="P31" s="192"/>
      <c r="Q31" s="262"/>
      <c r="R31" s="192"/>
      <c r="S31" s="192"/>
      <c r="T31" s="262"/>
      <c r="AC31" s="192"/>
    </row>
    <row r="32" spans="1:38" ht="12.75" hidden="1" customHeight="1" x14ac:dyDescent="0.2">
      <c r="A32" s="260">
        <v>41</v>
      </c>
      <c r="B32" s="261" t="s">
        <v>13</v>
      </c>
      <c r="C32" s="192" t="e">
        <f>'str1'!#REF!</f>
        <v>#REF!</v>
      </c>
      <c r="D32" s="192">
        <f t="shared" si="18"/>
        <v>31834.013666811261</v>
      </c>
      <c r="E32" s="262" t="e">
        <f t="shared" si="19"/>
        <v>#REF!</v>
      </c>
      <c r="F32" s="262"/>
      <c r="G32" s="262"/>
      <c r="H32" s="262"/>
      <c r="I32" s="262"/>
      <c r="J32" s="262"/>
      <c r="K32" s="262"/>
      <c r="L32" s="192">
        <v>202164</v>
      </c>
      <c r="M32" s="192"/>
      <c r="N32" s="262"/>
      <c r="O32" s="192"/>
      <c r="P32" s="192"/>
      <c r="Q32" s="262"/>
      <c r="R32" s="192"/>
      <c r="S32" s="192"/>
      <c r="T32" s="262"/>
      <c r="AC32" s="192"/>
    </row>
    <row r="33" spans="1:31" ht="12.75" hidden="1" customHeight="1" x14ac:dyDescent="0.2">
      <c r="A33" s="260">
        <v>51</v>
      </c>
      <c r="B33" s="261" t="s">
        <v>14</v>
      </c>
      <c r="C33" s="192" t="e">
        <f>'str1'!#REF!</f>
        <v>#REF!</v>
      </c>
      <c r="D33" s="192">
        <f t="shared" si="18"/>
        <v>7178.9984330007728</v>
      </c>
      <c r="E33" s="262" t="e">
        <f t="shared" si="19"/>
        <v>#REF!</v>
      </c>
      <c r="F33" s="262"/>
      <c r="G33" s="262"/>
      <c r="H33" s="262"/>
      <c r="I33" s="262"/>
      <c r="J33" s="262"/>
      <c r="K33" s="262"/>
      <c r="L33" s="192">
        <v>71266</v>
      </c>
      <c r="M33" s="192"/>
      <c r="N33" s="262"/>
      <c r="O33" s="192"/>
      <c r="P33" s="192"/>
      <c r="Q33" s="262"/>
      <c r="R33" s="192"/>
      <c r="S33" s="192"/>
      <c r="T33" s="262"/>
      <c r="AC33" s="192"/>
    </row>
    <row r="34" spans="1:31" ht="12.75" hidden="1" customHeight="1" x14ac:dyDescent="0.2">
      <c r="A34" s="260">
        <v>56</v>
      </c>
      <c r="B34" s="261" t="s">
        <v>15</v>
      </c>
      <c r="C34" s="192" t="e">
        <f>'str1'!#REF!</f>
        <v>#REF!</v>
      </c>
      <c r="D34" s="192">
        <f t="shared" si="18"/>
        <v>26316.758850193477</v>
      </c>
      <c r="E34" s="262" t="e">
        <f t="shared" si="19"/>
        <v>#REF!</v>
      </c>
      <c r="F34" s="262"/>
      <c r="G34" s="262"/>
      <c r="H34" s="262"/>
      <c r="I34" s="262"/>
      <c r="J34" s="262"/>
      <c r="K34" s="262"/>
      <c r="L34" s="192">
        <v>122590</v>
      </c>
      <c r="M34" s="192"/>
      <c r="N34" s="262"/>
      <c r="O34" s="192"/>
      <c r="P34" s="192"/>
      <c r="Q34" s="262"/>
      <c r="R34" s="192"/>
      <c r="S34" s="192"/>
      <c r="T34" s="262"/>
      <c r="AC34" s="192"/>
    </row>
    <row r="35" spans="1:31" ht="12.75" hidden="1" customHeight="1" x14ac:dyDescent="0.2">
      <c r="A35" s="260">
        <v>71</v>
      </c>
      <c r="B35" s="261" t="s">
        <v>203</v>
      </c>
      <c r="C35" s="192" t="e">
        <f>'str1'!#REF!</f>
        <v>#REF!</v>
      </c>
      <c r="D35" s="192">
        <f t="shared" si="18"/>
        <v>27832.061239728308</v>
      </c>
      <c r="E35" s="262" t="e">
        <f t="shared" si="19"/>
        <v>#REF!</v>
      </c>
      <c r="F35" s="262"/>
      <c r="G35" s="262"/>
      <c r="H35" s="262"/>
      <c r="I35" s="262"/>
      <c r="J35" s="262"/>
      <c r="K35" s="262"/>
      <c r="L35" s="192">
        <v>21395</v>
      </c>
      <c r="M35" s="192"/>
      <c r="N35" s="262"/>
      <c r="O35" s="192"/>
      <c r="P35" s="192"/>
      <c r="Q35" s="262"/>
      <c r="R35" s="192"/>
      <c r="S35" s="192"/>
      <c r="T35" s="262"/>
      <c r="AC35" s="192"/>
    </row>
    <row r="36" spans="1:31" ht="12.75" hidden="1" customHeight="1" x14ac:dyDescent="0.2">
      <c r="A36" s="260">
        <v>85</v>
      </c>
      <c r="B36" s="261" t="s">
        <v>105</v>
      </c>
      <c r="C36" s="192" t="e">
        <f>'str1'!#REF!</f>
        <v>#REF!</v>
      </c>
      <c r="D36" s="192">
        <f t="shared" si="18"/>
        <v>2207.8590963653269</v>
      </c>
      <c r="E36" s="263" t="e">
        <f t="shared" si="19"/>
        <v>#REF!</v>
      </c>
      <c r="F36" s="263"/>
      <c r="G36" s="263"/>
      <c r="H36" s="263"/>
      <c r="I36" s="263"/>
      <c r="J36" s="263"/>
      <c r="K36" s="263"/>
      <c r="L36" s="192">
        <v>1648</v>
      </c>
      <c r="M36" s="192"/>
      <c r="N36" s="263"/>
      <c r="O36" s="192"/>
      <c r="P36" s="192"/>
      <c r="Q36" s="263"/>
      <c r="R36" s="192"/>
      <c r="S36" s="192"/>
      <c r="T36" s="263"/>
      <c r="AC36" s="192"/>
    </row>
    <row r="37" spans="1:31" ht="13.5" hidden="1" customHeight="1" thickBot="1" x14ac:dyDescent="0.25">
      <c r="A37" s="264">
        <v>92</v>
      </c>
      <c r="B37" s="265" t="s">
        <v>17</v>
      </c>
      <c r="C37" s="266" t="e">
        <f>'str1'!#REF!</f>
        <v>#REF!</v>
      </c>
      <c r="D37" s="266">
        <f t="shared" si="18"/>
        <v>1669.9796230085226</v>
      </c>
      <c r="E37" s="267" t="e">
        <f t="shared" si="19"/>
        <v>#REF!</v>
      </c>
      <c r="F37" s="267"/>
      <c r="G37" s="267"/>
      <c r="H37" s="267"/>
      <c r="I37" s="267"/>
      <c r="J37" s="267"/>
      <c r="K37" s="267"/>
      <c r="L37" s="266">
        <v>2251</v>
      </c>
      <c r="M37" s="266"/>
      <c r="N37" s="267"/>
      <c r="O37" s="266"/>
      <c r="P37" s="266"/>
      <c r="Q37" s="267"/>
      <c r="R37" s="266"/>
      <c r="S37" s="266"/>
      <c r="T37" s="267"/>
      <c r="AC37" s="266"/>
    </row>
    <row r="38" spans="1:31" ht="13.5" hidden="1" customHeight="1" thickBot="1" x14ac:dyDescent="0.25">
      <c r="A38" s="268" t="s">
        <v>70</v>
      </c>
      <c r="B38" s="200"/>
      <c r="C38" s="194" t="e">
        <f>SUM(C26:C36)</f>
        <v>#REF!</v>
      </c>
      <c r="D38" s="194">
        <f>SUM(D26:D37)</f>
        <v>442225.94842430251</v>
      </c>
      <c r="E38" s="269" t="e">
        <f>SUM(E26:E37)</f>
        <v>#REF!</v>
      </c>
      <c r="F38" s="269"/>
      <c r="G38" s="269"/>
      <c r="H38" s="269"/>
      <c r="I38" s="269"/>
      <c r="J38" s="269"/>
      <c r="K38" s="269"/>
      <c r="L38" s="194">
        <f>SUM(L26:L37)</f>
        <v>1820104</v>
      </c>
      <c r="M38" s="194"/>
      <c r="N38" s="269"/>
      <c r="O38" s="194"/>
      <c r="P38" s="194"/>
      <c r="Q38" s="269"/>
      <c r="R38" s="194"/>
      <c r="S38" s="194"/>
      <c r="T38" s="269"/>
      <c r="AC38" s="194"/>
    </row>
    <row r="39" spans="1:31" hidden="1" x14ac:dyDescent="0.2">
      <c r="A39" s="270"/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AC39" s="271"/>
    </row>
    <row r="41" spans="1:31" x14ac:dyDescent="0.2">
      <c r="AD41" s="1488"/>
      <c r="AE41" s="1487"/>
    </row>
    <row r="42" spans="1:31" x14ac:dyDescent="0.2">
      <c r="AD42" s="1488"/>
      <c r="AE42" s="1487"/>
    </row>
    <row r="43" spans="1:31" x14ac:dyDescent="0.2">
      <c r="AD43" s="1488"/>
      <c r="AE43" s="1487"/>
    </row>
    <row r="44" spans="1:31" x14ac:dyDescent="0.2"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AD44" s="1488"/>
      <c r="AE44" s="1487"/>
    </row>
    <row r="45" spans="1:31" x14ac:dyDescent="0.2">
      <c r="AD45" s="1488"/>
      <c r="AE45" s="1487"/>
    </row>
    <row r="46" spans="1:31" x14ac:dyDescent="0.2">
      <c r="AD46" s="1488"/>
      <c r="AE46" s="1487"/>
    </row>
    <row r="47" spans="1:31" x14ac:dyDescent="0.2">
      <c r="AD47" s="1488"/>
      <c r="AE47" s="1487"/>
    </row>
    <row r="48" spans="1:31" x14ac:dyDescent="0.2">
      <c r="AD48" s="1488"/>
      <c r="AE48" s="1487"/>
    </row>
    <row r="49" spans="30:31" x14ac:dyDescent="0.2">
      <c r="AD49" s="1488"/>
      <c r="AE49" s="1487"/>
    </row>
  </sheetData>
  <mergeCells count="4">
    <mergeCell ref="A3:B3"/>
    <mergeCell ref="A24:B25"/>
    <mergeCell ref="A4:B4"/>
    <mergeCell ref="AE3:AE4"/>
  </mergeCells>
  <phoneticPr fontId="2" type="noConversion"/>
  <pageMargins left="0.27559055118110237" right="0.19685039370078741" top="0.98425196850393704" bottom="0.98425196850393704" header="0.51181102362204722" footer="0.51181102362204722"/>
  <pageSetup paperSize="9" scale="52" orientation="landscape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T60"/>
  <sheetViews>
    <sheetView showGridLines="0" workbookViewId="0"/>
  </sheetViews>
  <sheetFormatPr defaultColWidth="11.42578125" defaultRowHeight="12.75" x14ac:dyDescent="0.2"/>
  <cols>
    <col min="1" max="1" width="11.42578125" style="46" customWidth="1"/>
    <col min="2" max="2" width="11.140625" style="46" customWidth="1"/>
    <col min="3" max="3" width="10.42578125" style="46" customWidth="1"/>
    <col min="4" max="5" width="10.28515625" style="46" customWidth="1"/>
    <col min="6" max="6" width="11.28515625" style="46" customWidth="1"/>
    <col min="7" max="7" width="11.140625" style="46" customWidth="1"/>
    <col min="8" max="8" width="10.42578125" style="46" customWidth="1"/>
    <col min="9" max="9" width="10.28515625" style="46" customWidth="1"/>
    <col min="10" max="10" width="11" style="46" bestFit="1" customWidth="1"/>
    <col min="11" max="11" width="9.85546875" style="46" customWidth="1"/>
    <col min="12" max="12" width="9.140625" style="46" customWidth="1"/>
    <col min="13" max="13" width="9.5703125" style="46" customWidth="1"/>
    <col min="14" max="14" width="4" style="46" customWidth="1"/>
    <col min="15" max="15" width="10.28515625" style="46" customWidth="1"/>
    <col min="16" max="16" width="2.7109375" style="46" customWidth="1"/>
    <col min="17" max="17" width="8.7109375" style="46" customWidth="1"/>
    <col min="18" max="18" width="11.42578125" style="46" customWidth="1"/>
    <col min="19" max="19" width="10.7109375" style="46" customWidth="1"/>
    <col min="20" max="16384" width="11.42578125" style="46"/>
  </cols>
  <sheetData>
    <row r="1" spans="1:11" ht="15.75" x14ac:dyDescent="0.25">
      <c r="A1" s="121" t="s">
        <v>680</v>
      </c>
    </row>
    <row r="2" spans="1:11" x14ac:dyDescent="0.2">
      <c r="A2" s="276" t="s">
        <v>721</v>
      </c>
    </row>
    <row r="3" spans="1:11" ht="13.5" thickBot="1" x14ac:dyDescent="0.25">
      <c r="A3" s="272"/>
    </row>
    <row r="4" spans="1:11" ht="15.75" customHeight="1" x14ac:dyDescent="0.3">
      <c r="A4" s="12" t="s">
        <v>278</v>
      </c>
      <c r="C4" s="273">
        <f>'str1'!F8</f>
        <v>626771.64500000002</v>
      </c>
    </row>
    <row r="5" spans="1:11" ht="15.75" customHeight="1" x14ac:dyDescent="0.2">
      <c r="A5" s="13" t="s">
        <v>346</v>
      </c>
      <c r="B5" s="13"/>
      <c r="C5" s="972">
        <v>24439.487210000003</v>
      </c>
    </row>
    <row r="6" spans="1:11" ht="19.5" thickBot="1" x14ac:dyDescent="0.35">
      <c r="A6" s="14" t="s">
        <v>279</v>
      </c>
      <c r="B6" s="13"/>
      <c r="C6" s="31">
        <f>C4-C5</f>
        <v>602332.15778999997</v>
      </c>
    </row>
    <row r="7" spans="1:11" ht="13.5" thickBot="1" x14ac:dyDescent="0.25"/>
    <row r="8" spans="1:11" ht="44.25" customHeight="1" x14ac:dyDescent="0.2">
      <c r="A8" s="27"/>
      <c r="B8" s="28" t="s">
        <v>355</v>
      </c>
      <c r="C8" s="28" t="s">
        <v>356</v>
      </c>
      <c r="D8" s="652" t="s">
        <v>280</v>
      </c>
      <c r="E8" s="28" t="s">
        <v>281</v>
      </c>
      <c r="F8" s="28" t="s">
        <v>502</v>
      </c>
      <c r="G8" s="29" t="s">
        <v>282</v>
      </c>
      <c r="H8" s="651" t="s">
        <v>548</v>
      </c>
      <c r="I8" s="43" t="s">
        <v>370</v>
      </c>
    </row>
    <row r="9" spans="1:11" s="13" customFormat="1" ht="12.75" customHeight="1" thickBot="1" x14ac:dyDescent="0.25">
      <c r="A9" s="1513"/>
      <c r="B9" s="1514">
        <v>1</v>
      </c>
      <c r="C9" s="1514">
        <v>2</v>
      </c>
      <c r="D9" s="1515" t="s">
        <v>322</v>
      </c>
      <c r="E9" s="1514">
        <v>4</v>
      </c>
      <c r="F9" s="1514">
        <v>5</v>
      </c>
      <c r="G9" s="1516">
        <v>6</v>
      </c>
      <c r="H9" s="1517">
        <v>7</v>
      </c>
      <c r="I9" s="1518">
        <v>8</v>
      </c>
    </row>
    <row r="10" spans="1:11" x14ac:dyDescent="0.2">
      <c r="A10" s="1505" t="s">
        <v>7</v>
      </c>
      <c r="B10" s="1506">
        <v>28639.100173380299</v>
      </c>
      <c r="C10" s="1506"/>
      <c r="D10" s="1507">
        <f>SUM(B10:C10)</f>
        <v>28639.100173380299</v>
      </c>
      <c r="E10" s="1508">
        <f>D10/$D$25</f>
        <v>0.11854688466773913</v>
      </c>
      <c r="F10" s="1509">
        <f>E10*$C$6</f>
        <v>71404.60084120158</v>
      </c>
      <c r="G10" s="1510"/>
      <c r="H10" s="1511">
        <f t="shared" ref="H10:H24" si="0">F10+G10</f>
        <v>71404.60084120158</v>
      </c>
      <c r="I10" s="1512">
        <f>ROUND(H10,1)</f>
        <v>71404.600000000006</v>
      </c>
    </row>
    <row r="11" spans="1:11" x14ac:dyDescent="0.2">
      <c r="A11" s="30" t="s">
        <v>8</v>
      </c>
      <c r="B11" s="971">
        <v>26775.864600795398</v>
      </c>
      <c r="C11" s="971"/>
      <c r="D11" s="653">
        <f t="shared" ref="D11:D24" si="1">SUM(B11:C11)</f>
        <v>26775.864600795398</v>
      </c>
      <c r="E11" s="1366">
        <f t="shared" ref="E11:E24" si="2">D11/$D$25</f>
        <v>0.11083432487379151</v>
      </c>
      <c r="F11" s="15">
        <f>E11*$C$6</f>
        <v>66759.078058428699</v>
      </c>
      <c r="G11" s="16"/>
      <c r="H11" s="655">
        <f t="shared" si="0"/>
        <v>66759.078058428699</v>
      </c>
      <c r="I11" s="44">
        <f t="shared" ref="I11:I24" si="3">ROUND(H11,1)</f>
        <v>66759.100000000006</v>
      </c>
    </row>
    <row r="12" spans="1:11" x14ac:dyDescent="0.2">
      <c r="A12" s="30" t="s">
        <v>9</v>
      </c>
      <c r="B12" s="971">
        <v>9167.9183815239012</v>
      </c>
      <c r="C12" s="971"/>
      <c r="D12" s="653">
        <f t="shared" si="1"/>
        <v>9167.9183815239012</v>
      </c>
      <c r="E12" s="1366">
        <f t="shared" si="2"/>
        <v>3.7949103024820359E-2</v>
      </c>
      <c r="F12" s="15">
        <f t="shared" ref="F12:F23" si="4">E12*$C$6</f>
        <v>22857.965111135061</v>
      </c>
      <c r="G12" s="16"/>
      <c r="H12" s="655">
        <f t="shared" si="0"/>
        <v>22857.965111135061</v>
      </c>
      <c r="I12" s="44">
        <f t="shared" si="3"/>
        <v>22858</v>
      </c>
    </row>
    <row r="13" spans="1:11" x14ac:dyDescent="0.2">
      <c r="A13" s="30" t="s">
        <v>283</v>
      </c>
      <c r="B13" s="985">
        <v>13535.296605146341</v>
      </c>
      <c r="C13" s="985">
        <f>B24</f>
        <v>92.285107723598998</v>
      </c>
      <c r="D13" s="653">
        <f t="shared" si="1"/>
        <v>13627.58171286994</v>
      </c>
      <c r="E13" s="1366">
        <f t="shared" si="2"/>
        <v>5.6409152097501247E-2</v>
      </c>
      <c r="F13" s="15">
        <f t="shared" si="4"/>
        <v>33977.046301992232</v>
      </c>
      <c r="G13" s="16"/>
      <c r="H13" s="655">
        <f t="shared" si="0"/>
        <v>33977.046301992232</v>
      </c>
      <c r="I13" s="44">
        <f t="shared" si="3"/>
        <v>33977</v>
      </c>
      <c r="K13" s="274"/>
    </row>
    <row r="14" spans="1:11" x14ac:dyDescent="0.2">
      <c r="A14" s="30" t="s">
        <v>11</v>
      </c>
      <c r="B14" s="971">
        <v>94092.123390853201</v>
      </c>
      <c r="C14" s="971"/>
      <c r="D14" s="653">
        <f t="shared" si="1"/>
        <v>94092.123390853201</v>
      </c>
      <c r="E14" s="1366">
        <f t="shared" si="2"/>
        <v>0.3894790001162805</v>
      </c>
      <c r="F14" s="15">
        <f t="shared" si="4"/>
        <v>234595.72655393087</v>
      </c>
      <c r="G14" s="16"/>
      <c r="H14" s="655">
        <f t="shared" si="0"/>
        <v>234595.72655393087</v>
      </c>
      <c r="I14" s="44">
        <f t="shared" si="3"/>
        <v>234595.7</v>
      </c>
    </row>
    <row r="15" spans="1:11" x14ac:dyDescent="0.2">
      <c r="A15" s="30" t="s">
        <v>12</v>
      </c>
      <c r="B15" s="971">
        <v>15631.3807084785</v>
      </c>
      <c r="C15" s="971"/>
      <c r="D15" s="653">
        <f t="shared" si="1"/>
        <v>15631.3807084785</v>
      </c>
      <c r="E15" s="1366">
        <f t="shared" si="2"/>
        <v>6.4703551257797975E-2</v>
      </c>
      <c r="F15" s="15">
        <f t="shared" si="4"/>
        <v>38973.029645785318</v>
      </c>
      <c r="G15" s="16"/>
      <c r="H15" s="655">
        <f t="shared" si="0"/>
        <v>38973.029645785318</v>
      </c>
      <c r="I15" s="44">
        <f t="shared" si="3"/>
        <v>38973</v>
      </c>
    </row>
    <row r="16" spans="1:11" x14ac:dyDescent="0.2">
      <c r="A16" s="30" t="s">
        <v>13</v>
      </c>
      <c r="B16" s="971">
        <v>12514.627466120501</v>
      </c>
      <c r="C16" s="971"/>
      <c r="D16" s="653">
        <f t="shared" si="1"/>
        <v>12514.627466120501</v>
      </c>
      <c r="E16" s="1366">
        <f t="shared" si="2"/>
        <v>5.180225949504056E-2</v>
      </c>
      <c r="F16" s="15">
        <f t="shared" si="4"/>
        <v>31202.166740045293</v>
      </c>
      <c r="G16" s="16"/>
      <c r="H16" s="655">
        <f t="shared" si="0"/>
        <v>31202.166740045293</v>
      </c>
      <c r="I16" s="44">
        <f t="shared" si="3"/>
        <v>31202.2</v>
      </c>
    </row>
    <row r="17" spans="1:13" x14ac:dyDescent="0.2">
      <c r="A17" s="30" t="s">
        <v>14</v>
      </c>
      <c r="B17" s="971">
        <v>1584.9965845913002</v>
      </c>
      <c r="C17" s="971"/>
      <c r="D17" s="653">
        <f t="shared" si="1"/>
        <v>1584.9965845913002</v>
      </c>
      <c r="E17" s="1366">
        <f t="shared" si="2"/>
        <v>6.5608348787072846E-3</v>
      </c>
      <c r="F17" s="15">
        <f t="shared" si="4"/>
        <v>3951.8018293956516</v>
      </c>
      <c r="G17" s="16"/>
      <c r="H17" s="655">
        <f t="shared" si="0"/>
        <v>3951.8018293956516</v>
      </c>
      <c r="I17" s="44">
        <f t="shared" si="3"/>
        <v>3951.8</v>
      </c>
    </row>
    <row r="18" spans="1:13" x14ac:dyDescent="0.2">
      <c r="A18" s="30" t="s">
        <v>15</v>
      </c>
      <c r="B18" s="971">
        <v>5873.8277821970996</v>
      </c>
      <c r="C18" s="971"/>
      <c r="D18" s="653">
        <f t="shared" si="1"/>
        <v>5873.8277821970996</v>
      </c>
      <c r="E18" s="1366">
        <f t="shared" si="2"/>
        <v>2.4313752193286655E-2</v>
      </c>
      <c r="F18" s="15">
        <f t="shared" si="4"/>
        <v>14644.954822553695</v>
      </c>
      <c r="G18" s="16"/>
      <c r="H18" s="655">
        <f t="shared" si="0"/>
        <v>14644.954822553695</v>
      </c>
      <c r="I18" s="44">
        <f t="shared" si="3"/>
        <v>14645</v>
      </c>
    </row>
    <row r="19" spans="1:13" x14ac:dyDescent="0.2">
      <c r="A19" s="30" t="s">
        <v>284</v>
      </c>
      <c r="B19" s="971">
        <v>29045.394499330203</v>
      </c>
      <c r="C19" s="971">
        <v>2000</v>
      </c>
      <c r="D19" s="653">
        <f t="shared" si="1"/>
        <v>31045.394499330203</v>
      </c>
      <c r="E19" s="1366">
        <f t="shared" si="2"/>
        <v>0.12850734760854629</v>
      </c>
      <c r="F19" s="15">
        <f t="shared" si="4"/>
        <v>77404.107976925283</v>
      </c>
      <c r="G19" s="16"/>
      <c r="H19" s="655">
        <f t="shared" si="0"/>
        <v>77404.107976925283</v>
      </c>
      <c r="I19" s="44">
        <f t="shared" si="3"/>
        <v>77404.100000000006</v>
      </c>
    </row>
    <row r="20" spans="1:13" x14ac:dyDescent="0.2">
      <c r="A20" s="30" t="s">
        <v>105</v>
      </c>
      <c r="B20" s="971">
        <v>511.390154637205</v>
      </c>
      <c r="C20" s="971"/>
      <c r="D20" s="653">
        <f t="shared" si="1"/>
        <v>511.390154637205</v>
      </c>
      <c r="E20" s="1366">
        <f t="shared" si="2"/>
        <v>2.1168161469801708E-3</v>
      </c>
      <c r="F20" s="15">
        <f t="shared" si="4"/>
        <v>1275.0264374552801</v>
      </c>
      <c r="G20" s="16"/>
      <c r="H20" s="655">
        <f t="shared" si="0"/>
        <v>1275.0264374552801</v>
      </c>
      <c r="I20" s="44">
        <f t="shared" si="3"/>
        <v>1275</v>
      </c>
    </row>
    <row r="21" spans="1:13" x14ac:dyDescent="0.2">
      <c r="A21" s="30" t="s">
        <v>82</v>
      </c>
      <c r="B21" s="971">
        <v>270.08747546200004</v>
      </c>
      <c r="C21" s="971"/>
      <c r="D21" s="653">
        <f t="shared" si="1"/>
        <v>270.08747546200004</v>
      </c>
      <c r="E21" s="1366">
        <f t="shared" si="2"/>
        <v>1.1179830584745437E-3</v>
      </c>
      <c r="F21" s="15">
        <f t="shared" si="4"/>
        <v>673.39714798363559</v>
      </c>
      <c r="G21" s="16"/>
      <c r="H21" s="655">
        <f t="shared" si="0"/>
        <v>673.39714798363559</v>
      </c>
      <c r="I21" s="44">
        <f t="shared" si="3"/>
        <v>673.4</v>
      </c>
    </row>
    <row r="22" spans="1:13" x14ac:dyDescent="0.2">
      <c r="A22" s="30" t="s">
        <v>17</v>
      </c>
      <c r="B22" s="971">
        <v>1521.51125089744</v>
      </c>
      <c r="C22" s="15"/>
      <c r="D22" s="653">
        <f t="shared" si="1"/>
        <v>1521.51125089744</v>
      </c>
      <c r="E22" s="1366">
        <f t="shared" si="2"/>
        <v>6.2980476931484902E-3</v>
      </c>
      <c r="F22" s="15">
        <f t="shared" si="4"/>
        <v>3793.5166568784616</v>
      </c>
      <c r="G22" s="16"/>
      <c r="H22" s="655">
        <f t="shared" si="0"/>
        <v>3793.5166568784616</v>
      </c>
      <c r="I22" s="44">
        <f t="shared" si="3"/>
        <v>3793.5</v>
      </c>
    </row>
    <row r="23" spans="1:13" x14ac:dyDescent="0.2">
      <c r="A23" s="30" t="s">
        <v>24</v>
      </c>
      <c r="B23" s="971">
        <v>328.78282550941003</v>
      </c>
      <c r="C23" s="15"/>
      <c r="D23" s="653">
        <f t="shared" si="1"/>
        <v>328.78282550941003</v>
      </c>
      <c r="E23" s="1366">
        <f t="shared" si="2"/>
        <v>1.3609428878853297E-3</v>
      </c>
      <c r="F23" s="15">
        <f t="shared" si="4"/>
        <v>819.73966628892458</v>
      </c>
      <c r="G23" s="16"/>
      <c r="H23" s="655">
        <f t="shared" si="0"/>
        <v>819.73966628892458</v>
      </c>
      <c r="I23" s="44">
        <f t="shared" si="3"/>
        <v>819.7</v>
      </c>
    </row>
    <row r="24" spans="1:13" ht="13.5" thickBot="1" x14ac:dyDescent="0.25">
      <c r="A24" s="737" t="s">
        <v>285</v>
      </c>
      <c r="B24" s="971">
        <v>92.285107723598998</v>
      </c>
      <c r="C24" s="15">
        <f>-B24</f>
        <v>-92.285107723598998</v>
      </c>
      <c r="D24" s="653">
        <f t="shared" si="1"/>
        <v>0</v>
      </c>
      <c r="E24" s="1366">
        <f t="shared" si="2"/>
        <v>0</v>
      </c>
      <c r="F24" s="971">
        <f>C5</f>
        <v>24439.487210000003</v>
      </c>
      <c r="G24" s="16"/>
      <c r="H24" s="655">
        <f t="shared" si="0"/>
        <v>24439.487210000003</v>
      </c>
      <c r="I24" s="44">
        <f t="shared" si="3"/>
        <v>24439.5</v>
      </c>
    </row>
    <row r="25" spans="1:13" ht="17.25" customHeight="1" thickBot="1" x14ac:dyDescent="0.25">
      <c r="A25" s="32" t="s">
        <v>35</v>
      </c>
      <c r="B25" s="33">
        <f>SUM(B10:B24)</f>
        <v>239584.58700664638</v>
      </c>
      <c r="C25" s="33">
        <f>SUM(C10:C24)</f>
        <v>2000.0000000000002</v>
      </c>
      <c r="D25" s="654">
        <f>SUM(D10:D24)</f>
        <v>241584.58700664638</v>
      </c>
      <c r="E25" s="34">
        <f>SUM(E10:E24)</f>
        <v>1</v>
      </c>
      <c r="F25" s="650">
        <f>C4</f>
        <v>626771.64500000002</v>
      </c>
      <c r="G25" s="35">
        <f>SUM(G10:G24)</f>
        <v>0</v>
      </c>
      <c r="H25" s="656">
        <f>SUM(H10:H24)</f>
        <v>626771.64500000002</v>
      </c>
      <c r="I25" s="45">
        <f>SUM(I10:I24)</f>
        <v>626771.6</v>
      </c>
      <c r="L25" s="275"/>
    </row>
    <row r="26" spans="1:13" ht="12" customHeight="1" x14ac:dyDescent="0.2">
      <c r="A26" s="17"/>
      <c r="B26" s="25"/>
      <c r="F26" s="693" t="s">
        <v>345</v>
      </c>
      <c r="G26" s="26">
        <f>F25-F24</f>
        <v>602332.15778999997</v>
      </c>
      <c r="M26" s="275"/>
    </row>
    <row r="27" spans="1:13" ht="12" customHeight="1" x14ac:dyDescent="0.2">
      <c r="F27" s="694" t="s">
        <v>73</v>
      </c>
      <c r="G27" s="23">
        <f>SUM(F10:F24)</f>
        <v>626771.64500000002</v>
      </c>
    </row>
    <row r="28" spans="1:13" ht="6" customHeight="1" x14ac:dyDescent="0.2"/>
    <row r="31" spans="1:13" x14ac:dyDescent="0.2">
      <c r="E31" s="275"/>
    </row>
    <row r="37" spans="20:20" x14ac:dyDescent="0.2">
      <c r="T37" s="120"/>
    </row>
    <row r="38" spans="20:20" x14ac:dyDescent="0.2">
      <c r="T38" s="120"/>
    </row>
    <row r="39" spans="20:20" x14ac:dyDescent="0.2">
      <c r="T39" s="120"/>
    </row>
    <row r="40" spans="20:20" x14ac:dyDescent="0.2">
      <c r="T40" s="120"/>
    </row>
    <row r="41" spans="20:20" x14ac:dyDescent="0.2">
      <c r="T41" s="120"/>
    </row>
    <row r="42" spans="20:20" x14ac:dyDescent="0.2">
      <c r="T42" s="120"/>
    </row>
    <row r="43" spans="20:20" x14ac:dyDescent="0.2">
      <c r="T43" s="120"/>
    </row>
    <row r="44" spans="20:20" x14ac:dyDescent="0.2">
      <c r="T44" s="120"/>
    </row>
    <row r="45" spans="20:20" x14ac:dyDescent="0.2">
      <c r="T45" s="120"/>
    </row>
    <row r="46" spans="20:20" x14ac:dyDescent="0.2">
      <c r="T46" s="120"/>
    </row>
    <row r="47" spans="20:20" x14ac:dyDescent="0.2">
      <c r="T47" s="120"/>
    </row>
    <row r="48" spans="20:20" x14ac:dyDescent="0.2">
      <c r="T48" s="120"/>
    </row>
    <row r="49" spans="12:20" x14ac:dyDescent="0.2">
      <c r="T49" s="120"/>
    </row>
    <row r="50" spans="12:20" x14ac:dyDescent="0.2">
      <c r="T50" s="120"/>
    </row>
    <row r="51" spans="12:20" x14ac:dyDescent="0.2">
      <c r="T51" s="120"/>
    </row>
    <row r="52" spans="12:20" x14ac:dyDescent="0.2">
      <c r="T52" s="120"/>
    </row>
    <row r="53" spans="12:20" x14ac:dyDescent="0.2">
      <c r="T53" s="120"/>
    </row>
    <row r="54" spans="12:20" x14ac:dyDescent="0.2">
      <c r="T54" s="120"/>
    </row>
    <row r="55" spans="12:20" x14ac:dyDescent="0.2">
      <c r="T55" s="120"/>
    </row>
    <row r="56" spans="12:20" x14ac:dyDescent="0.2">
      <c r="T56" s="120"/>
    </row>
    <row r="57" spans="12:20" x14ac:dyDescent="0.2">
      <c r="T57" s="120"/>
    </row>
    <row r="58" spans="12:20" x14ac:dyDescent="0.2">
      <c r="T58" s="120"/>
    </row>
    <row r="60" spans="12:20" x14ac:dyDescent="0.2">
      <c r="L60" s="120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headerFooter alignWithMargins="0">
    <oddFooter xml:space="preserve">&amp;C&amp;9 3  
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3:O51"/>
  <sheetViews>
    <sheetView showGridLines="0" workbookViewId="0"/>
  </sheetViews>
  <sheetFormatPr defaultColWidth="8.7109375" defaultRowHeight="12.75" x14ac:dyDescent="0.2"/>
  <cols>
    <col min="1" max="1" width="3.7109375" style="46" customWidth="1"/>
    <col min="2" max="2" width="8.7109375" style="46"/>
    <col min="3" max="3" width="9.7109375" style="46" customWidth="1"/>
    <col min="4" max="5" width="10.7109375" style="46" customWidth="1"/>
    <col min="6" max="6" width="10" style="46" customWidth="1"/>
    <col min="7" max="7" width="11" style="46" customWidth="1"/>
    <col min="8" max="8" width="9.5703125" style="46" customWidth="1"/>
    <col min="9" max="9" width="9.140625" style="46" bestFit="1" customWidth="1"/>
    <col min="10" max="16384" width="8.7109375" style="46"/>
  </cols>
  <sheetData>
    <row r="3" spans="1:12" ht="16.5" thickBot="1" x14ac:dyDescent="0.3">
      <c r="A3" s="118" t="s">
        <v>357</v>
      </c>
      <c r="B3" s="57"/>
      <c r="C3" s="57"/>
      <c r="D3" s="57"/>
      <c r="E3" s="57"/>
      <c r="F3" s="57"/>
      <c r="G3" s="57"/>
      <c r="H3" s="57"/>
      <c r="I3" s="57"/>
      <c r="J3" s="58"/>
      <c r="K3" s="58"/>
      <c r="L3" s="58"/>
    </row>
    <row r="4" spans="1:12" x14ac:dyDescent="0.2">
      <c r="A4" s="135"/>
      <c r="B4" s="138"/>
      <c r="C4" s="1587" t="s">
        <v>693</v>
      </c>
      <c r="D4" s="1588"/>
      <c r="E4" s="1589"/>
      <c r="F4" s="1590" t="s">
        <v>694</v>
      </c>
      <c r="G4" s="1590"/>
      <c r="H4" s="1591"/>
      <c r="I4" s="57"/>
      <c r="J4" s="57"/>
      <c r="K4" s="57"/>
      <c r="L4" s="58"/>
    </row>
    <row r="5" spans="1:12" ht="33.75" customHeight="1" thickBot="1" x14ac:dyDescent="0.25">
      <c r="A5" s="1595" t="s">
        <v>6</v>
      </c>
      <c r="B5" s="1596"/>
      <c r="C5" s="277" t="s">
        <v>19</v>
      </c>
      <c r="D5" s="278" t="s">
        <v>154</v>
      </c>
      <c r="E5" s="279" t="s">
        <v>16</v>
      </c>
      <c r="F5" s="280" t="s">
        <v>19</v>
      </c>
      <c r="G5" s="278" t="s">
        <v>154</v>
      </c>
      <c r="H5" s="279" t="s">
        <v>16</v>
      </c>
      <c r="I5" s="57"/>
      <c r="J5" s="57"/>
      <c r="K5" s="57"/>
      <c r="L5" s="58"/>
    </row>
    <row r="6" spans="1:12" x14ac:dyDescent="0.2">
      <c r="A6" s="712">
        <v>11</v>
      </c>
      <c r="B6" s="206" t="s">
        <v>7</v>
      </c>
      <c r="C6" s="742">
        <f>'str1'!H16</f>
        <v>318062.90000000002</v>
      </c>
      <c r="D6" s="283">
        <f>'str3'!I10</f>
        <v>71404.600000000006</v>
      </c>
      <c r="E6" s="281">
        <f>SUM(C6:D6)</f>
        <v>389467.5</v>
      </c>
      <c r="F6" s="282">
        <v>325063.7</v>
      </c>
      <c r="G6" s="283">
        <v>70441.5</v>
      </c>
      <c r="H6" s="738">
        <v>395505.2</v>
      </c>
      <c r="I6" s="57"/>
      <c r="J6" s="57"/>
      <c r="K6" s="57"/>
      <c r="L6" s="58"/>
    </row>
    <row r="7" spans="1:12" x14ac:dyDescent="0.2">
      <c r="A7" s="713">
        <v>21</v>
      </c>
      <c r="B7" s="210" t="s">
        <v>8</v>
      </c>
      <c r="C7" s="657">
        <f>'str1'!H17</f>
        <v>337434.4</v>
      </c>
      <c r="D7" s="287">
        <f>'str3'!I11</f>
        <v>66759.100000000006</v>
      </c>
      <c r="E7" s="285">
        <f t="shared" ref="E7:E21" si="0">SUM(C7:D7)</f>
        <v>404193.5</v>
      </c>
      <c r="F7" s="286">
        <v>335068.09999999998</v>
      </c>
      <c r="G7" s="287">
        <v>66787.399999999994</v>
      </c>
      <c r="H7" s="739">
        <v>401855.5</v>
      </c>
      <c r="I7" s="57"/>
      <c r="J7" s="57"/>
      <c r="K7" s="57"/>
      <c r="L7" s="58"/>
    </row>
    <row r="8" spans="1:12" x14ac:dyDescent="0.2">
      <c r="A8" s="713">
        <v>22</v>
      </c>
      <c r="B8" s="210" t="s">
        <v>9</v>
      </c>
      <c r="C8" s="657">
        <f>'str1'!H18</f>
        <v>118605</v>
      </c>
      <c r="D8" s="287">
        <f>'str3'!I12</f>
        <v>22858</v>
      </c>
      <c r="E8" s="285">
        <f t="shared" si="0"/>
        <v>141463</v>
      </c>
      <c r="F8" s="286">
        <v>119527.6</v>
      </c>
      <c r="G8" s="287">
        <v>24651</v>
      </c>
      <c r="H8" s="739">
        <v>144178.6</v>
      </c>
      <c r="I8" s="57"/>
      <c r="J8" s="57"/>
      <c r="K8" s="57"/>
      <c r="L8" s="58"/>
    </row>
    <row r="9" spans="1:12" x14ac:dyDescent="0.2">
      <c r="A9" s="713">
        <v>23</v>
      </c>
      <c r="B9" s="210" t="s">
        <v>10</v>
      </c>
      <c r="C9" s="657">
        <f>'str1'!H19</f>
        <v>148432.29999999999</v>
      </c>
      <c r="D9" s="287">
        <f>'str3'!I13</f>
        <v>33977</v>
      </c>
      <c r="E9" s="285">
        <f t="shared" si="0"/>
        <v>182409.3</v>
      </c>
      <c r="F9" s="286">
        <v>141611.5</v>
      </c>
      <c r="G9" s="287">
        <v>30917.4</v>
      </c>
      <c r="H9" s="739">
        <v>172528.9</v>
      </c>
      <c r="I9" s="57"/>
      <c r="J9" s="57"/>
      <c r="K9" s="57"/>
      <c r="L9" s="58"/>
    </row>
    <row r="10" spans="1:12" x14ac:dyDescent="0.2">
      <c r="A10" s="713">
        <v>31</v>
      </c>
      <c r="B10" s="210" t="s">
        <v>11</v>
      </c>
      <c r="C10" s="657">
        <f>'str1'!H20</f>
        <v>367336.9</v>
      </c>
      <c r="D10" s="287">
        <f>'str3'!I14</f>
        <v>234595.7</v>
      </c>
      <c r="E10" s="285">
        <f t="shared" si="0"/>
        <v>601932.60000000009</v>
      </c>
      <c r="F10" s="286">
        <v>359445.8</v>
      </c>
      <c r="G10" s="287">
        <v>222574.5</v>
      </c>
      <c r="H10" s="739">
        <v>582020.30000000005</v>
      </c>
      <c r="I10" s="57"/>
      <c r="J10" s="57"/>
      <c r="K10" s="57"/>
      <c r="L10" s="58"/>
    </row>
    <row r="11" spans="1:12" x14ac:dyDescent="0.2">
      <c r="A11" s="713">
        <v>33</v>
      </c>
      <c r="B11" s="210" t="s">
        <v>12</v>
      </c>
      <c r="C11" s="657">
        <f>'str1'!H21</f>
        <v>137350.20000000001</v>
      </c>
      <c r="D11" s="287">
        <f>'str3'!I15</f>
        <v>38973</v>
      </c>
      <c r="E11" s="285">
        <f t="shared" si="0"/>
        <v>176323.20000000001</v>
      </c>
      <c r="F11" s="286">
        <v>129597.5</v>
      </c>
      <c r="G11" s="287">
        <v>35884.300000000003</v>
      </c>
      <c r="H11" s="739">
        <v>165481.79999999999</v>
      </c>
      <c r="I11" s="57"/>
      <c r="J11" s="57"/>
      <c r="K11" s="57"/>
      <c r="L11" s="58"/>
    </row>
    <row r="12" spans="1:12" x14ac:dyDescent="0.2">
      <c r="A12" s="713">
        <v>41</v>
      </c>
      <c r="B12" s="210" t="s">
        <v>13</v>
      </c>
      <c r="C12" s="740">
        <f>'str1'!H22</f>
        <v>188484</v>
      </c>
      <c r="D12" s="287">
        <f>'str3'!I16</f>
        <v>31202.2</v>
      </c>
      <c r="E12" s="285">
        <f t="shared" si="0"/>
        <v>219686.2</v>
      </c>
      <c r="F12" s="286">
        <v>181108</v>
      </c>
      <c r="G12" s="287">
        <v>30309.1</v>
      </c>
      <c r="H12" s="739">
        <v>211417.1</v>
      </c>
      <c r="I12" s="57"/>
      <c r="J12" s="57"/>
      <c r="K12" s="57"/>
      <c r="L12" s="58"/>
    </row>
    <row r="13" spans="1:12" x14ac:dyDescent="0.2">
      <c r="A13" s="713">
        <v>51</v>
      </c>
      <c r="B13" s="210" t="s">
        <v>14</v>
      </c>
      <c r="C13" s="657">
        <f>'str1'!H23</f>
        <v>69179</v>
      </c>
      <c r="D13" s="287">
        <f>'str3'!I17</f>
        <v>3951.8</v>
      </c>
      <c r="E13" s="285">
        <f t="shared" si="0"/>
        <v>73130.8</v>
      </c>
      <c r="F13" s="286">
        <v>69591.899999999994</v>
      </c>
      <c r="G13" s="287">
        <v>3448.6</v>
      </c>
      <c r="H13" s="739">
        <v>73040.5</v>
      </c>
      <c r="I13" s="57"/>
      <c r="J13" s="57"/>
      <c r="K13" s="57"/>
      <c r="L13" s="58"/>
    </row>
    <row r="14" spans="1:12" x14ac:dyDescent="0.2">
      <c r="A14" s="713">
        <v>56</v>
      </c>
      <c r="B14" s="210" t="s">
        <v>15</v>
      </c>
      <c r="C14" s="741">
        <f>'str1'!H24</f>
        <v>126013.2</v>
      </c>
      <c r="D14" s="287">
        <f>'str3'!I18</f>
        <v>14645</v>
      </c>
      <c r="E14" s="285">
        <f t="shared" si="0"/>
        <v>140658.20000000001</v>
      </c>
      <c r="F14" s="286">
        <v>123983.9</v>
      </c>
      <c r="G14" s="287">
        <v>12922.8</v>
      </c>
      <c r="H14" s="739">
        <v>136906.69999999998</v>
      </c>
      <c r="I14" s="57"/>
      <c r="J14" s="57"/>
      <c r="K14" s="57"/>
      <c r="L14" s="58"/>
    </row>
    <row r="15" spans="1:12" x14ac:dyDescent="0.2">
      <c r="A15" s="713"/>
      <c r="B15" s="210" t="s">
        <v>197</v>
      </c>
      <c r="C15" s="657">
        <v>0</v>
      </c>
      <c r="D15" s="287">
        <v>0</v>
      </c>
      <c r="E15" s="285">
        <f t="shared" si="0"/>
        <v>0</v>
      </c>
      <c r="F15" s="286"/>
      <c r="G15" s="287">
        <v>0</v>
      </c>
      <c r="H15" s="739">
        <v>0</v>
      </c>
      <c r="I15" s="57"/>
      <c r="J15" s="57"/>
      <c r="K15" s="57"/>
      <c r="L15" s="58"/>
    </row>
    <row r="16" spans="1:12" x14ac:dyDescent="0.2">
      <c r="A16" s="713">
        <v>71</v>
      </c>
      <c r="B16" s="210" t="s">
        <v>203</v>
      </c>
      <c r="C16" s="657">
        <f>'str1'!H25</f>
        <v>27832.1</v>
      </c>
      <c r="D16" s="287">
        <f>'str3'!I19</f>
        <v>77404.100000000006</v>
      </c>
      <c r="E16" s="285">
        <f t="shared" si="0"/>
        <v>105236.20000000001</v>
      </c>
      <c r="F16" s="286">
        <v>19048.599999999999</v>
      </c>
      <c r="G16" s="287">
        <v>61531.8</v>
      </c>
      <c r="H16" s="739">
        <v>80580.399999999994</v>
      </c>
      <c r="I16" s="57"/>
      <c r="J16" s="57"/>
      <c r="K16" s="57"/>
      <c r="L16" s="58"/>
    </row>
    <row r="17" spans="1:15" x14ac:dyDescent="0.2">
      <c r="A17" s="713">
        <v>84</v>
      </c>
      <c r="B17" s="210" t="s">
        <v>82</v>
      </c>
      <c r="C17" s="657">
        <v>0</v>
      </c>
      <c r="D17" s="287">
        <f>'str3'!I21</f>
        <v>673.4</v>
      </c>
      <c r="E17" s="285">
        <f t="shared" si="0"/>
        <v>673.4</v>
      </c>
      <c r="F17" s="286">
        <v>0</v>
      </c>
      <c r="G17" s="287">
        <v>471.1</v>
      </c>
      <c r="H17" s="739">
        <v>471.1</v>
      </c>
      <c r="I17" s="57"/>
      <c r="J17" s="57"/>
      <c r="K17" s="57"/>
      <c r="L17" s="58"/>
    </row>
    <row r="18" spans="1:15" x14ac:dyDescent="0.2">
      <c r="A18" s="713">
        <v>85</v>
      </c>
      <c r="B18" s="210" t="s">
        <v>105</v>
      </c>
      <c r="C18" s="657">
        <f>'str1'!H26</f>
        <v>2207.9</v>
      </c>
      <c r="D18" s="287">
        <f>'str3'!I20</f>
        <v>1275</v>
      </c>
      <c r="E18" s="285">
        <f t="shared" si="0"/>
        <v>3482.9</v>
      </c>
      <c r="F18" s="286">
        <v>2194.1999999999998</v>
      </c>
      <c r="G18" s="287">
        <v>818.7</v>
      </c>
      <c r="H18" s="739">
        <v>3012.8999999999996</v>
      </c>
      <c r="I18" s="57"/>
      <c r="J18" s="57"/>
      <c r="K18" s="57"/>
      <c r="L18" s="58"/>
    </row>
    <row r="19" spans="1:15" x14ac:dyDescent="0.2">
      <c r="A19" s="713">
        <v>92</v>
      </c>
      <c r="B19" s="210" t="s">
        <v>17</v>
      </c>
      <c r="C19" s="657">
        <f>'str1'!H27</f>
        <v>1670</v>
      </c>
      <c r="D19" s="287">
        <f>'str3'!I22</f>
        <v>3793.5</v>
      </c>
      <c r="E19" s="285">
        <f t="shared" si="0"/>
        <v>5463.5</v>
      </c>
      <c r="F19" s="286">
        <v>2417.1</v>
      </c>
      <c r="G19" s="287">
        <v>2612</v>
      </c>
      <c r="H19" s="739">
        <v>5029.1000000000004</v>
      </c>
      <c r="I19" s="57"/>
      <c r="J19" s="57"/>
      <c r="K19" s="57"/>
      <c r="L19" s="58"/>
    </row>
    <row r="20" spans="1:15" x14ac:dyDescent="0.2">
      <c r="A20" s="714">
        <v>96</v>
      </c>
      <c r="B20" s="715" t="s">
        <v>24</v>
      </c>
      <c r="C20" s="657">
        <v>0</v>
      </c>
      <c r="D20" s="287">
        <f>'str3'!I23</f>
        <v>819.7</v>
      </c>
      <c r="E20" s="285">
        <f t="shared" si="0"/>
        <v>819.7</v>
      </c>
      <c r="F20" s="286">
        <v>0</v>
      </c>
      <c r="G20" s="288">
        <v>806.7</v>
      </c>
      <c r="H20" s="739">
        <v>806.7</v>
      </c>
      <c r="I20" s="57"/>
      <c r="J20" s="57"/>
      <c r="K20" s="57"/>
      <c r="L20" s="58"/>
    </row>
    <row r="21" spans="1:15" ht="13.5" thickBot="1" x14ac:dyDescent="0.25">
      <c r="A21" s="714">
        <v>99</v>
      </c>
      <c r="B21" s="715" t="s">
        <v>276</v>
      </c>
      <c r="C21" s="740">
        <v>0</v>
      </c>
      <c r="D21" s="1533">
        <f>'str3'!I24</f>
        <v>24439.5</v>
      </c>
      <c r="E21" s="1534">
        <f t="shared" si="0"/>
        <v>24439.5</v>
      </c>
      <c r="F21" s="289">
        <v>0</v>
      </c>
      <c r="G21" s="288">
        <v>26574</v>
      </c>
      <c r="H21" s="1535">
        <v>26574</v>
      </c>
      <c r="I21" s="57"/>
      <c r="J21" s="57"/>
      <c r="K21" s="57"/>
      <c r="L21" s="58"/>
    </row>
    <row r="22" spans="1:15" ht="13.5" thickBot="1" x14ac:dyDescent="0.25">
      <c r="A22" s="1541" t="s">
        <v>70</v>
      </c>
      <c r="B22" s="1536"/>
      <c r="C22" s="1537">
        <f>SUM(C6:C20)</f>
        <v>1842607.9</v>
      </c>
      <c r="D22" s="1538">
        <f>SUM(D6:D21)</f>
        <v>626771.6</v>
      </c>
      <c r="E22" s="1539">
        <f>SUM(E6:E21)</f>
        <v>2469379.5000000005</v>
      </c>
      <c r="F22" s="1540">
        <v>1808657.9</v>
      </c>
      <c r="G22" s="1540">
        <v>590750.89999999979</v>
      </c>
      <c r="H22" s="1539">
        <v>2399408.8000000007</v>
      </c>
      <c r="I22" s="973">
        <f>H22-G22-F22</f>
        <v>0</v>
      </c>
      <c r="J22" s="57"/>
      <c r="K22" s="57"/>
      <c r="L22" s="126"/>
      <c r="M22" s="126"/>
      <c r="N22" s="126"/>
      <c r="O22" s="126"/>
    </row>
    <row r="23" spans="1:15" s="126" customFormat="1" ht="6" customHeight="1" x14ac:dyDescent="0.2">
      <c r="C23" s="290"/>
      <c r="D23" s="290"/>
      <c r="E23" s="291"/>
      <c r="F23" s="292"/>
      <c r="J23" s="57"/>
      <c r="K23" s="57"/>
      <c r="L23" s="58"/>
      <c r="M23" s="46"/>
      <c r="N23" s="46"/>
      <c r="O23" s="46"/>
    </row>
    <row r="24" spans="1:15" s="126" customFormat="1" x14ac:dyDescent="0.2">
      <c r="A24" s="61" t="s">
        <v>569</v>
      </c>
      <c r="C24" s="290"/>
      <c r="D24" s="951">
        <f>'str3'!I24</f>
        <v>24439.5</v>
      </c>
      <c r="E24" s="126" t="s">
        <v>570</v>
      </c>
      <c r="J24" s="57"/>
      <c r="K24" s="57"/>
      <c r="L24" s="293"/>
      <c r="M24" s="46"/>
      <c r="N24" s="46"/>
      <c r="O24" s="46"/>
    </row>
    <row r="25" spans="1:15" s="126" customFormat="1" x14ac:dyDescent="0.2">
      <c r="C25" s="290"/>
      <c r="D25" s="290"/>
      <c r="E25" s="291"/>
      <c r="F25" s="292"/>
      <c r="L25" s="58"/>
      <c r="M25" s="46"/>
      <c r="N25" s="46"/>
      <c r="O25" s="46"/>
    </row>
    <row r="26" spans="1:15" s="126" customFormat="1" x14ac:dyDescent="0.2">
      <c r="C26" s="290"/>
      <c r="D26" s="290"/>
      <c r="E26" s="291"/>
      <c r="F26" s="292"/>
      <c r="L26" s="58"/>
      <c r="M26" s="46"/>
      <c r="N26" s="46"/>
      <c r="O26" s="46"/>
    </row>
    <row r="27" spans="1:15" ht="15.75" x14ac:dyDescent="0.25">
      <c r="A27" s="294" t="s">
        <v>358</v>
      </c>
      <c r="L27" s="58"/>
    </row>
    <row r="28" spans="1:15" ht="11.25" customHeight="1" x14ac:dyDescent="0.25">
      <c r="A28" s="294"/>
      <c r="L28" s="58"/>
      <c r="M28" s="124"/>
      <c r="N28" s="124"/>
      <c r="O28" s="124"/>
    </row>
    <row r="29" spans="1:15" s="124" customFormat="1" ht="15.75" thickBot="1" x14ac:dyDescent="0.3">
      <c r="A29" s="123" t="s">
        <v>164</v>
      </c>
      <c r="L29" s="58"/>
      <c r="M29" s="46"/>
      <c r="N29" s="46"/>
      <c r="O29" s="46"/>
    </row>
    <row r="30" spans="1:15" x14ac:dyDescent="0.2">
      <c r="A30" s="47">
        <v>4</v>
      </c>
      <c r="B30" s="295" t="s">
        <v>359</v>
      </c>
      <c r="C30" s="296"/>
      <c r="D30" s="296"/>
      <c r="E30" s="296"/>
      <c r="F30" s="296"/>
      <c r="G30" s="296"/>
      <c r="H30" s="296"/>
      <c r="I30" s="297">
        <f>'příl.1 - cp 2017'!J7</f>
        <v>88000</v>
      </c>
      <c r="J30" s="55"/>
      <c r="L30" s="58"/>
    </row>
    <row r="31" spans="1:15" x14ac:dyDescent="0.2">
      <c r="A31" s="298">
        <v>5</v>
      </c>
      <c r="B31" s="52" t="s">
        <v>360</v>
      </c>
      <c r="C31" s="52"/>
      <c r="D31" s="52"/>
      <c r="E31" s="52"/>
      <c r="F31" s="52"/>
      <c r="G31" s="52"/>
      <c r="H31" s="52"/>
      <c r="I31" s="299">
        <f>'příl.1 - cp 2017'!J12</f>
        <v>0</v>
      </c>
      <c r="J31" s="55"/>
      <c r="L31" s="58"/>
    </row>
    <row r="32" spans="1:15" x14ac:dyDescent="0.2">
      <c r="A32" s="298">
        <v>6</v>
      </c>
      <c r="B32" s="52" t="s">
        <v>84</v>
      </c>
      <c r="C32" s="52"/>
      <c r="D32" s="52"/>
      <c r="E32" s="52"/>
      <c r="F32" s="52"/>
      <c r="G32" s="52"/>
      <c r="H32" s="52"/>
      <c r="I32" s="299">
        <f>'příl.1 - cp 2017'!J13</f>
        <v>3332</v>
      </c>
      <c r="J32" s="55"/>
      <c r="L32" s="58"/>
    </row>
    <row r="33" spans="1:15" ht="13.5" thickBot="1" x14ac:dyDescent="0.25">
      <c r="A33" s="48">
        <v>7</v>
      </c>
      <c r="B33" s="165" t="s">
        <v>196</v>
      </c>
      <c r="C33" s="55"/>
      <c r="D33" s="55"/>
      <c r="E33" s="55"/>
      <c r="F33" s="55"/>
      <c r="G33" s="55"/>
      <c r="H33" s="55"/>
      <c r="I33" s="300">
        <f>'příl.1 - cp 2017'!J26</f>
        <v>0</v>
      </c>
      <c r="J33" s="55"/>
      <c r="L33" s="301"/>
      <c r="M33" s="119"/>
      <c r="N33" s="119"/>
      <c r="O33" s="119"/>
    </row>
    <row r="34" spans="1:15" s="119" customFormat="1" ht="13.5" thickBot="1" x14ac:dyDescent="0.25">
      <c r="A34" s="302">
        <v>8</v>
      </c>
      <c r="B34" s="1584" t="s">
        <v>361</v>
      </c>
      <c r="C34" s="1585"/>
      <c r="D34" s="1585"/>
      <c r="E34" s="1585"/>
      <c r="F34" s="1585"/>
      <c r="G34" s="1585"/>
      <c r="H34" s="1586"/>
      <c r="I34" s="303">
        <f>SUM(I30:I33)</f>
        <v>91332</v>
      </c>
      <c r="J34" s="304"/>
      <c r="L34" s="58"/>
      <c r="M34" s="61"/>
      <c r="N34" s="61"/>
      <c r="O34" s="61"/>
    </row>
    <row r="35" spans="1:15" s="61" customFormat="1" ht="15" x14ac:dyDescent="0.25">
      <c r="A35" s="305"/>
      <c r="B35" s="306"/>
      <c r="I35" s="127"/>
      <c r="J35" s="307"/>
      <c r="L35" s="58"/>
      <c r="M35" s="124"/>
      <c r="N35" s="124"/>
      <c r="O35" s="124"/>
    </row>
    <row r="36" spans="1:15" s="124" customFormat="1" ht="15.75" thickBot="1" x14ac:dyDescent="0.3">
      <c r="A36" s="123" t="s">
        <v>165</v>
      </c>
      <c r="J36" s="307"/>
      <c r="L36" s="58"/>
      <c r="M36" s="46"/>
      <c r="N36" s="46"/>
      <c r="O36" s="46"/>
    </row>
    <row r="37" spans="1:15" x14ac:dyDescent="0.2">
      <c r="A37" s="308">
        <v>9</v>
      </c>
      <c r="B37" s="309" t="s">
        <v>170</v>
      </c>
      <c r="C37" s="309"/>
      <c r="D37" s="309"/>
      <c r="E37" s="309"/>
      <c r="F37" s="309"/>
      <c r="G37" s="309"/>
      <c r="H37" s="309"/>
      <c r="I37" s="310">
        <f>'příl.1 - cp 2017'!J27-'příl.1 - cp 2017'!J82</f>
        <v>182826</v>
      </c>
      <c r="J37" s="311"/>
      <c r="L37" s="58"/>
    </row>
    <row r="38" spans="1:15" ht="13.5" thickBot="1" x14ac:dyDescent="0.25">
      <c r="A38" s="48">
        <v>10</v>
      </c>
      <c r="B38" s="55" t="s">
        <v>171</v>
      </c>
      <c r="C38" s="55"/>
      <c r="D38" s="55"/>
      <c r="E38" s="55"/>
      <c r="F38" s="55"/>
      <c r="G38" s="55"/>
      <c r="H38" s="55"/>
      <c r="I38" s="300">
        <f>'příl.1 - cp 2017'!J82</f>
        <v>19000</v>
      </c>
      <c r="J38" s="307"/>
      <c r="L38" s="312"/>
      <c r="M38" s="313"/>
      <c r="N38" s="313"/>
      <c r="O38" s="313"/>
    </row>
    <row r="39" spans="1:15" s="313" customFormat="1" x14ac:dyDescent="0.2">
      <c r="A39" s="314">
        <v>11</v>
      </c>
      <c r="B39" s="1592" t="s">
        <v>167</v>
      </c>
      <c r="C39" s="1593"/>
      <c r="D39" s="1593"/>
      <c r="E39" s="1593"/>
      <c r="F39" s="1593"/>
      <c r="G39" s="1593"/>
      <c r="H39" s="1594"/>
      <c r="I39" s="315">
        <f>SUM(I37:I38)</f>
        <v>201826</v>
      </c>
      <c r="J39" s="316"/>
      <c r="L39" s="58"/>
      <c r="M39" s="46"/>
      <c r="N39" s="46"/>
      <c r="O39" s="46"/>
    </row>
    <row r="40" spans="1:15" ht="13.5" thickBot="1" x14ac:dyDescent="0.25">
      <c r="A40" s="317">
        <v>12</v>
      </c>
      <c r="B40" s="318" t="s">
        <v>166</v>
      </c>
      <c r="C40" s="318"/>
      <c r="D40" s="318"/>
      <c r="E40" s="318"/>
      <c r="F40" s="318"/>
      <c r="G40" s="318"/>
      <c r="H40" s="318"/>
      <c r="I40" s="319">
        <f>'příl.1 - cp 2017'!J149</f>
        <v>215300</v>
      </c>
      <c r="J40" s="316"/>
      <c r="L40" s="301"/>
      <c r="M40" s="119"/>
      <c r="N40" s="119"/>
      <c r="O40" s="119"/>
    </row>
    <row r="41" spans="1:15" s="119" customFormat="1" ht="13.5" thickBot="1" x14ac:dyDescent="0.25">
      <c r="A41" s="302">
        <v>13</v>
      </c>
      <c r="B41" s="1584" t="s">
        <v>189</v>
      </c>
      <c r="C41" s="1585"/>
      <c r="D41" s="1585"/>
      <c r="E41" s="1585"/>
      <c r="F41" s="1585"/>
      <c r="G41" s="1585"/>
      <c r="H41" s="1586"/>
      <c r="I41" s="303">
        <f>SUM(I39:I40)</f>
        <v>417126</v>
      </c>
      <c r="J41" s="316"/>
      <c r="K41" s="320"/>
      <c r="L41" s="59"/>
      <c r="M41" s="55"/>
      <c r="N41" s="55"/>
      <c r="O41" s="55"/>
    </row>
    <row r="42" spans="1:15" s="55" customFormat="1" ht="15.75" thickBot="1" x14ac:dyDescent="0.3">
      <c r="A42" s="321"/>
      <c r="H42" s="709" t="s">
        <v>73</v>
      </c>
      <c r="I42" s="407">
        <f>I34+I41</f>
        <v>508458</v>
      </c>
      <c r="J42" s="304"/>
      <c r="L42" s="60"/>
      <c r="M42" s="199"/>
      <c r="N42" s="199"/>
      <c r="O42" s="199"/>
    </row>
    <row r="43" spans="1:15" s="199" customFormat="1" ht="15.75" hidden="1" thickBot="1" x14ac:dyDescent="0.3">
      <c r="A43" s="128" t="s">
        <v>127</v>
      </c>
      <c r="J43" s="322"/>
      <c r="L43" s="46"/>
      <c r="M43" s="46"/>
      <c r="N43" s="46"/>
      <c r="O43" s="46"/>
    </row>
    <row r="44" spans="1:15" ht="12.75" hidden="1" customHeight="1" x14ac:dyDescent="0.2">
      <c r="A44" s="152">
        <v>14</v>
      </c>
      <c r="B44" s="323" t="s">
        <v>194</v>
      </c>
      <c r="C44" s="324"/>
      <c r="D44" s="324"/>
      <c r="E44" s="324"/>
      <c r="F44" s="324"/>
      <c r="G44" s="325"/>
      <c r="H44" s="326"/>
      <c r="I44" s="156">
        <v>2333005</v>
      </c>
      <c r="J44" s="307"/>
      <c r="L44" s="119"/>
      <c r="M44" s="119"/>
      <c r="N44" s="119"/>
      <c r="O44" s="119"/>
    </row>
    <row r="45" spans="1:15" s="119" customFormat="1" ht="12.75" hidden="1" customHeight="1" x14ac:dyDescent="0.2">
      <c r="A45" s="327">
        <v>15</v>
      </c>
      <c r="B45" s="328" t="s">
        <v>195</v>
      </c>
      <c r="C45" s="329"/>
      <c r="D45" s="329"/>
      <c r="E45" s="329"/>
      <c r="F45" s="329"/>
      <c r="G45" s="330"/>
      <c r="H45" s="331"/>
      <c r="I45" s="332">
        <v>555881</v>
      </c>
      <c r="J45" s="316"/>
    </row>
    <row r="46" spans="1:15" s="119" customFormat="1" ht="12.75" hidden="1" customHeight="1" thickBot="1" x14ac:dyDescent="0.25">
      <c r="A46" s="333">
        <v>16</v>
      </c>
      <c r="B46" s="334" t="s">
        <v>228</v>
      </c>
      <c r="C46" s="335"/>
      <c r="D46" s="335"/>
      <c r="E46" s="335"/>
      <c r="F46" s="335"/>
      <c r="G46" s="336"/>
      <c r="H46" s="337"/>
      <c r="I46" s="338" t="e">
        <v>#REF!</v>
      </c>
      <c r="J46" s="316"/>
      <c r="L46" s="339" t="s">
        <v>172</v>
      </c>
    </row>
    <row r="47" spans="1:15" s="119" customFormat="1" ht="13.5" hidden="1" thickBot="1" x14ac:dyDescent="0.25">
      <c r="A47" s="340">
        <v>17</v>
      </c>
      <c r="B47" s="341" t="s">
        <v>362</v>
      </c>
      <c r="C47" s="342"/>
      <c r="D47" s="342"/>
      <c r="E47" s="342"/>
      <c r="F47" s="342"/>
      <c r="G47" s="342"/>
      <c r="H47" s="343"/>
      <c r="I47" s="344" t="e">
        <v>#REF!</v>
      </c>
      <c r="K47" s="345"/>
      <c r="L47" s="58"/>
      <c r="M47" s="46"/>
      <c r="N47" s="46"/>
      <c r="O47" s="46"/>
    </row>
    <row r="48" spans="1:15" ht="13.5" hidden="1" customHeight="1" x14ac:dyDescent="0.2">
      <c r="A48" s="57"/>
      <c r="B48" s="57"/>
      <c r="C48" s="57"/>
      <c r="D48" s="57"/>
      <c r="E48" s="57"/>
      <c r="F48" s="57"/>
      <c r="G48" s="57"/>
      <c r="H48" s="57"/>
      <c r="I48" s="284" t="e">
        <v>#REF!</v>
      </c>
      <c r="K48" s="120"/>
      <c r="L48" s="58"/>
    </row>
    <row r="49" spans="1:12" hidden="1" x14ac:dyDescent="0.2">
      <c r="A49" s="57"/>
      <c r="B49" s="57"/>
      <c r="C49" s="57"/>
      <c r="D49" s="57"/>
      <c r="E49" s="57"/>
      <c r="F49" s="57"/>
      <c r="G49" s="57"/>
      <c r="H49" s="57" t="s">
        <v>110</v>
      </c>
      <c r="I49" s="284" t="e">
        <v>#REF!</v>
      </c>
      <c r="L49" s="58"/>
    </row>
    <row r="50" spans="1:12" ht="13.5" thickBot="1" x14ac:dyDescent="0.25">
      <c r="I50" s="120"/>
    </row>
    <row r="51" spans="1:12" ht="30.75" customHeight="1" thickBot="1" x14ac:dyDescent="0.25">
      <c r="H51" s="1400" t="s">
        <v>651</v>
      </c>
      <c r="I51" s="1401">
        <v>503373</v>
      </c>
    </row>
  </sheetData>
  <mergeCells count="6">
    <mergeCell ref="B41:H41"/>
    <mergeCell ref="C4:E4"/>
    <mergeCell ref="F4:H4"/>
    <mergeCell ref="B34:H34"/>
    <mergeCell ref="B39:H39"/>
    <mergeCell ref="A5:B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T191"/>
  <sheetViews>
    <sheetView showGridLines="0" zoomScale="112" zoomScaleNormal="112" workbookViewId="0"/>
  </sheetViews>
  <sheetFormatPr defaultColWidth="11.42578125" defaultRowHeight="11.25" x14ac:dyDescent="0.2"/>
  <cols>
    <col min="1" max="1" width="9" style="350" customWidth="1"/>
    <col min="2" max="2" width="11.7109375" style="350" customWidth="1"/>
    <col min="3" max="3" width="9.85546875" style="350" customWidth="1"/>
    <col min="4" max="4" width="10.28515625" style="350" customWidth="1"/>
    <col min="5" max="5" width="10" style="350" customWidth="1"/>
    <col min="6" max="6" width="8.7109375" style="350" customWidth="1"/>
    <col min="7" max="7" width="10" style="350" customWidth="1"/>
    <col min="8" max="10" width="8.42578125" style="350" customWidth="1"/>
    <col min="11" max="11" width="11.140625" style="350" customWidth="1"/>
    <col min="12" max="12" width="10.7109375" style="350" customWidth="1"/>
    <col min="13" max="13" width="12.140625" style="350" customWidth="1"/>
    <col min="14" max="14" width="11.140625" style="350" customWidth="1"/>
    <col min="15" max="15" width="4.5703125" style="350" customWidth="1"/>
    <col min="16" max="16" width="20.140625" style="350" bestFit="1" customWidth="1"/>
    <col min="17" max="17" width="7.42578125" style="350" bestFit="1" customWidth="1"/>
    <col min="18" max="16384" width="11.42578125" style="350"/>
  </cols>
  <sheetData>
    <row r="1" spans="1:20" s="346" customFormat="1" ht="15.75" x14ac:dyDescent="0.25">
      <c r="A1" s="118" t="s">
        <v>681</v>
      </c>
      <c r="G1" s="347"/>
      <c r="H1" s="347"/>
      <c r="I1" s="347"/>
      <c r="J1" s="347"/>
      <c r="K1" s="347"/>
      <c r="L1" s="347"/>
      <c r="M1" s="347"/>
      <c r="N1" s="347"/>
      <c r="O1" s="347"/>
    </row>
    <row r="2" spans="1:20" s="346" customFormat="1" ht="15.75" x14ac:dyDescent="0.25">
      <c r="A2" s="118"/>
      <c r="G2" s="347"/>
      <c r="H2" s="347"/>
      <c r="I2" s="347"/>
      <c r="J2" s="347"/>
      <c r="K2" s="347"/>
      <c r="L2" s="347"/>
      <c r="M2" s="347"/>
      <c r="N2" s="347"/>
      <c r="O2" s="347"/>
    </row>
    <row r="3" spans="1:20" ht="13.5" customHeight="1" thickBot="1" x14ac:dyDescent="0.25">
      <c r="A3" s="348"/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</row>
    <row r="4" spans="1:20" ht="12" hidden="1" thickBot="1" x14ac:dyDescent="0.25">
      <c r="B4" s="351"/>
      <c r="C4" s="348"/>
      <c r="D4" s="348"/>
      <c r="E4" s="348"/>
      <c r="F4" s="352">
        <v>1</v>
      </c>
      <c r="G4" s="353">
        <v>1</v>
      </c>
      <c r="H4" s="352"/>
      <c r="I4" s="352"/>
      <c r="J4" s="352"/>
      <c r="K4" s="354"/>
      <c r="L4" s="348"/>
      <c r="M4" s="348"/>
      <c r="N4" s="348"/>
    </row>
    <row r="5" spans="1:20" s="362" customFormat="1" ht="18.75" customHeight="1" x14ac:dyDescent="0.2">
      <c r="A5" s="355"/>
      <c r="B5" s="671" t="s">
        <v>22</v>
      </c>
      <c r="C5" s="1606" t="s">
        <v>321</v>
      </c>
      <c r="D5" s="357" t="s">
        <v>323</v>
      </c>
      <c r="E5" s="358" t="s">
        <v>204</v>
      </c>
      <c r="F5" s="358"/>
      <c r="G5" s="1597" t="s">
        <v>645</v>
      </c>
      <c r="H5" s="358" t="s">
        <v>207</v>
      </c>
      <c r="I5" s="1597" t="s">
        <v>649</v>
      </c>
      <c r="J5" s="1600" t="s">
        <v>648</v>
      </c>
      <c r="K5" s="359" t="s">
        <v>320</v>
      </c>
      <c r="L5" s="356" t="s">
        <v>325</v>
      </c>
      <c r="M5" s="688" t="s">
        <v>327</v>
      </c>
      <c r="N5" s="689" t="s">
        <v>327</v>
      </c>
      <c r="O5" s="350"/>
      <c r="P5" s="360"/>
      <c r="Q5" s="361"/>
    </row>
    <row r="6" spans="1:20" s="362" customFormat="1" ht="12" customHeight="1" x14ac:dyDescent="0.2">
      <c r="A6" s="363" t="s">
        <v>6</v>
      </c>
      <c r="B6" s="672"/>
      <c r="C6" s="1607"/>
      <c r="D6" s="364" t="s">
        <v>324</v>
      </c>
      <c r="E6" s="365" t="s">
        <v>205</v>
      </c>
      <c r="F6" s="365" t="s">
        <v>21</v>
      </c>
      <c r="G6" s="1598"/>
      <c r="H6" s="365" t="s">
        <v>206</v>
      </c>
      <c r="I6" s="1598"/>
      <c r="J6" s="1601"/>
      <c r="K6" s="366"/>
      <c r="L6" s="690" t="s">
        <v>326</v>
      </c>
      <c r="M6" s="691"/>
      <c r="N6" s="692" t="s">
        <v>366</v>
      </c>
      <c r="O6" s="350"/>
      <c r="P6" s="367" t="s">
        <v>255</v>
      </c>
      <c r="Q6" s="368">
        <v>2016</v>
      </c>
    </row>
    <row r="7" spans="1:20" s="362" customFormat="1" ht="19.5" customHeight="1" thickBot="1" x14ac:dyDescent="0.25">
      <c r="A7" s="369"/>
      <c r="B7" s="672">
        <v>2017</v>
      </c>
      <c r="C7" s="1608"/>
      <c r="D7" s="370"/>
      <c r="E7" s="371" t="s">
        <v>209</v>
      </c>
      <c r="F7" s="371"/>
      <c r="G7" s="1599"/>
      <c r="H7" s="371" t="s">
        <v>208</v>
      </c>
      <c r="I7" s="1599"/>
      <c r="J7" s="1602"/>
      <c r="K7" s="372"/>
      <c r="L7" s="373"/>
      <c r="M7" s="667"/>
      <c r="N7" s="374"/>
      <c r="O7" s="350"/>
      <c r="P7" s="375"/>
      <c r="Q7" s="376"/>
    </row>
    <row r="8" spans="1:20" ht="12" customHeight="1" x14ac:dyDescent="0.2">
      <c r="A8" s="377"/>
      <c r="B8" s="673">
        <v>1</v>
      </c>
      <c r="C8" s="378">
        <v>2</v>
      </c>
      <c r="D8" s="378" t="s">
        <v>322</v>
      </c>
      <c r="E8" s="379">
        <v>4</v>
      </c>
      <c r="F8" s="379">
        <v>5</v>
      </c>
      <c r="G8" s="379">
        <v>6</v>
      </c>
      <c r="H8" s="379">
        <v>7</v>
      </c>
      <c r="I8" s="1398">
        <v>8</v>
      </c>
      <c r="J8" s="1399" t="s">
        <v>647</v>
      </c>
      <c r="K8" s="380" t="s">
        <v>646</v>
      </c>
      <c r="L8" s="381">
        <v>11</v>
      </c>
      <c r="M8" s="668" t="s">
        <v>650</v>
      </c>
      <c r="N8" s="665">
        <v>12</v>
      </c>
      <c r="P8" s="382"/>
      <c r="Q8" s="383"/>
    </row>
    <row r="9" spans="1:20" ht="12.75" customHeight="1" thickBot="1" x14ac:dyDescent="0.25">
      <c r="A9" s="384"/>
      <c r="B9" s="674"/>
      <c r="C9" s="385"/>
      <c r="D9" s="385"/>
      <c r="E9" s="386"/>
      <c r="F9" s="386"/>
      <c r="G9" s="386"/>
      <c r="H9" s="386"/>
      <c r="I9" s="387"/>
      <c r="J9" s="666"/>
      <c r="K9" s="387"/>
      <c r="L9" s="388"/>
      <c r="M9" s="669"/>
      <c r="N9" s="389"/>
      <c r="P9" s="382"/>
      <c r="Q9" s="383"/>
    </row>
    <row r="10" spans="1:20" ht="12.75" customHeight="1" x14ac:dyDescent="0.2">
      <c r="A10" s="377" t="s">
        <v>7</v>
      </c>
      <c r="B10" s="675">
        <v>318062.92799555487</v>
      </c>
      <c r="C10" s="390">
        <v>-2225.6795999999995</v>
      </c>
      <c r="D10" s="390">
        <f>B10+C10</f>
        <v>315837.2483955549</v>
      </c>
      <c r="E10" s="391">
        <v>510420.61276981328</v>
      </c>
      <c r="F10" s="392">
        <f>E10/$E$27</f>
        <v>0.16934772138668053</v>
      </c>
      <c r="G10" s="391">
        <f>F10*'str4'!$I$51</f>
        <v>85245.070557577536</v>
      </c>
      <c r="H10" s="392">
        <f>IF(E10=0,0,G10/E10)</f>
        <v>0.16700945930649727</v>
      </c>
      <c r="I10" s="391">
        <v>427.58138046642659</v>
      </c>
      <c r="J10" s="1081">
        <f>G10+I10</f>
        <v>85672.651938043957</v>
      </c>
      <c r="K10" s="1500">
        <f>D10-J10</f>
        <v>230164.59645751095</v>
      </c>
      <c r="L10" s="1501">
        <v>-7543.1314439263342</v>
      </c>
      <c r="M10" s="670">
        <f>K10+L10</f>
        <v>222621.46501358462</v>
      </c>
      <c r="N10" s="1080">
        <f>ROUND(M10,1)</f>
        <v>222621.5</v>
      </c>
      <c r="P10" s="393" t="s">
        <v>401</v>
      </c>
      <c r="Q10" s="394">
        <f>'příl.1 - cp 2017'!J7</f>
        <v>88000</v>
      </c>
      <c r="S10" s="436">
        <v>-1</v>
      </c>
      <c r="T10" s="678"/>
    </row>
    <row r="11" spans="1:20" ht="12.75" customHeight="1" x14ac:dyDescent="0.2">
      <c r="A11" s="395" t="s">
        <v>8</v>
      </c>
      <c r="B11" s="675">
        <v>337434.38208496803</v>
      </c>
      <c r="C11" s="396">
        <v>5063.1508640000011</v>
      </c>
      <c r="D11" s="396">
        <f t="shared" ref="D11:D26" si="0">B11+C11</f>
        <v>342497.53294896806</v>
      </c>
      <c r="E11" s="397">
        <v>450038.96255607664</v>
      </c>
      <c r="F11" s="398">
        <f t="shared" ref="F11:F26" si="1">E11/$E$27</f>
        <v>0.14931425365156126</v>
      </c>
      <c r="G11" s="397">
        <f>F11*'str4'!$I$51</f>
        <v>75160.763803347349</v>
      </c>
      <c r="H11" s="398">
        <f t="shared" ref="H11:H26" si="2">IF(E11=0,0,G11/E11)</f>
        <v>0.1670094593064973</v>
      </c>
      <c r="I11" s="397">
        <v>1095.348688482132</v>
      </c>
      <c r="J11" s="1082">
        <f t="shared" ref="J11:J26" si="3">G11+I11</f>
        <v>76256.112491829481</v>
      </c>
      <c r="K11" s="1502">
        <f t="shared" ref="K11:K26" si="4">D11-J11</f>
        <v>266241.42045713856</v>
      </c>
      <c r="L11" s="1503">
        <v>-8775.6871918071738</v>
      </c>
      <c r="M11" s="670">
        <f>K11+L11</f>
        <v>257465.73326533139</v>
      </c>
      <c r="N11" s="1080">
        <f t="shared" ref="N11:N26" si="5">ROUND(M11,1)</f>
        <v>257465.7</v>
      </c>
      <c r="P11" s="400" t="s">
        <v>265</v>
      </c>
      <c r="Q11" s="401">
        <f>'příl.1 - cp 2017'!J13</f>
        <v>3332</v>
      </c>
      <c r="S11" s="436"/>
      <c r="T11" s="678"/>
    </row>
    <row r="12" spans="1:20" ht="12.75" customHeight="1" x14ac:dyDescent="0.2">
      <c r="A12" s="395" t="s">
        <v>9</v>
      </c>
      <c r="B12" s="675">
        <v>118604.97025959528</v>
      </c>
      <c r="C12" s="396">
        <v>1354.8149000000008</v>
      </c>
      <c r="D12" s="396">
        <f>B12+C12</f>
        <v>119959.78515959528</v>
      </c>
      <c r="E12" s="397">
        <v>153392.00921999998</v>
      </c>
      <c r="F12" s="398">
        <f t="shared" si="1"/>
        <v>5.0892512156530928E-2</v>
      </c>
      <c r="G12" s="397">
        <f>F12*'str4'!$I$51</f>
        <v>25617.916521769443</v>
      </c>
      <c r="H12" s="398">
        <f t="shared" si="2"/>
        <v>0.16700945930649727</v>
      </c>
      <c r="I12" s="397">
        <v>440.89001117278741</v>
      </c>
      <c r="J12" s="1082">
        <f t="shared" si="3"/>
        <v>26058.806532942232</v>
      </c>
      <c r="K12" s="1502">
        <f t="shared" si="4"/>
        <v>93900.978626653057</v>
      </c>
      <c r="L12" s="1503">
        <v>-6190.4335852001641</v>
      </c>
      <c r="M12" s="670">
        <f t="shared" ref="M12:M26" si="6">K12+L12</f>
        <v>87710.54504145289</v>
      </c>
      <c r="N12" s="1080">
        <f t="shared" si="5"/>
        <v>87710.5</v>
      </c>
      <c r="P12" s="400" t="s">
        <v>184</v>
      </c>
      <c r="Q12" s="401">
        <f>'příl.1 - cp 2017'!J26</f>
        <v>0</v>
      </c>
      <c r="S12" s="436"/>
      <c r="T12" s="678"/>
    </row>
    <row r="13" spans="1:20" ht="12.75" customHeight="1" x14ac:dyDescent="0.2">
      <c r="A13" s="395" t="s">
        <v>10</v>
      </c>
      <c r="B13" s="675">
        <v>148432.25796258598</v>
      </c>
      <c r="C13" s="396">
        <v>-2340.8941399999994</v>
      </c>
      <c r="D13" s="396">
        <f t="shared" si="0"/>
        <v>146091.36382258599</v>
      </c>
      <c r="E13" s="397">
        <v>213374.08038950662</v>
      </c>
      <c r="F13" s="398">
        <f t="shared" si="1"/>
        <v>7.0793407266326533E-2</v>
      </c>
      <c r="G13" s="397">
        <f>F13*'str4'!$I$51</f>
        <v>35635.489795872585</v>
      </c>
      <c r="H13" s="398">
        <f t="shared" si="2"/>
        <v>0.16700945930649727</v>
      </c>
      <c r="I13" s="397">
        <v>383.03227452820317</v>
      </c>
      <c r="J13" s="1082">
        <f t="shared" si="3"/>
        <v>36018.522070400788</v>
      </c>
      <c r="K13" s="1502">
        <f t="shared" si="4"/>
        <v>110072.8417521852</v>
      </c>
      <c r="L13" s="1503">
        <v>-3526.4095457759249</v>
      </c>
      <c r="M13" s="670">
        <f t="shared" si="6"/>
        <v>106546.43220640927</v>
      </c>
      <c r="N13" s="1080">
        <f t="shared" si="5"/>
        <v>106546.4</v>
      </c>
      <c r="P13" s="400" t="s">
        <v>169</v>
      </c>
      <c r="Q13" s="401">
        <f>'příl.1 - cp 2017'!J27-'příl.1 - cp 2017'!J82</f>
        <v>182826</v>
      </c>
      <c r="S13" s="436"/>
      <c r="T13" s="678"/>
    </row>
    <row r="14" spans="1:20" ht="12.75" customHeight="1" x14ac:dyDescent="0.2">
      <c r="A14" s="395" t="s">
        <v>11</v>
      </c>
      <c r="B14" s="675">
        <v>367336.86496107536</v>
      </c>
      <c r="C14" s="396">
        <v>-345.25056400000176</v>
      </c>
      <c r="D14" s="396">
        <f t="shared" si="0"/>
        <v>366991.61439707538</v>
      </c>
      <c r="E14" s="397">
        <v>777122.30765733344</v>
      </c>
      <c r="F14" s="398">
        <f t="shared" si="1"/>
        <v>0.25783420329828716</v>
      </c>
      <c r="G14" s="397">
        <f>F14*'str4'!$I$51</f>
        <v>129786.7764168687</v>
      </c>
      <c r="H14" s="398">
        <f t="shared" si="2"/>
        <v>0.1670094593064973</v>
      </c>
      <c r="I14" s="397">
        <v>803.92285018446557</v>
      </c>
      <c r="J14" s="1082">
        <f t="shared" si="3"/>
        <v>130590.69926705316</v>
      </c>
      <c r="K14" s="1502">
        <f t="shared" si="4"/>
        <v>236400.91513002221</v>
      </c>
      <c r="L14" s="1503">
        <v>-5716.3071060232696</v>
      </c>
      <c r="M14" s="670">
        <f t="shared" si="6"/>
        <v>230684.60802399894</v>
      </c>
      <c r="N14" s="1080">
        <f t="shared" si="5"/>
        <v>230684.6</v>
      </c>
      <c r="P14" s="400" t="s">
        <v>33</v>
      </c>
      <c r="Q14" s="401">
        <f>'příl.1 - cp 2017'!J82</f>
        <v>19000</v>
      </c>
      <c r="S14" s="436"/>
      <c r="T14" s="678"/>
    </row>
    <row r="15" spans="1:20" ht="12.75" customHeight="1" x14ac:dyDescent="0.2">
      <c r="A15" s="395" t="s">
        <v>12</v>
      </c>
      <c r="B15" s="675">
        <v>137350.23272747075</v>
      </c>
      <c r="C15" s="396">
        <v>-6764.6902880000007</v>
      </c>
      <c r="D15" s="396">
        <f t="shared" si="0"/>
        <v>130585.54243947075</v>
      </c>
      <c r="E15" s="397">
        <v>187520.05026583336</v>
      </c>
      <c r="F15" s="398">
        <f t="shared" si="1"/>
        <v>6.2215538386095448E-2</v>
      </c>
      <c r="G15" s="397">
        <f>F15*'str4'!$I$51</f>
        <v>31317.622204024025</v>
      </c>
      <c r="H15" s="398">
        <f t="shared" si="2"/>
        <v>0.1670094593064973</v>
      </c>
      <c r="I15" s="397">
        <v>359.32950164677436</v>
      </c>
      <c r="J15" s="1082">
        <f t="shared" si="3"/>
        <v>31676.951705670799</v>
      </c>
      <c r="K15" s="1502">
        <f t="shared" si="4"/>
        <v>98908.590733799952</v>
      </c>
      <c r="L15" s="1503">
        <v>-2863.3056794192516</v>
      </c>
      <c r="M15" s="670">
        <f t="shared" si="6"/>
        <v>96045.2850543807</v>
      </c>
      <c r="N15" s="1080">
        <f t="shared" si="5"/>
        <v>96045.3</v>
      </c>
      <c r="P15" s="400" t="s">
        <v>74</v>
      </c>
      <c r="Q15" s="401">
        <f>'příl.1 - cp 2017'!J149</f>
        <v>215300</v>
      </c>
      <c r="S15" s="436"/>
      <c r="T15" s="678"/>
    </row>
    <row r="16" spans="1:20" ht="12.75" customHeight="1" x14ac:dyDescent="0.2">
      <c r="A16" s="395" t="s">
        <v>13</v>
      </c>
      <c r="B16" s="675">
        <v>188484.03419239505</v>
      </c>
      <c r="C16" s="396">
        <v>6473.7797159999973</v>
      </c>
      <c r="D16" s="396">
        <f t="shared" si="0"/>
        <v>194957.81390839504</v>
      </c>
      <c r="E16" s="397">
        <v>214354.41176228668</v>
      </c>
      <c r="F16" s="398">
        <f t="shared" si="1"/>
        <v>7.1118662320747802E-2</v>
      </c>
      <c r="G16" s="397">
        <f>F16*'str4'!$I$51</f>
        <v>35799.214408381784</v>
      </c>
      <c r="H16" s="398">
        <f t="shared" si="2"/>
        <v>0.1670094593064973</v>
      </c>
      <c r="I16" s="397">
        <v>574.88584113587922</v>
      </c>
      <c r="J16" s="1082">
        <f t="shared" si="3"/>
        <v>36374.100249517665</v>
      </c>
      <c r="K16" s="1502">
        <f t="shared" si="4"/>
        <v>158583.71365887736</v>
      </c>
      <c r="L16" s="1503">
        <v>-5642.0219164370446</v>
      </c>
      <c r="M16" s="670">
        <f t="shared" si="6"/>
        <v>152941.69174244031</v>
      </c>
      <c r="N16" s="1080">
        <f t="shared" si="5"/>
        <v>152941.70000000001</v>
      </c>
      <c r="P16" s="400"/>
      <c r="Q16" s="401"/>
      <c r="S16" s="436"/>
      <c r="T16" s="678"/>
    </row>
    <row r="17" spans="1:20" ht="12.75" customHeight="1" x14ac:dyDescent="0.2">
      <c r="A17" s="395" t="s">
        <v>14</v>
      </c>
      <c r="B17" s="675">
        <v>69178.951059964413</v>
      </c>
      <c r="C17" s="396">
        <v>-4344.9392879999996</v>
      </c>
      <c r="D17" s="396">
        <f t="shared" si="0"/>
        <v>64834.011771964411</v>
      </c>
      <c r="E17" s="397">
        <v>72664.717714049999</v>
      </c>
      <c r="F17" s="398">
        <f t="shared" si="1"/>
        <v>2.4108752785872E-2</v>
      </c>
      <c r="G17" s="397">
        <f>F17*'str4'!$I$51</f>
        <v>12135.695216082746</v>
      </c>
      <c r="H17" s="398">
        <f t="shared" si="2"/>
        <v>0.1670094593064973</v>
      </c>
      <c r="I17" s="397">
        <v>177.99343549041177</v>
      </c>
      <c r="J17" s="1082">
        <f t="shared" si="3"/>
        <v>12313.688651573158</v>
      </c>
      <c r="K17" s="1502">
        <f t="shared" si="4"/>
        <v>52520.323120391251</v>
      </c>
      <c r="L17" s="1503">
        <v>-1183.556319908628</v>
      </c>
      <c r="M17" s="670">
        <f t="shared" si="6"/>
        <v>51336.766800482626</v>
      </c>
      <c r="N17" s="1080">
        <f t="shared" si="5"/>
        <v>51336.800000000003</v>
      </c>
      <c r="P17" s="400"/>
      <c r="Q17" s="401"/>
      <c r="S17" s="436"/>
      <c r="T17" s="678"/>
    </row>
    <row r="18" spans="1:20" ht="12.75" customHeight="1" x14ac:dyDescent="0.2">
      <c r="A18" s="395" t="s">
        <v>15</v>
      </c>
      <c r="B18" s="675">
        <v>126013.24782664017</v>
      </c>
      <c r="C18" s="396">
        <v>3129.7083999999977</v>
      </c>
      <c r="D18" s="396">
        <f t="shared" si="0"/>
        <v>129142.95622664018</v>
      </c>
      <c r="E18" s="397">
        <v>146818.43546836</v>
      </c>
      <c r="F18" s="398">
        <f t="shared" si="1"/>
        <v>4.8711527085872043E-2</v>
      </c>
      <c r="G18" s="397">
        <f>F18*'str4'!$I$51</f>
        <v>24520.067523796668</v>
      </c>
      <c r="H18" s="398">
        <f t="shared" si="2"/>
        <v>0.1670094593064973</v>
      </c>
      <c r="I18" s="397">
        <v>387.11004098875804</v>
      </c>
      <c r="J18" s="1082">
        <f t="shared" si="3"/>
        <v>24907.177564785427</v>
      </c>
      <c r="K18" s="1502">
        <f t="shared" si="4"/>
        <v>104235.77866185475</v>
      </c>
      <c r="L18" s="1503">
        <v>-7559.1472115022016</v>
      </c>
      <c r="M18" s="670">
        <f t="shared" si="6"/>
        <v>96676.63145035255</v>
      </c>
      <c r="N18" s="1080">
        <f t="shared" si="5"/>
        <v>96676.6</v>
      </c>
      <c r="P18" s="402"/>
      <c r="Q18" s="403"/>
      <c r="S18" s="436"/>
      <c r="T18" s="678"/>
    </row>
    <row r="19" spans="1:20" ht="12.75" customHeight="1" x14ac:dyDescent="0.2">
      <c r="A19" s="395" t="s">
        <v>197</v>
      </c>
      <c r="B19" s="675"/>
      <c r="C19" s="396"/>
      <c r="D19" s="396">
        <f>B19+C19</f>
        <v>0</v>
      </c>
      <c r="E19" s="397"/>
      <c r="F19" s="398">
        <f t="shared" si="1"/>
        <v>0</v>
      </c>
      <c r="G19" s="397">
        <f>F19*'str4'!$I$51</f>
        <v>0</v>
      </c>
      <c r="H19" s="398">
        <f t="shared" si="2"/>
        <v>0</v>
      </c>
      <c r="I19" s="397"/>
      <c r="J19" s="1082">
        <f t="shared" si="3"/>
        <v>0</v>
      </c>
      <c r="K19" s="397">
        <f t="shared" si="4"/>
        <v>0</v>
      </c>
      <c r="L19" s="794">
        <f>17000</f>
        <v>17000</v>
      </c>
      <c r="M19" s="670">
        <f t="shared" si="6"/>
        <v>17000</v>
      </c>
      <c r="N19" s="1080">
        <f t="shared" si="5"/>
        <v>17000</v>
      </c>
      <c r="P19" s="404"/>
      <c r="Q19" s="405"/>
      <c r="S19" s="436"/>
    </row>
    <row r="20" spans="1:20" ht="12.75" customHeight="1" thickBot="1" x14ac:dyDescent="0.25">
      <c r="A20" s="395" t="s">
        <v>24</v>
      </c>
      <c r="B20" s="675"/>
      <c r="C20" s="396"/>
      <c r="D20" s="396">
        <f t="shared" si="0"/>
        <v>0</v>
      </c>
      <c r="E20" s="397"/>
      <c r="F20" s="398">
        <f t="shared" si="1"/>
        <v>0</v>
      </c>
      <c r="G20" s="397">
        <f>F20*'str4'!$I$51</f>
        <v>0</v>
      </c>
      <c r="H20" s="398">
        <f t="shared" si="2"/>
        <v>0</v>
      </c>
      <c r="I20" s="397"/>
      <c r="J20" s="1082">
        <f t="shared" si="3"/>
        <v>0</v>
      </c>
      <c r="K20" s="397">
        <f t="shared" si="4"/>
        <v>0</v>
      </c>
      <c r="L20" s="794">
        <v>32000</v>
      </c>
      <c r="M20" s="670">
        <f t="shared" si="6"/>
        <v>32000</v>
      </c>
      <c r="N20" s="1080">
        <f t="shared" si="5"/>
        <v>32000</v>
      </c>
      <c r="P20" s="406" t="s">
        <v>256</v>
      </c>
      <c r="Q20" s="772">
        <f>SUM(Q10:Q18)</f>
        <v>508458</v>
      </c>
    </row>
    <row r="21" spans="1:20" ht="12.75" customHeight="1" x14ac:dyDescent="0.2">
      <c r="A21" s="408" t="s">
        <v>229</v>
      </c>
      <c r="B21" s="675">
        <v>27832.061239728337</v>
      </c>
      <c r="C21" s="396"/>
      <c r="D21" s="396">
        <f t="shared" si="0"/>
        <v>27832.061239728337</v>
      </c>
      <c r="E21" s="397">
        <v>249646.6040433333</v>
      </c>
      <c r="F21" s="398">
        <f t="shared" si="1"/>
        <v>8.2827931492114829E-2</v>
      </c>
      <c r="G21" s="397">
        <f>F21*'str4'!$I$51</f>
        <v>41693.344358980321</v>
      </c>
      <c r="H21" s="398">
        <f t="shared" si="2"/>
        <v>0.16700945930649733</v>
      </c>
      <c r="I21" s="397">
        <v>226.73664747264584</v>
      </c>
      <c r="J21" s="1082">
        <f t="shared" si="3"/>
        <v>41920.081006452965</v>
      </c>
      <c r="K21" s="397">
        <f t="shared" si="4"/>
        <v>-14088.019766724628</v>
      </c>
      <c r="L21" s="399"/>
      <c r="M21" s="698">
        <f t="shared" si="6"/>
        <v>-14088.019766724628</v>
      </c>
      <c r="N21" s="1403">
        <f t="shared" si="5"/>
        <v>-14088</v>
      </c>
      <c r="P21" s="410"/>
      <c r="Q21" s="411"/>
    </row>
    <row r="22" spans="1:20" ht="12.75" customHeight="1" x14ac:dyDescent="0.2">
      <c r="A22" s="412" t="s">
        <v>105</v>
      </c>
      <c r="B22" s="675">
        <v>2207.8590963653292</v>
      </c>
      <c r="C22" s="396"/>
      <c r="D22" s="396">
        <f t="shared" si="0"/>
        <v>2207.8590963653292</v>
      </c>
      <c r="E22" s="409">
        <v>17341.431669999998</v>
      </c>
      <c r="F22" s="398">
        <f t="shared" si="1"/>
        <v>5.753552786516695E-3</v>
      </c>
      <c r="G22" s="409">
        <f>F22*'str4'!$I$51</f>
        <v>2896.1831268072683</v>
      </c>
      <c r="H22" s="398">
        <f t="shared" si="2"/>
        <v>0.1670094593064973</v>
      </c>
      <c r="I22" s="409">
        <v>44.911801715919289</v>
      </c>
      <c r="J22" s="1082">
        <f t="shared" si="3"/>
        <v>2941.0949285231877</v>
      </c>
      <c r="K22" s="409">
        <f t="shared" si="4"/>
        <v>-733.23583215785857</v>
      </c>
      <c r="L22" s="399"/>
      <c r="M22" s="698">
        <f t="shared" si="6"/>
        <v>-733.23583215785857</v>
      </c>
      <c r="N22" s="1403">
        <f t="shared" si="5"/>
        <v>-733.2</v>
      </c>
      <c r="P22" s="410"/>
      <c r="Q22" s="411"/>
    </row>
    <row r="23" spans="1:20" ht="12.75" customHeight="1" x14ac:dyDescent="0.2">
      <c r="A23" s="412" t="s">
        <v>134</v>
      </c>
      <c r="B23" s="675"/>
      <c r="C23" s="396"/>
      <c r="D23" s="396">
        <f t="shared" si="0"/>
        <v>0</v>
      </c>
      <c r="E23" s="409">
        <v>269.14286333333337</v>
      </c>
      <c r="F23" s="398">
        <f t="shared" si="1"/>
        <v>8.9296414550447687E-5</v>
      </c>
      <c r="G23" s="409">
        <f>F23*'str4'!$I$51</f>
        <v>44.9494040815025</v>
      </c>
      <c r="H23" s="398">
        <f t="shared" si="2"/>
        <v>0.1670094593064973</v>
      </c>
      <c r="I23" s="409">
        <v>8.0854304206912442</v>
      </c>
      <c r="J23" s="1082">
        <f t="shared" si="3"/>
        <v>53.034834502193746</v>
      </c>
      <c r="K23" s="409">
        <f t="shared" si="4"/>
        <v>-53.034834502193746</v>
      </c>
      <c r="L23" s="399"/>
      <c r="M23" s="698">
        <f t="shared" si="6"/>
        <v>-53.034834502193746</v>
      </c>
      <c r="N23" s="1403">
        <f t="shared" si="5"/>
        <v>-53</v>
      </c>
      <c r="P23" s="410"/>
      <c r="Q23" s="411"/>
    </row>
    <row r="24" spans="1:20" ht="12.75" customHeight="1" x14ac:dyDescent="0.2">
      <c r="A24" s="412" t="s">
        <v>17</v>
      </c>
      <c r="B24" s="675">
        <v>1669.9796230085244</v>
      </c>
      <c r="C24" s="396"/>
      <c r="D24" s="396">
        <f t="shared" si="0"/>
        <v>1669.9796230085244</v>
      </c>
      <c r="E24" s="409">
        <v>21076.091599999992</v>
      </c>
      <c r="F24" s="398">
        <f t="shared" si="1"/>
        <v>6.992640968844591E-3</v>
      </c>
      <c r="G24" s="409">
        <f>F24*'str4'!$I$51</f>
        <v>3519.9066624102084</v>
      </c>
      <c r="H24" s="398">
        <f t="shared" si="2"/>
        <v>0.1670094593064973</v>
      </c>
      <c r="I24" s="409">
        <v>112.80395714481654</v>
      </c>
      <c r="J24" s="1082">
        <f t="shared" si="3"/>
        <v>3632.710619555025</v>
      </c>
      <c r="K24" s="409">
        <f t="shared" si="4"/>
        <v>-1962.7309965465006</v>
      </c>
      <c r="L24" s="399"/>
      <c r="M24" s="698">
        <f t="shared" si="6"/>
        <v>-1962.7309965465006</v>
      </c>
      <c r="N24" s="1403">
        <f t="shared" si="5"/>
        <v>-1962.7</v>
      </c>
      <c r="P24" s="410"/>
      <c r="Q24" s="411"/>
    </row>
    <row r="25" spans="1:20" ht="12.75" customHeight="1" x14ac:dyDescent="0.2">
      <c r="A25" s="413" t="s">
        <v>218</v>
      </c>
      <c r="B25" s="675"/>
      <c r="C25" s="396"/>
      <c r="D25" s="396">
        <f t="shared" si="0"/>
        <v>0</v>
      </c>
      <c r="E25" s="409"/>
      <c r="F25" s="398">
        <f t="shared" si="1"/>
        <v>0</v>
      </c>
      <c r="G25" s="409">
        <f>F25*'str4'!$I$51</f>
        <v>0</v>
      </c>
      <c r="H25" s="398">
        <f t="shared" si="2"/>
        <v>0</v>
      </c>
      <c r="I25" s="409">
        <v>24.569857803452045</v>
      </c>
      <c r="J25" s="1082">
        <f t="shared" si="3"/>
        <v>24.569857803452045</v>
      </c>
      <c r="K25" s="409">
        <f t="shared" si="4"/>
        <v>-24.569857803452045</v>
      </c>
      <c r="L25" s="399"/>
      <c r="M25" s="698">
        <f t="shared" si="6"/>
        <v>-24.569857803452045</v>
      </c>
      <c r="N25" s="1403">
        <f t="shared" si="5"/>
        <v>-24.6</v>
      </c>
      <c r="P25" s="410"/>
      <c r="Q25" s="411"/>
    </row>
    <row r="26" spans="1:20" ht="12.75" customHeight="1" x14ac:dyDescent="0.2">
      <c r="A26" s="413" t="s">
        <v>222</v>
      </c>
      <c r="B26" s="675"/>
      <c r="C26" s="396"/>
      <c r="D26" s="396">
        <f t="shared" si="0"/>
        <v>0</v>
      </c>
      <c r="E26" s="409"/>
      <c r="F26" s="398">
        <f t="shared" si="1"/>
        <v>0</v>
      </c>
      <c r="G26" s="409">
        <f>F26*'str4'!$I$51</f>
        <v>0</v>
      </c>
      <c r="H26" s="398">
        <f t="shared" si="2"/>
        <v>0</v>
      </c>
      <c r="I26" s="409">
        <v>17.373281346636034</v>
      </c>
      <c r="J26" s="1083">
        <f t="shared" si="3"/>
        <v>17.373281346636034</v>
      </c>
      <c r="K26" s="409">
        <f t="shared" si="4"/>
        <v>-17.373281346636034</v>
      </c>
      <c r="L26" s="399"/>
      <c r="M26" s="698">
        <f t="shared" si="6"/>
        <v>-17.373281346636034</v>
      </c>
      <c r="N26" s="1403">
        <f t="shared" si="5"/>
        <v>-17.399999999999999</v>
      </c>
      <c r="P26" s="414"/>
      <c r="Q26" s="411"/>
    </row>
    <row r="27" spans="1:20" ht="12.75" customHeight="1" thickBot="1" x14ac:dyDescent="0.25">
      <c r="A27" s="415" t="s">
        <v>201</v>
      </c>
      <c r="B27" s="676">
        <f t="shared" ref="B27:G27" si="7">SUM(B10:B26)</f>
        <v>1842607.7690293523</v>
      </c>
      <c r="C27" s="416">
        <f t="shared" si="7"/>
        <v>-3.637978807091713E-12</v>
      </c>
      <c r="D27" s="416">
        <f t="shared" si="7"/>
        <v>1842607.7690293521</v>
      </c>
      <c r="E27" s="417">
        <f t="shared" si="7"/>
        <v>3014038.8579799258</v>
      </c>
      <c r="F27" s="418">
        <f t="shared" si="7"/>
        <v>1.0000000000000002</v>
      </c>
      <c r="G27" s="416">
        <f t="shared" si="7"/>
        <v>503373.00000000012</v>
      </c>
      <c r="H27" s="418">
        <f>IF(E27=0,0,G27/E27)</f>
        <v>0.16700945930649733</v>
      </c>
      <c r="I27" s="416">
        <f t="shared" ref="I27:N27" si="8">SUM(I10:I26)</f>
        <v>5084.574999999998</v>
      </c>
      <c r="J27" s="1402">
        <f t="shared" si="8"/>
        <v>508457.57500000007</v>
      </c>
      <c r="K27" s="416">
        <f t="shared" si="8"/>
        <v>1334150.1940293519</v>
      </c>
      <c r="L27" s="419">
        <f t="shared" si="8"/>
        <v>0</v>
      </c>
      <c r="M27" s="699">
        <f t="shared" si="8"/>
        <v>1334150.1940293517</v>
      </c>
      <c r="N27" s="697">
        <f t="shared" si="8"/>
        <v>1334150.2000000002</v>
      </c>
      <c r="P27" s="420"/>
      <c r="Q27" s="421"/>
      <c r="R27" s="421"/>
      <c r="S27" s="436"/>
    </row>
    <row r="28" spans="1:20" ht="12" customHeight="1" x14ac:dyDescent="0.2">
      <c r="A28" s="422" t="s">
        <v>277</v>
      </c>
      <c r="B28" s="421"/>
      <c r="C28" s="421"/>
      <c r="D28" s="421"/>
      <c r="E28" s="421"/>
      <c r="F28" s="421"/>
      <c r="G28" s="423"/>
      <c r="H28" s="421"/>
      <c r="I28" s="421"/>
      <c r="J28" s="421"/>
      <c r="K28" s="1542"/>
      <c r="L28" s="421"/>
      <c r="M28" s="60"/>
      <c r="N28" s="677"/>
      <c r="P28" s="421"/>
    </row>
    <row r="29" spans="1:20" ht="12.75" customHeight="1" x14ac:dyDescent="0.2">
      <c r="A29" s="422"/>
      <c r="B29" s="421"/>
      <c r="C29" s="421"/>
      <c r="D29" s="421"/>
      <c r="E29" s="421"/>
      <c r="F29" s="421"/>
      <c r="G29" s="423"/>
      <c r="M29" s="678"/>
      <c r="N29" s="436"/>
      <c r="P29" s="421"/>
    </row>
    <row r="30" spans="1:20" ht="12.75" customHeight="1" x14ac:dyDescent="0.2">
      <c r="A30" s="60"/>
      <c r="B30" s="60"/>
      <c r="C30" s="60"/>
      <c r="D30" s="60"/>
      <c r="E30" s="60"/>
      <c r="F30" s="60"/>
      <c r="G30" s="60"/>
      <c r="K30" s="436"/>
      <c r="N30" s="678"/>
      <c r="P30" s="421"/>
    </row>
    <row r="31" spans="1:20" ht="12" thickBot="1" x14ac:dyDescent="0.25">
      <c r="A31" s="60" t="s">
        <v>257</v>
      </c>
      <c r="B31" s="60"/>
      <c r="C31" s="60"/>
      <c r="D31" s="423"/>
      <c r="E31" s="423"/>
      <c r="F31" s="60"/>
      <c r="G31" s="60"/>
      <c r="H31" s="60"/>
      <c r="I31" s="60"/>
      <c r="J31" s="60"/>
      <c r="K31" s="423"/>
      <c r="L31" s="423"/>
      <c r="M31" s="423"/>
      <c r="N31" s="423"/>
      <c r="P31" s="421"/>
    </row>
    <row r="32" spans="1:20" ht="12.75" customHeight="1" x14ac:dyDescent="0.2">
      <c r="A32" s="424">
        <v>1</v>
      </c>
      <c r="B32" s="1604" t="s">
        <v>0</v>
      </c>
      <c r="C32" s="1604"/>
      <c r="D32" s="1604"/>
      <c r="E32" s="1604"/>
      <c r="F32" s="1604"/>
      <c r="G32" s="425">
        <f>'str1'!F7</f>
        <v>1842607.76902935</v>
      </c>
      <c r="H32" s="60"/>
      <c r="I32" s="60"/>
      <c r="J32" s="60"/>
      <c r="K32" s="60"/>
      <c r="L32" s="60"/>
      <c r="M32" s="60"/>
      <c r="N32" s="60"/>
      <c r="P32" s="421"/>
      <c r="Q32" s="421"/>
      <c r="R32" s="421"/>
    </row>
    <row r="33" spans="1:18" ht="13.5" customHeight="1" x14ac:dyDescent="0.2">
      <c r="A33" s="426">
        <v>2</v>
      </c>
      <c r="B33" s="1605" t="s">
        <v>400</v>
      </c>
      <c r="C33" s="1605"/>
      <c r="D33" s="1605"/>
      <c r="E33" s="1605"/>
      <c r="F33" s="1605"/>
      <c r="G33" s="191">
        <f>'příl.1 - cp 2017'!J7</f>
        <v>88000</v>
      </c>
      <c r="H33" s="60"/>
      <c r="I33" s="60"/>
      <c r="J33" s="60"/>
      <c r="K33" s="60"/>
      <c r="L33" s="60"/>
      <c r="M33" s="60"/>
      <c r="N33" s="60"/>
      <c r="O33" s="60"/>
      <c r="P33" s="421"/>
      <c r="Q33" s="421"/>
      <c r="R33" s="421"/>
    </row>
    <row r="34" spans="1:18" x14ac:dyDescent="0.2">
      <c r="A34" s="426">
        <v>3</v>
      </c>
      <c r="B34" s="1605" t="s">
        <v>231</v>
      </c>
      <c r="C34" s="1605"/>
      <c r="D34" s="1605"/>
      <c r="E34" s="1605"/>
      <c r="F34" s="1605"/>
      <c r="G34" s="191">
        <f>G32-G33</f>
        <v>1754607.76902935</v>
      </c>
      <c r="H34" s="60"/>
      <c r="I34" s="60"/>
      <c r="J34" s="60"/>
      <c r="K34" s="60"/>
      <c r="L34" s="60"/>
      <c r="M34" s="60"/>
      <c r="N34" s="60"/>
      <c r="O34" s="60"/>
      <c r="P34" s="421"/>
      <c r="Q34" s="421"/>
      <c r="R34" s="421"/>
    </row>
    <row r="35" spans="1:18" x14ac:dyDescent="0.2">
      <c r="A35" s="426">
        <v>4</v>
      </c>
      <c r="B35" s="1605" t="s">
        <v>260</v>
      </c>
      <c r="C35" s="1605"/>
      <c r="D35" s="1605"/>
      <c r="E35" s="1605"/>
      <c r="F35" s="1605"/>
      <c r="G35" s="696">
        <f>SUM(N10:N20)</f>
        <v>1351029.1</v>
      </c>
      <c r="H35" s="60"/>
      <c r="I35" s="60"/>
      <c r="J35" s="60"/>
      <c r="K35" s="60"/>
      <c r="L35" s="60"/>
      <c r="M35" s="60"/>
      <c r="N35" s="60"/>
      <c r="O35" s="60"/>
      <c r="P35" s="421"/>
      <c r="Q35" s="421"/>
      <c r="R35" s="421"/>
    </row>
    <row r="36" spans="1:18" x14ac:dyDescent="0.2">
      <c r="A36" s="426">
        <v>5</v>
      </c>
      <c r="B36" s="1605" t="s">
        <v>259</v>
      </c>
      <c r="C36" s="1605"/>
      <c r="D36" s="1605"/>
      <c r="E36" s="1605"/>
      <c r="F36" s="1605"/>
      <c r="G36" s="427">
        <f>G34-G35</f>
        <v>403578.66902934993</v>
      </c>
      <c r="H36" s="60"/>
      <c r="I36" s="60"/>
      <c r="J36" s="60"/>
      <c r="K36" s="60"/>
      <c r="L36" s="60"/>
      <c r="M36" s="60"/>
      <c r="N36" s="60"/>
      <c r="O36" s="60"/>
      <c r="P36" s="421"/>
      <c r="Q36" s="421"/>
      <c r="R36" s="421"/>
    </row>
    <row r="37" spans="1:18" x14ac:dyDescent="0.2">
      <c r="A37" s="426">
        <v>6</v>
      </c>
      <c r="B37" s="1605" t="s">
        <v>652</v>
      </c>
      <c r="C37" s="1605"/>
      <c r="D37" s="1605"/>
      <c r="E37" s="1605"/>
      <c r="F37" s="1605"/>
      <c r="G37" s="191">
        <f>J27-G33</f>
        <v>420457.57500000007</v>
      </c>
      <c r="H37" s="60"/>
      <c r="I37" s="60"/>
      <c r="J37" s="60"/>
      <c r="K37" s="60"/>
      <c r="L37" s="60"/>
      <c r="M37" s="60"/>
      <c r="N37" s="60"/>
      <c r="O37" s="60"/>
      <c r="P37" s="421"/>
      <c r="Q37" s="421"/>
      <c r="R37" s="421"/>
    </row>
    <row r="38" spans="1:18" x14ac:dyDescent="0.2">
      <c r="A38" s="426">
        <v>7</v>
      </c>
      <c r="B38" s="1605" t="s">
        <v>261</v>
      </c>
      <c r="C38" s="1605"/>
      <c r="D38" s="1605"/>
      <c r="E38" s="1605"/>
      <c r="F38" s="1605"/>
      <c r="G38" s="191">
        <f>G36-G37</f>
        <v>-16878.905970650143</v>
      </c>
      <c r="H38" s="60"/>
      <c r="I38" s="60"/>
      <c r="J38" s="60"/>
      <c r="K38" s="60"/>
      <c r="L38" s="60"/>
      <c r="M38" s="60"/>
      <c r="N38" s="60"/>
      <c r="O38" s="60"/>
      <c r="P38" s="421"/>
      <c r="Q38" s="421"/>
      <c r="R38" s="421"/>
    </row>
    <row r="39" spans="1:18" x14ac:dyDescent="0.2">
      <c r="A39" s="426">
        <v>8</v>
      </c>
      <c r="B39" s="1605" t="s">
        <v>258</v>
      </c>
      <c r="C39" s="1605"/>
      <c r="D39" s="1605"/>
      <c r="E39" s="1605"/>
      <c r="F39" s="1605"/>
      <c r="G39" s="191">
        <f>'příl.1 - cp 2017'!J161</f>
        <v>94370</v>
      </c>
      <c r="H39" s="60"/>
      <c r="I39" s="60"/>
      <c r="J39" s="60"/>
      <c r="K39" s="60"/>
      <c r="L39" s="60"/>
      <c r="M39" s="60"/>
      <c r="N39" s="60"/>
      <c r="O39" s="60"/>
      <c r="P39" s="421"/>
      <c r="Q39" s="421"/>
      <c r="R39" s="421"/>
    </row>
    <row r="40" spans="1:18" x14ac:dyDescent="0.2">
      <c r="A40" s="426">
        <v>9</v>
      </c>
      <c r="B40" s="1605" t="s">
        <v>565</v>
      </c>
      <c r="C40" s="1605"/>
      <c r="D40" s="1605"/>
      <c r="E40" s="1605"/>
      <c r="F40" s="1605"/>
      <c r="G40" s="191">
        <f>G39+G38</f>
        <v>77491.094029349857</v>
      </c>
      <c r="H40" s="60"/>
      <c r="I40" s="60"/>
      <c r="J40" s="60"/>
      <c r="K40" s="60"/>
      <c r="L40" s="60"/>
      <c r="M40" s="60"/>
      <c r="N40" s="60"/>
      <c r="O40" s="60"/>
      <c r="P40" s="421"/>
      <c r="Q40" s="421"/>
      <c r="R40" s="421"/>
    </row>
    <row r="41" spans="1:18" ht="12" thickBot="1" x14ac:dyDescent="0.25">
      <c r="A41" s="428">
        <v>10</v>
      </c>
      <c r="B41" s="1603" t="s">
        <v>262</v>
      </c>
      <c r="C41" s="1603"/>
      <c r="D41" s="1603"/>
      <c r="E41" s="1603"/>
      <c r="F41" s="1603"/>
      <c r="G41" s="429">
        <f>-G38</f>
        <v>16878.905970650143</v>
      </c>
      <c r="H41" s="423"/>
      <c r="I41" s="423"/>
      <c r="J41" s="423"/>
      <c r="K41" s="60"/>
      <c r="L41" s="60"/>
      <c r="M41" s="60"/>
      <c r="N41" s="60"/>
      <c r="O41" s="60"/>
      <c r="P41" s="421"/>
      <c r="Q41" s="421"/>
      <c r="R41" s="421"/>
    </row>
    <row r="42" spans="1:18" x14ac:dyDescent="0.2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421"/>
      <c r="Q42" s="421"/>
      <c r="R42" s="421"/>
    </row>
    <row r="43" spans="1:18" x14ac:dyDescent="0.2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1:18" x14ac:dyDescent="0.2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1:18" x14ac:dyDescent="0.2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53" spans="1:15" x14ac:dyDescent="0.2">
      <c r="E53" s="430"/>
    </row>
    <row r="54" spans="1:15" x14ac:dyDescent="0.2">
      <c r="E54" s="430"/>
    </row>
    <row r="55" spans="1:15" x14ac:dyDescent="0.2">
      <c r="E55" s="430"/>
    </row>
    <row r="56" spans="1:15" x14ac:dyDescent="0.2">
      <c r="E56" s="430"/>
    </row>
    <row r="57" spans="1:15" x14ac:dyDescent="0.2">
      <c r="E57" s="430"/>
    </row>
    <row r="58" spans="1:15" ht="15.75" x14ac:dyDescent="0.25">
      <c r="A58" s="431"/>
      <c r="B58" s="431"/>
      <c r="C58" s="346"/>
      <c r="D58" s="346"/>
      <c r="E58" s="347"/>
      <c r="F58" s="346"/>
      <c r="G58" s="346"/>
      <c r="H58" s="346"/>
      <c r="I58" s="346"/>
      <c r="J58" s="346"/>
      <c r="K58" s="346"/>
      <c r="L58" s="346"/>
      <c r="M58" s="346"/>
      <c r="N58" s="346"/>
      <c r="O58" s="346"/>
    </row>
    <row r="59" spans="1:15" x14ac:dyDescent="0.2">
      <c r="E59" s="430"/>
    </row>
    <row r="60" spans="1:15" x14ac:dyDescent="0.2">
      <c r="E60" s="430"/>
    </row>
    <row r="61" spans="1:15" x14ac:dyDescent="0.2">
      <c r="E61" s="430"/>
    </row>
    <row r="62" spans="1:15" x14ac:dyDescent="0.2">
      <c r="E62" s="430"/>
    </row>
    <row r="63" spans="1:15" x14ac:dyDescent="0.2">
      <c r="E63" s="430"/>
    </row>
    <row r="64" spans="1:15" x14ac:dyDescent="0.2">
      <c r="E64" s="430"/>
    </row>
    <row r="65" spans="1:5" x14ac:dyDescent="0.2">
      <c r="E65" s="430"/>
    </row>
    <row r="66" spans="1:5" x14ac:dyDescent="0.2">
      <c r="E66" s="430"/>
    </row>
    <row r="67" spans="1:5" x14ac:dyDescent="0.2">
      <c r="E67" s="430"/>
    </row>
    <row r="68" spans="1:5" x14ac:dyDescent="0.2">
      <c r="E68" s="430"/>
    </row>
    <row r="69" spans="1:5" x14ac:dyDescent="0.2">
      <c r="E69" s="430"/>
    </row>
    <row r="70" spans="1:5" x14ac:dyDescent="0.2">
      <c r="E70" s="430"/>
    </row>
    <row r="71" spans="1:5" x14ac:dyDescent="0.2">
      <c r="E71" s="430"/>
    </row>
    <row r="72" spans="1:5" x14ac:dyDescent="0.2">
      <c r="E72" s="430"/>
    </row>
    <row r="73" spans="1:5" x14ac:dyDescent="0.2">
      <c r="E73" s="430"/>
    </row>
    <row r="74" spans="1:5" x14ac:dyDescent="0.2">
      <c r="E74" s="430"/>
    </row>
    <row r="75" spans="1:5" x14ac:dyDescent="0.2">
      <c r="E75" s="430"/>
    </row>
    <row r="76" spans="1:5" x14ac:dyDescent="0.2">
      <c r="E76" s="430"/>
    </row>
    <row r="77" spans="1:5" x14ac:dyDescent="0.2">
      <c r="E77" s="430"/>
    </row>
    <row r="78" spans="1:5" x14ac:dyDescent="0.2">
      <c r="E78" s="430"/>
    </row>
    <row r="79" spans="1:5" ht="12.75" x14ac:dyDescent="0.2">
      <c r="A79" s="366"/>
      <c r="B79" s="366"/>
      <c r="C79" s="432"/>
      <c r="D79" s="432"/>
      <c r="E79" s="430"/>
    </row>
    <row r="80" spans="1:5" x14ac:dyDescent="0.2">
      <c r="A80" s="348"/>
      <c r="B80" s="348"/>
      <c r="C80" s="433"/>
      <c r="D80" s="433"/>
      <c r="E80" s="430"/>
    </row>
    <row r="81" spans="1:15" x14ac:dyDescent="0.2">
      <c r="A81" s="348"/>
      <c r="B81" s="348"/>
      <c r="C81" s="433"/>
      <c r="E81" s="430"/>
    </row>
    <row r="82" spans="1:15" x14ac:dyDescent="0.2">
      <c r="A82" s="432"/>
      <c r="B82" s="432"/>
      <c r="C82" s="433"/>
      <c r="E82" s="430"/>
    </row>
    <row r="83" spans="1:15" x14ac:dyDescent="0.2">
      <c r="A83" s="434"/>
      <c r="B83" s="434"/>
      <c r="C83" s="435"/>
      <c r="D83" s="435"/>
      <c r="E83" s="430"/>
      <c r="K83" s="436"/>
      <c r="L83" s="436"/>
      <c r="M83" s="436"/>
      <c r="N83" s="436"/>
      <c r="O83" s="436"/>
    </row>
    <row r="84" spans="1:15" x14ac:dyDescent="0.2">
      <c r="A84" s="434"/>
      <c r="B84" s="434"/>
      <c r="C84" s="435"/>
      <c r="D84" s="435"/>
      <c r="E84" s="430"/>
      <c r="K84" s="436"/>
      <c r="L84" s="436"/>
      <c r="M84" s="436"/>
      <c r="N84" s="436"/>
      <c r="O84" s="436"/>
    </row>
    <row r="85" spans="1:15" x14ac:dyDescent="0.2">
      <c r="A85" s="434"/>
      <c r="B85" s="434"/>
      <c r="C85" s="435"/>
      <c r="D85" s="435"/>
      <c r="E85" s="430"/>
      <c r="K85" s="436"/>
      <c r="L85" s="436"/>
      <c r="M85" s="436"/>
      <c r="N85" s="436"/>
      <c r="O85" s="436"/>
    </row>
    <row r="86" spans="1:15" x14ac:dyDescent="0.2">
      <c r="A86" s="434"/>
      <c r="B86" s="434"/>
      <c r="C86" s="435"/>
      <c r="D86" s="435"/>
      <c r="E86" s="430"/>
      <c r="K86" s="436"/>
      <c r="L86" s="436"/>
      <c r="M86" s="436"/>
      <c r="N86" s="436"/>
      <c r="O86" s="436"/>
    </row>
    <row r="87" spans="1:15" x14ac:dyDescent="0.2">
      <c r="A87" s="434"/>
      <c r="B87" s="434"/>
      <c r="C87" s="435"/>
      <c r="D87" s="435"/>
      <c r="E87" s="430"/>
      <c r="K87" s="436"/>
      <c r="L87" s="436"/>
      <c r="M87" s="436"/>
      <c r="N87" s="436"/>
      <c r="O87" s="436"/>
    </row>
    <row r="88" spans="1:15" x14ac:dyDescent="0.2">
      <c r="A88" s="434"/>
      <c r="B88" s="434"/>
      <c r="C88" s="435"/>
      <c r="D88" s="435"/>
      <c r="E88" s="430"/>
      <c r="K88" s="436"/>
      <c r="L88" s="436"/>
      <c r="M88" s="436"/>
      <c r="N88" s="436"/>
      <c r="O88" s="436"/>
    </row>
    <row r="89" spans="1:15" x14ac:dyDescent="0.2">
      <c r="A89" s="434"/>
      <c r="B89" s="434"/>
      <c r="C89" s="435"/>
      <c r="D89" s="435"/>
      <c r="E89" s="430"/>
      <c r="K89" s="436"/>
      <c r="L89" s="436"/>
      <c r="M89" s="436"/>
      <c r="N89" s="436"/>
      <c r="O89" s="436"/>
    </row>
    <row r="90" spans="1:15" x14ac:dyDescent="0.2">
      <c r="A90" s="434"/>
      <c r="B90" s="434"/>
      <c r="C90" s="435"/>
      <c r="D90" s="435"/>
      <c r="E90" s="430"/>
      <c r="F90" s="348"/>
      <c r="G90" s="348"/>
      <c r="K90" s="436"/>
      <c r="L90" s="436"/>
      <c r="M90" s="436"/>
      <c r="N90" s="436"/>
      <c r="O90" s="436"/>
    </row>
    <row r="91" spans="1:15" x14ac:dyDescent="0.2">
      <c r="A91" s="434"/>
      <c r="B91" s="434"/>
      <c r="C91" s="435"/>
      <c r="D91" s="435"/>
      <c r="E91" s="430"/>
      <c r="K91" s="436"/>
      <c r="L91" s="436"/>
      <c r="M91" s="436"/>
      <c r="N91" s="436"/>
      <c r="O91" s="436"/>
    </row>
    <row r="92" spans="1:15" x14ac:dyDescent="0.2">
      <c r="A92" s="434"/>
      <c r="B92" s="434"/>
      <c r="C92" s="435"/>
      <c r="D92" s="435"/>
      <c r="E92" s="430"/>
      <c r="K92" s="436"/>
      <c r="L92" s="436"/>
      <c r="M92" s="436"/>
      <c r="N92" s="436"/>
      <c r="O92" s="436"/>
    </row>
    <row r="93" spans="1:15" x14ac:dyDescent="0.2">
      <c r="C93" s="435"/>
      <c r="D93" s="435"/>
      <c r="E93" s="430"/>
    </row>
    <row r="94" spans="1:15" x14ac:dyDescent="0.2">
      <c r="E94" s="430"/>
    </row>
    <row r="95" spans="1:15" x14ac:dyDescent="0.2">
      <c r="E95" s="430"/>
    </row>
    <row r="109" spans="5:5" x14ac:dyDescent="0.2">
      <c r="E109" s="430"/>
    </row>
    <row r="110" spans="5:5" x14ac:dyDescent="0.2">
      <c r="E110" s="430"/>
    </row>
    <row r="111" spans="5:5" x14ac:dyDescent="0.2">
      <c r="E111" s="430"/>
    </row>
    <row r="112" spans="5:5" x14ac:dyDescent="0.2">
      <c r="E112" s="430"/>
    </row>
    <row r="113" spans="5:5" x14ac:dyDescent="0.2">
      <c r="E113" s="430"/>
    </row>
    <row r="114" spans="5:5" x14ac:dyDescent="0.2">
      <c r="E114" s="430"/>
    </row>
    <row r="115" spans="5:5" x14ac:dyDescent="0.2">
      <c r="E115" s="430"/>
    </row>
    <row r="116" spans="5:5" x14ac:dyDescent="0.2">
      <c r="E116" s="430"/>
    </row>
    <row r="117" spans="5:5" x14ac:dyDescent="0.2">
      <c r="E117" s="430"/>
    </row>
    <row r="118" spans="5:5" x14ac:dyDescent="0.2">
      <c r="E118" s="430"/>
    </row>
    <row r="119" spans="5:5" x14ac:dyDescent="0.2">
      <c r="E119" s="430"/>
    </row>
    <row r="120" spans="5:5" x14ac:dyDescent="0.2">
      <c r="E120" s="430"/>
    </row>
    <row r="121" spans="5:5" x14ac:dyDescent="0.2">
      <c r="E121" s="430"/>
    </row>
    <row r="122" spans="5:5" x14ac:dyDescent="0.2">
      <c r="E122" s="430"/>
    </row>
    <row r="123" spans="5:5" x14ac:dyDescent="0.2">
      <c r="E123" s="430"/>
    </row>
    <row r="124" spans="5:5" x14ac:dyDescent="0.2">
      <c r="E124" s="430"/>
    </row>
    <row r="125" spans="5:5" x14ac:dyDescent="0.2">
      <c r="E125" s="430"/>
    </row>
    <row r="126" spans="5:5" x14ac:dyDescent="0.2">
      <c r="E126" s="430"/>
    </row>
    <row r="127" spans="5:5" x14ac:dyDescent="0.2">
      <c r="E127" s="430"/>
    </row>
    <row r="128" spans="5:5" x14ac:dyDescent="0.2">
      <c r="E128" s="430"/>
    </row>
    <row r="129" spans="5:5" x14ac:dyDescent="0.2">
      <c r="E129" s="430"/>
    </row>
    <row r="130" spans="5:5" x14ac:dyDescent="0.2">
      <c r="E130" s="430"/>
    </row>
    <row r="131" spans="5:5" x14ac:dyDescent="0.2">
      <c r="E131" s="430"/>
    </row>
    <row r="132" spans="5:5" x14ac:dyDescent="0.2">
      <c r="E132" s="430"/>
    </row>
    <row r="133" spans="5:5" x14ac:dyDescent="0.2">
      <c r="E133" s="430"/>
    </row>
    <row r="134" spans="5:5" x14ac:dyDescent="0.2">
      <c r="E134" s="430"/>
    </row>
    <row r="135" spans="5:5" x14ac:dyDescent="0.2">
      <c r="E135" s="430"/>
    </row>
    <row r="136" spans="5:5" x14ac:dyDescent="0.2">
      <c r="E136" s="430"/>
    </row>
    <row r="137" spans="5:5" x14ac:dyDescent="0.2">
      <c r="E137" s="430"/>
    </row>
    <row r="138" spans="5:5" x14ac:dyDescent="0.2">
      <c r="E138" s="430"/>
    </row>
    <row r="139" spans="5:5" x14ac:dyDescent="0.2">
      <c r="E139" s="430"/>
    </row>
    <row r="140" spans="5:5" x14ac:dyDescent="0.2">
      <c r="E140" s="430"/>
    </row>
    <row r="141" spans="5:5" x14ac:dyDescent="0.2">
      <c r="E141" s="430"/>
    </row>
    <row r="142" spans="5:5" x14ac:dyDescent="0.2">
      <c r="E142" s="430"/>
    </row>
    <row r="143" spans="5:5" x14ac:dyDescent="0.2">
      <c r="E143" s="430"/>
    </row>
    <row r="144" spans="5:5" x14ac:dyDescent="0.2">
      <c r="E144" s="430"/>
    </row>
    <row r="145" spans="5:5" x14ac:dyDescent="0.2">
      <c r="E145" s="430"/>
    </row>
    <row r="146" spans="5:5" x14ac:dyDescent="0.2">
      <c r="E146" s="430"/>
    </row>
    <row r="147" spans="5:5" x14ac:dyDescent="0.2">
      <c r="E147" s="430"/>
    </row>
    <row r="148" spans="5:5" x14ac:dyDescent="0.2">
      <c r="E148" s="430"/>
    </row>
    <row r="149" spans="5:5" x14ac:dyDescent="0.2">
      <c r="E149" s="430"/>
    </row>
    <row r="150" spans="5:5" x14ac:dyDescent="0.2">
      <c r="E150" s="430"/>
    </row>
    <row r="151" spans="5:5" x14ac:dyDescent="0.2">
      <c r="E151" s="430"/>
    </row>
    <row r="152" spans="5:5" x14ac:dyDescent="0.2">
      <c r="E152" s="430"/>
    </row>
    <row r="153" spans="5:5" x14ac:dyDescent="0.2">
      <c r="E153" s="430"/>
    </row>
    <row r="154" spans="5:5" x14ac:dyDescent="0.2">
      <c r="E154" s="430"/>
    </row>
    <row r="155" spans="5:5" x14ac:dyDescent="0.2">
      <c r="E155" s="430"/>
    </row>
    <row r="156" spans="5:5" x14ac:dyDescent="0.2">
      <c r="E156" s="430"/>
    </row>
    <row r="157" spans="5:5" x14ac:dyDescent="0.2">
      <c r="E157" s="430"/>
    </row>
    <row r="158" spans="5:5" x14ac:dyDescent="0.2">
      <c r="E158" s="430"/>
    </row>
    <row r="159" spans="5:5" x14ac:dyDescent="0.2">
      <c r="E159" s="430"/>
    </row>
    <row r="160" spans="5:5" x14ac:dyDescent="0.2">
      <c r="E160" s="430"/>
    </row>
    <row r="161" spans="5:5" x14ac:dyDescent="0.2">
      <c r="E161" s="430"/>
    </row>
    <row r="162" spans="5:5" x14ac:dyDescent="0.2">
      <c r="E162" s="430"/>
    </row>
    <row r="163" spans="5:5" x14ac:dyDescent="0.2">
      <c r="E163" s="430"/>
    </row>
    <row r="164" spans="5:5" x14ac:dyDescent="0.2">
      <c r="E164" s="430"/>
    </row>
    <row r="165" spans="5:5" x14ac:dyDescent="0.2">
      <c r="E165" s="430"/>
    </row>
    <row r="166" spans="5:5" x14ac:dyDescent="0.2">
      <c r="E166" s="430"/>
    </row>
    <row r="167" spans="5:5" x14ac:dyDescent="0.2">
      <c r="E167" s="430"/>
    </row>
    <row r="168" spans="5:5" x14ac:dyDescent="0.2">
      <c r="E168" s="430"/>
    </row>
    <row r="169" spans="5:5" x14ac:dyDescent="0.2">
      <c r="E169" s="430"/>
    </row>
    <row r="170" spans="5:5" x14ac:dyDescent="0.2">
      <c r="E170" s="430"/>
    </row>
    <row r="171" spans="5:5" x14ac:dyDescent="0.2">
      <c r="E171" s="430"/>
    </row>
    <row r="172" spans="5:5" x14ac:dyDescent="0.2">
      <c r="E172" s="430"/>
    </row>
    <row r="173" spans="5:5" x14ac:dyDescent="0.2">
      <c r="E173" s="430"/>
    </row>
    <row r="174" spans="5:5" x14ac:dyDescent="0.2">
      <c r="E174" s="430"/>
    </row>
    <row r="175" spans="5:5" x14ac:dyDescent="0.2">
      <c r="E175" s="430"/>
    </row>
    <row r="176" spans="5:5" x14ac:dyDescent="0.2">
      <c r="E176" s="430"/>
    </row>
    <row r="177" spans="4:5" x14ac:dyDescent="0.2">
      <c r="E177" s="430"/>
    </row>
    <row r="178" spans="4:5" x14ac:dyDescent="0.2">
      <c r="E178" s="430"/>
    </row>
    <row r="179" spans="4:5" x14ac:dyDescent="0.2">
      <c r="E179" s="430"/>
    </row>
    <row r="180" spans="4:5" x14ac:dyDescent="0.2">
      <c r="E180" s="430"/>
    </row>
    <row r="181" spans="4:5" x14ac:dyDescent="0.2">
      <c r="E181" s="430"/>
    </row>
    <row r="182" spans="4:5" x14ac:dyDescent="0.2">
      <c r="E182" s="430"/>
    </row>
    <row r="183" spans="4:5" x14ac:dyDescent="0.2">
      <c r="E183" s="430"/>
    </row>
    <row r="184" spans="4:5" x14ac:dyDescent="0.2">
      <c r="E184" s="430"/>
    </row>
    <row r="185" spans="4:5" x14ac:dyDescent="0.2">
      <c r="E185" s="430"/>
    </row>
    <row r="186" spans="4:5" x14ac:dyDescent="0.2">
      <c r="E186" s="430"/>
    </row>
    <row r="187" spans="4:5" x14ac:dyDescent="0.2">
      <c r="E187" s="430"/>
    </row>
    <row r="188" spans="4:5" x14ac:dyDescent="0.2">
      <c r="D188" s="430"/>
    </row>
    <row r="189" spans="4:5" x14ac:dyDescent="0.2">
      <c r="D189" s="430"/>
    </row>
    <row r="190" spans="4:5" x14ac:dyDescent="0.2">
      <c r="D190" s="430"/>
    </row>
    <row r="191" spans="4:5" x14ac:dyDescent="0.2">
      <c r="D191" s="430"/>
    </row>
  </sheetData>
  <mergeCells count="14">
    <mergeCell ref="G5:G7"/>
    <mergeCell ref="J5:J7"/>
    <mergeCell ref="I5:I7"/>
    <mergeCell ref="B41:F4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C5:C7"/>
  </mergeCells>
  <phoneticPr fontId="0" type="noConversion"/>
  <printOptions horizontalCentered="1" verticalCentered="1"/>
  <pageMargins left="0.27559055118110237" right="0.15748031496062992" top="0.59055118110236227" bottom="0.6692913385826772" header="0.39370078740157483" footer="0.35433070866141736"/>
  <pageSetup paperSize="9" scale="85" orientation="landscape" r:id="rId1"/>
  <headerFooter alignWithMargins="0">
    <oddHeader xml:space="preserve">&amp;R
</oddHeader>
    <oddFooter xml:space="preserve">&amp;C&amp;9 5
&amp;8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indexed="10"/>
  </sheetPr>
  <dimension ref="A1:Y132"/>
  <sheetViews>
    <sheetView showGridLines="0" zoomScaleNormal="100" workbookViewId="0"/>
  </sheetViews>
  <sheetFormatPr defaultColWidth="11.42578125" defaultRowHeight="12.75" x14ac:dyDescent="0.2"/>
  <cols>
    <col min="1" max="1" width="4.5703125" style="46" customWidth="1"/>
    <col min="2" max="2" width="5" style="46" customWidth="1"/>
    <col min="3" max="3" width="17.5703125" style="46" customWidth="1"/>
    <col min="4" max="4" width="11.28515625" style="46" customWidth="1"/>
    <col min="5" max="5" width="10.140625" style="46" customWidth="1"/>
    <col min="6" max="6" width="9.42578125" style="46" customWidth="1"/>
    <col min="7" max="7" width="10.140625" style="46" customWidth="1"/>
    <col min="8" max="8" width="10.7109375" style="46" customWidth="1"/>
    <col min="9" max="9" width="9.28515625" style="46" customWidth="1"/>
    <col min="10" max="10" width="10.42578125" style="46" customWidth="1"/>
    <col min="11" max="11" width="11.28515625" style="46" customWidth="1"/>
    <col min="12" max="12" width="9.85546875" style="46" customWidth="1"/>
    <col min="13" max="13" width="10.28515625" style="437" customWidth="1"/>
    <col min="14" max="14" width="10" style="46" bestFit="1" customWidth="1"/>
    <col min="15" max="15" width="2.28515625" style="46" customWidth="1"/>
    <col min="16" max="17" width="8.7109375" style="46" customWidth="1"/>
    <col min="18" max="18" width="10.42578125" style="46" customWidth="1"/>
    <col min="19" max="19" width="14.140625" style="46" customWidth="1"/>
    <col min="20" max="20" width="11.85546875" style="46" customWidth="1"/>
    <col min="21" max="16384" width="11.42578125" style="46"/>
  </cols>
  <sheetData>
    <row r="1" spans="1:17" x14ac:dyDescent="0.2">
      <c r="A1" s="129" t="s">
        <v>179</v>
      </c>
      <c r="B1" s="119"/>
    </row>
    <row r="2" spans="1:17" x14ac:dyDescent="0.2">
      <c r="A2" s="119"/>
      <c r="B2" s="119"/>
      <c r="C2" s="438"/>
    </row>
    <row r="3" spans="1:17" ht="13.5" thickBot="1" x14ac:dyDescent="0.25">
      <c r="A3" s="119" t="s">
        <v>364</v>
      </c>
      <c r="B3" s="119"/>
    </row>
    <row r="4" spans="1:17" x14ac:dyDescent="0.2">
      <c r="A4" s="122"/>
      <c r="B4" s="439"/>
      <c r="C4" s="296"/>
      <c r="D4" s="1612">
        <v>2017</v>
      </c>
      <c r="E4" s="1613"/>
      <c r="F4" s="1613"/>
      <c r="G4" s="1625"/>
      <c r="H4" s="1632">
        <v>2016</v>
      </c>
      <c r="I4" s="1633"/>
      <c r="J4" s="1633"/>
      <c r="K4" s="1634"/>
      <c r="M4" s="46"/>
      <c r="N4" s="437"/>
    </row>
    <row r="5" spans="1:17" x14ac:dyDescent="0.2">
      <c r="A5" s="440"/>
      <c r="B5" s="54"/>
      <c r="C5" s="55"/>
      <c r="D5" s="625" t="s">
        <v>140</v>
      </c>
      <c r="E5" s="1611" t="s">
        <v>186</v>
      </c>
      <c r="F5" s="1611"/>
      <c r="G5" s="626" t="s">
        <v>230</v>
      </c>
      <c r="H5" s="777" t="s">
        <v>140</v>
      </c>
      <c r="I5" s="1611" t="s">
        <v>31</v>
      </c>
      <c r="J5" s="1611"/>
      <c r="K5" s="859"/>
      <c r="M5" s="46"/>
      <c r="N5" s="437"/>
    </row>
    <row r="6" spans="1:17" x14ac:dyDescent="0.2">
      <c r="A6" s="440"/>
      <c r="B6" s="54" t="s">
        <v>37</v>
      </c>
      <c r="C6" s="55"/>
      <c r="D6" s="628" t="s">
        <v>141</v>
      </c>
      <c r="E6" s="321" t="s">
        <v>178</v>
      </c>
      <c r="F6" s="441" t="s">
        <v>67</v>
      </c>
      <c r="G6" s="629" t="s">
        <v>270</v>
      </c>
      <c r="H6" s="627" t="s">
        <v>141</v>
      </c>
      <c r="I6" s="321" t="s">
        <v>178</v>
      </c>
      <c r="J6" s="441" t="s">
        <v>67</v>
      </c>
      <c r="K6" s="847" t="s">
        <v>110</v>
      </c>
      <c r="L6" s="180"/>
      <c r="M6" s="180"/>
      <c r="N6" s="180"/>
      <c r="O6" s="180"/>
    </row>
    <row r="7" spans="1:17" ht="13.5" thickBot="1" x14ac:dyDescent="0.25">
      <c r="A7" s="442" t="s">
        <v>34</v>
      </c>
      <c r="B7" s="443" t="s">
        <v>38</v>
      </c>
      <c r="C7" s="444"/>
      <c r="D7" s="630" t="s">
        <v>271</v>
      </c>
      <c r="E7" s="445" t="s">
        <v>177</v>
      </c>
      <c r="F7" s="446" t="s">
        <v>16</v>
      </c>
      <c r="G7" s="447" t="s">
        <v>110</v>
      </c>
      <c r="H7" s="631" t="s">
        <v>271</v>
      </c>
      <c r="I7" s="445" t="s">
        <v>177</v>
      </c>
      <c r="J7" s="446" t="s">
        <v>16</v>
      </c>
      <c r="K7" s="848"/>
      <c r="L7" s="180"/>
      <c r="M7" s="46"/>
      <c r="N7" s="437"/>
    </row>
    <row r="8" spans="1:17" x14ac:dyDescent="0.2">
      <c r="A8" s="448">
        <v>1</v>
      </c>
      <c r="B8" s="449">
        <v>11</v>
      </c>
      <c r="C8" s="55" t="s">
        <v>7</v>
      </c>
      <c r="D8" s="1071">
        <f>SUM(E8:G8)</f>
        <v>294026.09999999998</v>
      </c>
      <c r="E8" s="458">
        <f>'str4'!D6</f>
        <v>71404.600000000006</v>
      </c>
      <c r="F8" s="450">
        <f>'str5'!N10</f>
        <v>222621.5</v>
      </c>
      <c r="G8" s="451"/>
      <c r="H8" s="452">
        <f>SUM(I8:K8)</f>
        <v>309602.09999999998</v>
      </c>
      <c r="I8" s="453">
        <v>70441.5</v>
      </c>
      <c r="J8" s="839">
        <v>239160.6</v>
      </c>
      <c r="K8" s="849"/>
      <c r="L8" s="454"/>
      <c r="M8" s="455"/>
      <c r="N8" s="437"/>
    </row>
    <row r="9" spans="1:17" x14ac:dyDescent="0.2">
      <c r="A9" s="456">
        <v>2</v>
      </c>
      <c r="B9" s="457">
        <v>21</v>
      </c>
      <c r="C9" s="52" t="s">
        <v>8</v>
      </c>
      <c r="D9" s="1070">
        <f t="shared" ref="D9:D16" si="0">SUM(E9:G9)</f>
        <v>324224.80000000005</v>
      </c>
      <c r="E9" s="472">
        <f>'str4'!D7</f>
        <v>66759.100000000006</v>
      </c>
      <c r="F9" s="472">
        <f>'str5'!N11</f>
        <v>257465.7</v>
      </c>
      <c r="G9" s="459"/>
      <c r="H9" s="460">
        <f t="shared" ref="H9:H16" si="1">SUM(I9:K9)</f>
        <v>317025.3</v>
      </c>
      <c r="I9" s="461">
        <v>66787.399999999994</v>
      </c>
      <c r="J9" s="788">
        <v>250237.9</v>
      </c>
      <c r="K9" s="850"/>
      <c r="L9" s="454"/>
      <c r="M9" s="455"/>
      <c r="N9" s="437"/>
    </row>
    <row r="10" spans="1:17" x14ac:dyDescent="0.2">
      <c r="A10" s="456">
        <v>3</v>
      </c>
      <c r="B10" s="457">
        <v>22</v>
      </c>
      <c r="C10" s="52" t="s">
        <v>9</v>
      </c>
      <c r="D10" s="1070">
        <f t="shared" si="0"/>
        <v>110568.5</v>
      </c>
      <c r="E10" s="462">
        <f>'str4'!D8</f>
        <v>22858</v>
      </c>
      <c r="F10" s="462">
        <f>'str5'!N12</f>
        <v>87710.5</v>
      </c>
      <c r="G10" s="459"/>
      <c r="H10" s="460">
        <f t="shared" si="1"/>
        <v>114521.5</v>
      </c>
      <c r="I10" s="461">
        <v>24651</v>
      </c>
      <c r="J10" s="788">
        <v>89870.5</v>
      </c>
      <c r="K10" s="850"/>
      <c r="L10" s="454"/>
      <c r="M10" s="455"/>
      <c r="N10" s="437"/>
    </row>
    <row r="11" spans="1:17" x14ac:dyDescent="0.2">
      <c r="A11" s="456">
        <v>4</v>
      </c>
      <c r="B11" s="457">
        <v>23</v>
      </c>
      <c r="C11" s="52" t="s">
        <v>10</v>
      </c>
      <c r="D11" s="1070">
        <f t="shared" si="0"/>
        <v>140523.4</v>
      </c>
      <c r="E11" s="462">
        <f>'str4'!D9</f>
        <v>33977</v>
      </c>
      <c r="F11" s="462">
        <f>'str5'!N13</f>
        <v>106546.4</v>
      </c>
      <c r="G11" s="459"/>
      <c r="H11" s="460">
        <f t="shared" si="1"/>
        <v>130885.5</v>
      </c>
      <c r="I11" s="461">
        <v>30917.4</v>
      </c>
      <c r="J11" s="788">
        <v>99968.1</v>
      </c>
      <c r="K11" s="850"/>
      <c r="L11" s="454"/>
      <c r="M11" s="455"/>
      <c r="N11" s="437"/>
    </row>
    <row r="12" spans="1:17" x14ac:dyDescent="0.2">
      <c r="A12" s="456">
        <v>5</v>
      </c>
      <c r="B12" s="457">
        <v>31</v>
      </c>
      <c r="C12" s="52" t="s">
        <v>11</v>
      </c>
      <c r="D12" s="1070">
        <f t="shared" si="0"/>
        <v>465280.30000000005</v>
      </c>
      <c r="E12" s="695">
        <f>'str4'!D10</f>
        <v>234595.7</v>
      </c>
      <c r="F12" s="695">
        <f>'str5'!N14</f>
        <v>230684.6</v>
      </c>
      <c r="G12" s="459"/>
      <c r="H12" s="460">
        <f t="shared" si="1"/>
        <v>452678.3</v>
      </c>
      <c r="I12" s="461">
        <v>222574.5</v>
      </c>
      <c r="J12" s="788">
        <v>230103.8</v>
      </c>
      <c r="K12" s="850"/>
      <c r="L12" s="454"/>
      <c r="M12" s="455"/>
      <c r="N12" s="437"/>
    </row>
    <row r="13" spans="1:17" x14ac:dyDescent="0.2">
      <c r="A13" s="456">
        <v>6</v>
      </c>
      <c r="B13" s="457">
        <v>33</v>
      </c>
      <c r="C13" s="52" t="s">
        <v>12</v>
      </c>
      <c r="D13" s="1070">
        <f t="shared" si="0"/>
        <v>135018.29999999999</v>
      </c>
      <c r="E13" s="462">
        <f>'str4'!D11</f>
        <v>38973</v>
      </c>
      <c r="F13" s="462">
        <f>'str5'!N15</f>
        <v>96045.3</v>
      </c>
      <c r="G13" s="459"/>
      <c r="H13" s="460">
        <f t="shared" si="1"/>
        <v>127705.5</v>
      </c>
      <c r="I13" s="461">
        <v>35884.300000000003</v>
      </c>
      <c r="J13" s="788">
        <v>91821.2</v>
      </c>
      <c r="K13" s="850"/>
      <c r="L13" s="454"/>
      <c r="M13" s="455"/>
      <c r="N13" s="437"/>
    </row>
    <row r="14" spans="1:17" x14ac:dyDescent="0.2">
      <c r="A14" s="456">
        <v>7</v>
      </c>
      <c r="B14" s="457">
        <v>41</v>
      </c>
      <c r="C14" s="52" t="s">
        <v>13</v>
      </c>
      <c r="D14" s="1070">
        <f t="shared" si="0"/>
        <v>184143.90000000002</v>
      </c>
      <c r="E14" s="695">
        <f>'str4'!D12</f>
        <v>31202.2</v>
      </c>
      <c r="F14" s="695">
        <f>'str5'!N16</f>
        <v>152941.70000000001</v>
      </c>
      <c r="G14" s="459"/>
      <c r="H14" s="460">
        <f t="shared" si="1"/>
        <v>176808.5</v>
      </c>
      <c r="I14" s="461">
        <v>30309.1</v>
      </c>
      <c r="J14" s="788">
        <v>146499.4</v>
      </c>
      <c r="K14" s="850"/>
      <c r="L14" s="454"/>
      <c r="M14" s="455"/>
      <c r="N14" s="437"/>
    </row>
    <row r="15" spans="1:17" x14ac:dyDescent="0.2">
      <c r="A15" s="456">
        <v>8</v>
      </c>
      <c r="B15" s="457">
        <v>51</v>
      </c>
      <c r="C15" s="52" t="s">
        <v>233</v>
      </c>
      <c r="D15" s="1070">
        <f t="shared" si="0"/>
        <v>72288.600000000006</v>
      </c>
      <c r="E15" s="619">
        <f>'str4'!D13</f>
        <v>3951.8</v>
      </c>
      <c r="F15" s="462">
        <f>'str5'!N17+'str5'!N19</f>
        <v>68336.800000000003</v>
      </c>
      <c r="G15" s="459"/>
      <c r="H15" s="460">
        <f t="shared" si="1"/>
        <v>73885</v>
      </c>
      <c r="I15" s="461">
        <v>3448.6</v>
      </c>
      <c r="J15" s="788">
        <v>70436.399999999994</v>
      </c>
      <c r="K15" s="850"/>
      <c r="L15" s="454"/>
      <c r="M15" s="455"/>
      <c r="N15" s="120"/>
      <c r="P15" s="120"/>
      <c r="Q15" s="120"/>
    </row>
    <row r="16" spans="1:17" x14ac:dyDescent="0.2">
      <c r="A16" s="891">
        <v>9</v>
      </c>
      <c r="B16" s="463">
        <v>56</v>
      </c>
      <c r="C16" s="53" t="s">
        <v>15</v>
      </c>
      <c r="D16" s="1072">
        <f t="shared" si="0"/>
        <v>111321.60000000001</v>
      </c>
      <c r="E16" s="892">
        <f>'str4'!D14</f>
        <v>14645</v>
      </c>
      <c r="F16" s="623">
        <f>'str5'!N18</f>
        <v>96676.6</v>
      </c>
      <c r="G16" s="464"/>
      <c r="H16" s="465">
        <f t="shared" si="1"/>
        <v>107004.5</v>
      </c>
      <c r="I16" s="453">
        <v>12922.8</v>
      </c>
      <c r="J16" s="840">
        <v>94081.7</v>
      </c>
      <c r="K16" s="851"/>
      <c r="L16" s="454"/>
      <c r="M16" s="455"/>
      <c r="N16" s="120"/>
    </row>
    <row r="17" spans="1:17" s="722" customFormat="1" x14ac:dyDescent="0.2">
      <c r="A17" s="893">
        <v>10</v>
      </c>
      <c r="B17" s="894" t="s">
        <v>39</v>
      </c>
      <c r="C17" s="895"/>
      <c r="D17" s="726">
        <f t="shared" ref="D17:J17" si="2">SUM(D8:D16)</f>
        <v>1837395.5000000005</v>
      </c>
      <c r="E17" s="896">
        <f t="shared" si="2"/>
        <v>518366.4</v>
      </c>
      <c r="F17" s="897">
        <f t="shared" si="2"/>
        <v>1319029.1000000001</v>
      </c>
      <c r="G17" s="898">
        <f t="shared" si="2"/>
        <v>0</v>
      </c>
      <c r="H17" s="899">
        <f t="shared" si="2"/>
        <v>1810116.2</v>
      </c>
      <c r="I17" s="900">
        <f t="shared" si="2"/>
        <v>497936.59999999992</v>
      </c>
      <c r="J17" s="525">
        <f t="shared" si="2"/>
        <v>1312179.5999999996</v>
      </c>
      <c r="K17" s="869">
        <v>0</v>
      </c>
      <c r="L17" s="720"/>
      <c r="M17" s="720"/>
      <c r="N17" s="721"/>
    </row>
    <row r="18" spans="1:17" s="119" customFormat="1" x14ac:dyDescent="0.2">
      <c r="A18" s="468">
        <v>11</v>
      </c>
      <c r="B18" s="469">
        <v>71</v>
      </c>
      <c r="C18" s="51" t="s">
        <v>203</v>
      </c>
      <c r="D18" s="470">
        <f>SUM(E18:G18)</f>
        <v>77404.100000000006</v>
      </c>
      <c r="E18" s="471">
        <f>'str4'!D16</f>
        <v>77404.100000000006</v>
      </c>
      <c r="F18" s="472"/>
      <c r="G18" s="473"/>
      <c r="H18" s="465">
        <f>SUM(I18:K18)</f>
        <v>61531.8</v>
      </c>
      <c r="I18" s="471">
        <v>61531.8</v>
      </c>
      <c r="J18" s="841"/>
      <c r="K18" s="852"/>
      <c r="L18" s="320"/>
      <c r="M18" s="320"/>
      <c r="N18" s="467"/>
    </row>
    <row r="19" spans="1:17" s="119" customFormat="1" x14ac:dyDescent="0.2">
      <c r="A19" s="468">
        <v>12</v>
      </c>
      <c r="B19" s="469">
        <v>79</v>
      </c>
      <c r="C19" s="51" t="s">
        <v>296</v>
      </c>
      <c r="D19" s="470"/>
      <c r="E19" s="471"/>
      <c r="F19" s="472"/>
      <c r="G19" s="473"/>
      <c r="H19" s="460"/>
      <c r="I19" s="471"/>
      <c r="J19" s="841"/>
      <c r="K19" s="852"/>
      <c r="L19" s="320"/>
      <c r="M19" s="320"/>
      <c r="N19" s="467"/>
    </row>
    <row r="20" spans="1:17" x14ac:dyDescent="0.2">
      <c r="A20" s="456">
        <v>13</v>
      </c>
      <c r="B20" s="457">
        <v>81</v>
      </c>
      <c r="C20" s="52" t="s">
        <v>71</v>
      </c>
      <c r="D20" s="470">
        <f t="shared" ref="D20:D29" si="3">SUM(E20:G20)</f>
        <v>0</v>
      </c>
      <c r="E20" s="461"/>
      <c r="F20" s="462"/>
      <c r="G20" s="474"/>
      <c r="H20" s="460">
        <f t="shared" ref="H20:H30" si="4">SUM(I20:K20)</f>
        <v>0</v>
      </c>
      <c r="I20" s="461"/>
      <c r="J20" s="788"/>
      <c r="K20" s="515"/>
      <c r="L20" s="120"/>
      <c r="M20" s="120"/>
      <c r="N20" s="437"/>
    </row>
    <row r="21" spans="1:17" x14ac:dyDescent="0.2">
      <c r="A21" s="468">
        <v>14</v>
      </c>
      <c r="B21" s="457">
        <v>82</v>
      </c>
      <c r="C21" s="52" t="s">
        <v>1</v>
      </c>
      <c r="D21" s="470">
        <f t="shared" si="3"/>
        <v>0</v>
      </c>
      <c r="E21" s="461"/>
      <c r="F21" s="462"/>
      <c r="G21" s="474"/>
      <c r="H21" s="460">
        <f t="shared" si="4"/>
        <v>0</v>
      </c>
      <c r="I21" s="461"/>
      <c r="J21" s="788"/>
      <c r="K21" s="515"/>
      <c r="M21" s="46"/>
      <c r="N21" s="437"/>
    </row>
    <row r="22" spans="1:17" x14ac:dyDescent="0.2">
      <c r="A22" s="468">
        <v>15</v>
      </c>
      <c r="B22" s="457">
        <v>83</v>
      </c>
      <c r="C22" s="52" t="s">
        <v>83</v>
      </c>
      <c r="D22" s="470">
        <f t="shared" si="3"/>
        <v>4559</v>
      </c>
      <c r="E22" s="461"/>
      <c r="F22" s="462">
        <f>'příl.1 - cp 2017'!J154</f>
        <v>4559</v>
      </c>
      <c r="G22" s="474"/>
      <c r="H22" s="460">
        <f t="shared" si="4"/>
        <v>6700</v>
      </c>
      <c r="I22" s="461"/>
      <c r="J22" s="842">
        <v>6700</v>
      </c>
      <c r="K22" s="853"/>
      <c r="M22" s="46"/>
      <c r="N22" s="437"/>
      <c r="P22" s="120"/>
      <c r="Q22" s="120"/>
    </row>
    <row r="23" spans="1:17" x14ac:dyDescent="0.2">
      <c r="A23" s="456">
        <v>16</v>
      </c>
      <c r="B23" s="449">
        <v>84</v>
      </c>
      <c r="C23" s="165" t="s">
        <v>82</v>
      </c>
      <c r="D23" s="470">
        <f t="shared" si="3"/>
        <v>3673.4</v>
      </c>
      <c r="E23" s="461">
        <f>'str4'!D17</f>
        <v>673.4</v>
      </c>
      <c r="F23" s="462">
        <f>'příl.1 - cp 2017'!J155</f>
        <v>3000</v>
      </c>
      <c r="G23" s="474"/>
      <c r="H23" s="460">
        <f t="shared" si="4"/>
        <v>3471.1</v>
      </c>
      <c r="I23" s="461">
        <v>471.1</v>
      </c>
      <c r="J23" s="842">
        <v>3000</v>
      </c>
      <c r="K23" s="853"/>
      <c r="M23" s="46"/>
      <c r="N23" s="437"/>
    </row>
    <row r="24" spans="1:17" x14ac:dyDescent="0.2">
      <c r="A24" s="468">
        <v>17</v>
      </c>
      <c r="B24" s="632">
        <v>85</v>
      </c>
      <c r="C24" s="633" t="s">
        <v>105</v>
      </c>
      <c r="D24" s="470">
        <f t="shared" si="3"/>
        <v>1275</v>
      </c>
      <c r="E24" s="461">
        <f>'str4'!D18</f>
        <v>1275</v>
      </c>
      <c r="F24" s="462"/>
      <c r="G24" s="474"/>
      <c r="H24" s="460">
        <f t="shared" si="4"/>
        <v>818.7</v>
      </c>
      <c r="I24" s="461">
        <v>818.7</v>
      </c>
      <c r="J24" s="843"/>
      <c r="K24" s="854"/>
      <c r="M24" s="46"/>
      <c r="N24" s="437"/>
    </row>
    <row r="25" spans="1:17" x14ac:dyDescent="0.2">
      <c r="A25" s="468">
        <v>18</v>
      </c>
      <c r="B25" s="632">
        <v>87</v>
      </c>
      <c r="C25" s="633" t="s">
        <v>134</v>
      </c>
      <c r="D25" s="470">
        <f t="shared" si="3"/>
        <v>7724</v>
      </c>
      <c r="E25" s="461"/>
      <c r="F25" s="462">
        <f>'příl.1 - cp 2017'!J157</f>
        <v>7724</v>
      </c>
      <c r="G25" s="474"/>
      <c r="H25" s="460">
        <f t="shared" si="4"/>
        <v>7724</v>
      </c>
      <c r="I25" s="461"/>
      <c r="J25" s="843">
        <v>7724</v>
      </c>
      <c r="K25" s="854"/>
      <c r="M25" s="46"/>
      <c r="N25" s="437"/>
    </row>
    <row r="26" spans="1:17" x14ac:dyDescent="0.2">
      <c r="A26" s="456">
        <v>19</v>
      </c>
      <c r="B26" s="632">
        <v>92</v>
      </c>
      <c r="C26" s="633" t="s">
        <v>17</v>
      </c>
      <c r="D26" s="480">
        <f t="shared" si="3"/>
        <v>99990.5</v>
      </c>
      <c r="E26" s="461">
        <f>'str4'!D19</f>
        <v>3793.5</v>
      </c>
      <c r="F26" s="462">
        <f>'příl.1 - cp 2017'!J158</f>
        <v>96197</v>
      </c>
      <c r="G26" s="474"/>
      <c r="H26" s="460">
        <f t="shared" si="4"/>
        <v>99112</v>
      </c>
      <c r="I26" s="461">
        <v>2612</v>
      </c>
      <c r="J26" s="843">
        <v>96500</v>
      </c>
      <c r="K26" s="854"/>
      <c r="M26" s="46"/>
      <c r="N26" s="437"/>
    </row>
    <row r="27" spans="1:17" x14ac:dyDescent="0.2">
      <c r="A27" s="468">
        <v>20</v>
      </c>
      <c r="B27" s="632">
        <v>96</v>
      </c>
      <c r="C27" s="633" t="s">
        <v>24</v>
      </c>
      <c r="D27" s="470">
        <f t="shared" si="3"/>
        <v>32819.699999999997</v>
      </c>
      <c r="E27" s="461">
        <f>'str4'!D20</f>
        <v>819.7</v>
      </c>
      <c r="F27" s="462">
        <f>'str5'!L20</f>
        <v>32000</v>
      </c>
      <c r="G27" s="474"/>
      <c r="H27" s="460">
        <f t="shared" si="4"/>
        <v>32806.699999999997</v>
      </c>
      <c r="I27" s="461">
        <v>806.7</v>
      </c>
      <c r="J27" s="788">
        <v>32000</v>
      </c>
      <c r="K27" s="515"/>
      <c r="M27" s="46"/>
      <c r="N27" s="437"/>
    </row>
    <row r="28" spans="1:17" x14ac:dyDescent="0.2">
      <c r="A28" s="468">
        <v>21</v>
      </c>
      <c r="B28" s="632">
        <v>97</v>
      </c>
      <c r="C28" s="633" t="s">
        <v>25</v>
      </c>
      <c r="D28" s="470">
        <f t="shared" si="3"/>
        <v>9450</v>
      </c>
      <c r="E28" s="461"/>
      <c r="F28" s="462">
        <f>'příl.1 - cp 2017'!J160</f>
        <v>9450</v>
      </c>
      <c r="G28" s="474"/>
      <c r="H28" s="460">
        <f t="shared" si="4"/>
        <v>9450</v>
      </c>
      <c r="I28" s="461"/>
      <c r="J28" s="788">
        <v>9450</v>
      </c>
      <c r="K28" s="515"/>
      <c r="M28" s="46"/>
      <c r="N28" s="437"/>
    </row>
    <row r="29" spans="1:17" x14ac:dyDescent="0.2">
      <c r="A29" s="891">
        <v>22</v>
      </c>
      <c r="B29" s="901">
        <v>99</v>
      </c>
      <c r="C29" s="902" t="s">
        <v>18</v>
      </c>
      <c r="D29" s="723">
        <f t="shared" si="3"/>
        <v>118809.5</v>
      </c>
      <c r="E29" s="903">
        <f>'str4'!D21</f>
        <v>24439.5</v>
      </c>
      <c r="F29" s="774">
        <f>'příl.1 - cp 2017'!J161-'str5'!G41</f>
        <v>77491.094029349857</v>
      </c>
      <c r="G29" s="904">
        <f>'str5'!G41</f>
        <v>16878.905970650143</v>
      </c>
      <c r="H29" s="465">
        <f t="shared" si="4"/>
        <v>114174</v>
      </c>
      <c r="I29" s="903">
        <v>26574</v>
      </c>
      <c r="J29" s="904">
        <v>53216.780000000377</v>
      </c>
      <c r="K29" s="534">
        <v>34383.219999999623</v>
      </c>
      <c r="L29" s="120"/>
      <c r="M29" s="46"/>
      <c r="N29" s="437"/>
    </row>
    <row r="30" spans="1:17" s="722" customFormat="1" x14ac:dyDescent="0.2">
      <c r="A30" s="907">
        <v>23</v>
      </c>
      <c r="B30" s="895" t="s">
        <v>377</v>
      </c>
      <c r="C30" s="895"/>
      <c r="D30" s="726">
        <f>SUM(D18:D29)</f>
        <v>355705.2</v>
      </c>
      <c r="E30" s="832">
        <f>SUM(E18:E29)</f>
        <v>108405.2</v>
      </c>
      <c r="F30" s="763">
        <f>SUM(F22:F29)</f>
        <v>230421.09402934986</v>
      </c>
      <c r="G30" s="764">
        <f>SUM(G18:G29)</f>
        <v>16878.905970650143</v>
      </c>
      <c r="H30" s="908">
        <f t="shared" si="4"/>
        <v>335788.3</v>
      </c>
      <c r="I30" s="909">
        <f>SUM(I18:I29)</f>
        <v>92814.3</v>
      </c>
      <c r="J30" s="910">
        <f>SUM(J18:J29)</f>
        <v>208590.78000000038</v>
      </c>
      <c r="K30" s="526">
        <f>SUM(K29)</f>
        <v>34383.219999999623</v>
      </c>
      <c r="L30" s="720"/>
      <c r="M30" s="537"/>
      <c r="N30" s="721"/>
    </row>
    <row r="31" spans="1:17" x14ac:dyDescent="0.2">
      <c r="A31" s="477">
        <v>24</v>
      </c>
      <c r="B31" s="478" t="s">
        <v>263</v>
      </c>
      <c r="C31" s="478"/>
      <c r="D31" s="470">
        <f>SUM(E31:G31)</f>
        <v>91332</v>
      </c>
      <c r="E31" s="471"/>
      <c r="F31" s="472">
        <f>'příl.1 - cp 2017'!J6</f>
        <v>91332</v>
      </c>
      <c r="G31" s="473"/>
      <c r="H31" s="905">
        <f>SUM(I31:K31)</f>
        <v>95056</v>
      </c>
      <c r="I31" s="471"/>
      <c r="J31" s="841">
        <v>95056</v>
      </c>
      <c r="K31" s="906"/>
      <c r="M31" s="120"/>
      <c r="N31" s="437"/>
      <c r="Q31" s="722"/>
    </row>
    <row r="32" spans="1:17" x14ac:dyDescent="0.2">
      <c r="A32" s="298">
        <v>25</v>
      </c>
      <c r="B32" s="479" t="s">
        <v>264</v>
      </c>
      <c r="C32" s="479"/>
      <c r="D32" s="470">
        <f>SUM(E32:G32)</f>
        <v>182826</v>
      </c>
      <c r="E32" s="461"/>
      <c r="F32" s="462">
        <f>'příl.1 - cp 2017'!J27-'příl.1 - cp 2017'!J82</f>
        <v>182826</v>
      </c>
      <c r="G32" s="474"/>
      <c r="H32" s="460">
        <f>SUM(I32:K32)</f>
        <v>175332</v>
      </c>
      <c r="I32" s="461"/>
      <c r="J32" s="788">
        <v>175332</v>
      </c>
      <c r="K32" s="855"/>
      <c r="M32" s="46"/>
      <c r="N32" s="437"/>
      <c r="Q32" s="722"/>
    </row>
    <row r="33" spans="1:21" x14ac:dyDescent="0.2">
      <c r="A33" s="50">
        <v>26</v>
      </c>
      <c r="B33" s="481" t="s">
        <v>33</v>
      </c>
      <c r="C33" s="481"/>
      <c r="D33" s="470">
        <f>SUM(E33:G33)</f>
        <v>19000</v>
      </c>
      <c r="E33" s="482"/>
      <c r="F33" s="483">
        <f>'příl.1 - cp 2017'!J82</f>
        <v>19000</v>
      </c>
      <c r="G33" s="484"/>
      <c r="H33" s="465">
        <f>SUM(I33:K33)</f>
        <v>17500</v>
      </c>
      <c r="I33" s="725"/>
      <c r="J33" s="844">
        <v>17500</v>
      </c>
      <c r="K33" s="856"/>
      <c r="M33" s="46"/>
      <c r="N33" s="437"/>
      <c r="Q33" s="722"/>
    </row>
    <row r="34" spans="1:21" ht="13.5" thickBot="1" x14ac:dyDescent="0.25">
      <c r="A34" s="48">
        <v>27</v>
      </c>
      <c r="B34" s="55" t="s">
        <v>571</v>
      </c>
      <c r="C34" s="55"/>
      <c r="D34" s="723">
        <f>SUM(D31:D33)</f>
        <v>293158</v>
      </c>
      <c r="E34" s="724">
        <f t="shared" ref="E34:K34" si="5">SUM(E31:E33)</f>
        <v>0</v>
      </c>
      <c r="F34" s="724">
        <f>SUM(F31:F33)</f>
        <v>293158</v>
      </c>
      <c r="G34" s="724">
        <f t="shared" si="5"/>
        <v>0</v>
      </c>
      <c r="H34" s="780">
        <f t="shared" si="5"/>
        <v>287888</v>
      </c>
      <c r="I34" s="781">
        <f t="shared" si="5"/>
        <v>0</v>
      </c>
      <c r="J34" s="845">
        <f t="shared" si="5"/>
        <v>287888</v>
      </c>
      <c r="K34" s="857">
        <f t="shared" si="5"/>
        <v>0</v>
      </c>
      <c r="L34" s="120"/>
      <c r="M34" s="46"/>
      <c r="N34" s="437"/>
      <c r="Q34" s="722"/>
    </row>
    <row r="35" spans="1:21" s="537" customFormat="1" ht="13.5" thickBot="1" x14ac:dyDescent="0.25">
      <c r="A35" s="718">
        <v>28</v>
      </c>
      <c r="B35" s="719" t="s">
        <v>572</v>
      </c>
      <c r="C35" s="719"/>
      <c r="D35" s="466">
        <f t="shared" ref="D35:K35" si="6">D34+D30+D17</f>
        <v>2486258.7000000002</v>
      </c>
      <c r="E35" s="782">
        <f t="shared" si="6"/>
        <v>626771.6</v>
      </c>
      <c r="F35" s="779">
        <f>F34+F30+F17</f>
        <v>1842608.1940293498</v>
      </c>
      <c r="G35" s="778">
        <f t="shared" si="6"/>
        <v>16878.905970650143</v>
      </c>
      <c r="H35" s="783">
        <f t="shared" si="6"/>
        <v>2433792.5</v>
      </c>
      <c r="I35" s="784">
        <f t="shared" si="6"/>
        <v>590750.89999999991</v>
      </c>
      <c r="J35" s="846">
        <f t="shared" si="6"/>
        <v>1808658.38</v>
      </c>
      <c r="K35" s="858">
        <f t="shared" si="6"/>
        <v>34383.219999999623</v>
      </c>
      <c r="L35" s="643"/>
      <c r="M35" s="643"/>
      <c r="N35" s="644"/>
      <c r="O35" s="643"/>
      <c r="Q35" s="722"/>
    </row>
    <row r="36" spans="1:21" s="615" customFormat="1" hidden="1" x14ac:dyDescent="0.2">
      <c r="D36" s="615" t="s">
        <v>579</v>
      </c>
      <c r="E36" s="634">
        <f>'str1'!F8</f>
        <v>626771.64500000002</v>
      </c>
      <c r="F36" s="634">
        <f>'str1'!F7</f>
        <v>1842607.76902935</v>
      </c>
      <c r="H36" s="634"/>
      <c r="I36" s="634"/>
      <c r="J36" s="634"/>
      <c r="Q36" s="722"/>
    </row>
    <row r="37" spans="1:21" s="615" customFormat="1" ht="15" hidden="1" x14ac:dyDescent="0.2">
      <c r="A37" s="635"/>
      <c r="D37" s="615" t="s">
        <v>580</v>
      </c>
      <c r="F37" s="634">
        <f>F36-F32-F33</f>
        <v>1640781.76902935</v>
      </c>
      <c r="H37" s="634"/>
      <c r="I37" s="634"/>
      <c r="Q37" s="722"/>
    </row>
    <row r="38" spans="1:21" s="615" customFormat="1" ht="15" hidden="1" x14ac:dyDescent="0.2">
      <c r="A38" s="635"/>
      <c r="D38" s="634" t="s">
        <v>232</v>
      </c>
      <c r="E38" s="634">
        <f>E36+F36-'str1'!F9</f>
        <v>0</v>
      </c>
      <c r="F38" s="634"/>
      <c r="H38" s="634"/>
      <c r="I38" s="634"/>
      <c r="Q38" s="722"/>
    </row>
    <row r="39" spans="1:21" ht="13.5" customHeight="1" x14ac:dyDescent="0.2">
      <c r="A39" s="488"/>
      <c r="D39" s="120"/>
      <c r="E39" s="776"/>
      <c r="F39" s="1026">
        <f>E35+F35+G35</f>
        <v>2486258.7000000002</v>
      </c>
      <c r="G39" s="1025"/>
      <c r="H39" s="120"/>
      <c r="I39" s="776"/>
      <c r="J39" s="1026">
        <f>I35+J35+K35</f>
        <v>2433792.4999999995</v>
      </c>
      <c r="K39" s="1025"/>
      <c r="Q39" s="722"/>
    </row>
    <row r="40" spans="1:21" x14ac:dyDescent="0.2">
      <c r="D40" s="120"/>
      <c r="E40" s="1616">
        <f>SUM(E35:F35)</f>
        <v>2469379.7940293499</v>
      </c>
      <c r="F40" s="1617"/>
      <c r="G40" s="1075">
        <f>E40-'str1'!F9</f>
        <v>0.37999999988824129</v>
      </c>
      <c r="H40" s="489"/>
      <c r="I40" s="1616">
        <f>SUM(I35:J35)</f>
        <v>2399409.2799999998</v>
      </c>
      <c r="J40" s="1617"/>
    </row>
    <row r="41" spans="1:21" ht="11.25" customHeight="1" x14ac:dyDescent="0.2">
      <c r="C41" s="120"/>
      <c r="D41" s="120"/>
      <c r="E41" s="120"/>
    </row>
    <row r="42" spans="1:21" ht="17.25" customHeight="1" thickBot="1" x14ac:dyDescent="0.25">
      <c r="A42" s="119" t="s">
        <v>365</v>
      </c>
      <c r="O42" s="120"/>
      <c r="P42" s="120"/>
      <c r="Q42" s="120"/>
    </row>
    <row r="43" spans="1:21" ht="12.75" customHeight="1" x14ac:dyDescent="0.2">
      <c r="A43" s="122"/>
      <c r="B43" s="439"/>
      <c r="C43" s="296"/>
      <c r="D43" s="1612" t="s">
        <v>682</v>
      </c>
      <c r="E43" s="1613"/>
      <c r="F43" s="1613"/>
      <c r="G43" s="1614"/>
      <c r="H43" s="1614"/>
      <c r="I43" s="1614"/>
      <c r="J43" s="1615"/>
      <c r="K43" s="1624" t="s">
        <v>614</v>
      </c>
      <c r="L43" s="1614"/>
      <c r="M43" s="1614"/>
      <c r="N43" s="1615"/>
      <c r="O43" s="120"/>
      <c r="P43" s="120"/>
      <c r="Q43" s="120"/>
      <c r="R43" s="120"/>
      <c r="S43" s="120"/>
      <c r="T43" s="120"/>
      <c r="U43" s="120"/>
    </row>
    <row r="44" spans="1:21" ht="13.5" customHeight="1" x14ac:dyDescent="0.2">
      <c r="A44" s="440"/>
      <c r="B44" s="54"/>
      <c r="C44" s="55"/>
      <c r="D44" s="628" t="s">
        <v>140</v>
      </c>
      <c r="E44" s="1630" t="s">
        <v>185</v>
      </c>
      <c r="F44" s="1611"/>
      <c r="G44" s="1611"/>
      <c r="H44" s="1611"/>
      <c r="I44" s="1611"/>
      <c r="J44" s="636" t="s">
        <v>268</v>
      </c>
      <c r="K44" s="637" t="s">
        <v>140</v>
      </c>
      <c r="L44" s="1630" t="s">
        <v>31</v>
      </c>
      <c r="M44" s="1611"/>
      <c r="N44" s="1631"/>
      <c r="O44" s="120"/>
      <c r="P44" s="120"/>
      <c r="Q44" s="120"/>
      <c r="R44" s="120"/>
      <c r="S44" s="120"/>
      <c r="T44" s="120"/>
      <c r="U44" s="120"/>
    </row>
    <row r="45" spans="1:21" ht="13.5" customHeight="1" x14ac:dyDescent="0.2">
      <c r="A45" s="440"/>
      <c r="B45" s="54" t="s">
        <v>37</v>
      </c>
      <c r="C45" s="55"/>
      <c r="D45" s="628" t="s">
        <v>141</v>
      </c>
      <c r="E45" s="321" t="s">
        <v>178</v>
      </c>
      <c r="F45" s="49" t="s">
        <v>67</v>
      </c>
      <c r="G45" s="1622" t="s">
        <v>68</v>
      </c>
      <c r="H45" s="1623"/>
      <c r="I45" s="1623"/>
      <c r="J45" s="638" t="s">
        <v>270</v>
      </c>
      <c r="K45" s="637" t="s">
        <v>141</v>
      </c>
      <c r="L45" s="321" t="s">
        <v>178</v>
      </c>
      <c r="M45" s="449" t="s">
        <v>67</v>
      </c>
      <c r="N45" s="859" t="s">
        <v>110</v>
      </c>
      <c r="O45" s="120"/>
      <c r="P45" s="120"/>
      <c r="Q45" s="120"/>
      <c r="R45" s="120"/>
      <c r="S45" s="120"/>
      <c r="T45" s="120"/>
      <c r="U45" s="120"/>
    </row>
    <row r="46" spans="1:21" ht="15" customHeight="1" thickBot="1" x14ac:dyDescent="0.25">
      <c r="A46" s="442" t="s">
        <v>34</v>
      </c>
      <c r="B46" s="443" t="s">
        <v>38</v>
      </c>
      <c r="C46" s="444"/>
      <c r="D46" s="630" t="s">
        <v>271</v>
      </c>
      <c r="E46" s="445" t="s">
        <v>177</v>
      </c>
      <c r="F46" s="490" t="s">
        <v>16</v>
      </c>
      <c r="G46" s="491" t="s">
        <v>32</v>
      </c>
      <c r="H46" s="492" t="s">
        <v>363</v>
      </c>
      <c r="I46" s="493" t="s">
        <v>33</v>
      </c>
      <c r="J46" s="639" t="s">
        <v>269</v>
      </c>
      <c r="K46" s="640" t="s">
        <v>271</v>
      </c>
      <c r="L46" s="445" t="s">
        <v>177</v>
      </c>
      <c r="M46" s="860" t="s">
        <v>16</v>
      </c>
      <c r="N46" s="865"/>
      <c r="O46" s="120"/>
      <c r="P46" s="120"/>
      <c r="Q46" s="120"/>
      <c r="R46" s="120"/>
      <c r="S46" s="120"/>
      <c r="T46" s="120"/>
      <c r="U46" s="120"/>
    </row>
    <row r="47" spans="1:21" ht="15" customHeight="1" thickBot="1" x14ac:dyDescent="0.25">
      <c r="A47" s="494"/>
      <c r="B47" s="56"/>
      <c r="C47" s="495" t="s">
        <v>234</v>
      </c>
      <c r="D47" s="641"/>
      <c r="E47" s="861">
        <v>2112</v>
      </c>
      <c r="F47" s="497"/>
      <c r="G47" s="1013">
        <v>1111</v>
      </c>
      <c r="H47" s="499">
        <v>1112</v>
      </c>
      <c r="I47" s="500">
        <v>1112</v>
      </c>
      <c r="J47" s="642">
        <v>4769</v>
      </c>
      <c r="K47" s="501"/>
      <c r="L47" s="496"/>
      <c r="M47" s="861"/>
      <c r="N47" s="866"/>
      <c r="O47" s="120"/>
      <c r="P47" s="120"/>
      <c r="Q47" s="120"/>
      <c r="R47" s="120"/>
      <c r="S47" s="120"/>
      <c r="T47" s="120"/>
      <c r="U47" s="120"/>
    </row>
    <row r="48" spans="1:21" x14ac:dyDescent="0.2">
      <c r="A48" s="48">
        <v>29</v>
      </c>
      <c r="B48" s="321">
        <v>11</v>
      </c>
      <c r="C48" s="55" t="s">
        <v>7</v>
      </c>
      <c r="D48" s="502">
        <f>SUM(G48:I48,E48,J48)</f>
        <v>294026.09999999998</v>
      </c>
      <c r="E48" s="1011">
        <f>E8</f>
        <v>71404.600000000006</v>
      </c>
      <c r="F48" s="1011">
        <f>SUM(G48:I48)</f>
        <v>222621.5</v>
      </c>
      <c r="G48" s="1012">
        <f>F8</f>
        <v>222621.5</v>
      </c>
      <c r="H48" s="505"/>
      <c r="I48" s="506"/>
      <c r="J48" s="507"/>
      <c r="K48" s="508">
        <f>SUM(L48:N48)</f>
        <v>309602.09999999998</v>
      </c>
      <c r="L48" s="509">
        <v>70441.5</v>
      </c>
      <c r="M48" s="618">
        <v>239160.6</v>
      </c>
      <c r="N48" s="849"/>
      <c r="O48" s="120"/>
      <c r="P48" s="120"/>
      <c r="Q48" s="120"/>
      <c r="R48" s="120"/>
      <c r="S48" s="120"/>
      <c r="T48" s="120"/>
      <c r="U48" s="120"/>
    </row>
    <row r="49" spans="1:21" x14ac:dyDescent="0.2">
      <c r="A49" s="298">
        <v>30</v>
      </c>
      <c r="B49" s="510">
        <v>21</v>
      </c>
      <c r="C49" s="52" t="s">
        <v>8</v>
      </c>
      <c r="D49" s="480">
        <f t="shared" ref="D49:D56" si="7">SUM(G49:I49,E49,J49)</f>
        <v>324970.80000000005</v>
      </c>
      <c r="E49" s="1011">
        <f t="shared" ref="E49:E56" si="8">E9</f>
        <v>66759.100000000006</v>
      </c>
      <c r="F49" s="1011">
        <f t="shared" ref="F49:F56" si="9">SUM(G49:I49)</f>
        <v>258211.7</v>
      </c>
      <c r="G49" s="1012">
        <f t="shared" ref="G49:G56" si="10">F9</f>
        <v>257465.7</v>
      </c>
      <c r="H49" s="512">
        <f>'příl.1 - cp 2017'!J87</f>
        <v>746</v>
      </c>
      <c r="I49" s="513"/>
      <c r="J49" s="514"/>
      <c r="K49" s="508">
        <f t="shared" ref="K49:K56" si="11">SUM(L49:N49)</f>
        <v>317505.3</v>
      </c>
      <c r="L49" s="511">
        <v>66787.399999999994</v>
      </c>
      <c r="M49" s="619">
        <v>250717.9</v>
      </c>
      <c r="N49" s="850"/>
      <c r="O49" s="120"/>
      <c r="P49" s="120"/>
      <c r="Q49" s="120"/>
      <c r="R49" s="120"/>
      <c r="S49" s="120"/>
      <c r="T49" s="120"/>
      <c r="U49" s="120"/>
    </row>
    <row r="50" spans="1:21" x14ac:dyDescent="0.2">
      <c r="A50" s="48">
        <v>31</v>
      </c>
      <c r="B50" s="510">
        <v>22</v>
      </c>
      <c r="C50" s="52" t="s">
        <v>9</v>
      </c>
      <c r="D50" s="480">
        <f t="shared" si="7"/>
        <v>110568.5</v>
      </c>
      <c r="E50" s="1011">
        <f t="shared" si="8"/>
        <v>22858</v>
      </c>
      <c r="F50" s="1011">
        <f t="shared" si="9"/>
        <v>87710.5</v>
      </c>
      <c r="G50" s="1012">
        <f t="shared" si="10"/>
        <v>87710.5</v>
      </c>
      <c r="H50" s="512"/>
      <c r="I50" s="513"/>
      <c r="J50" s="514"/>
      <c r="K50" s="508">
        <f t="shared" si="11"/>
        <v>114521.5</v>
      </c>
      <c r="L50" s="511">
        <v>24651</v>
      </c>
      <c r="M50" s="619">
        <v>89870.5</v>
      </c>
      <c r="N50" s="850"/>
      <c r="O50" s="120"/>
      <c r="P50" s="120"/>
      <c r="Q50" s="120"/>
      <c r="R50" s="120"/>
      <c r="S50" s="120"/>
      <c r="T50" s="120"/>
      <c r="U50" s="120"/>
    </row>
    <row r="51" spans="1:21" x14ac:dyDescent="0.2">
      <c r="A51" s="298">
        <v>32</v>
      </c>
      <c r="B51" s="510">
        <v>23</v>
      </c>
      <c r="C51" s="52" t="s">
        <v>10</v>
      </c>
      <c r="D51" s="480">
        <f t="shared" si="7"/>
        <v>140723.4</v>
      </c>
      <c r="E51" s="1011">
        <f t="shared" si="8"/>
        <v>33977</v>
      </c>
      <c r="F51" s="1011">
        <f t="shared" si="9"/>
        <v>106746.4</v>
      </c>
      <c r="G51" s="1012">
        <f t="shared" si="10"/>
        <v>106546.4</v>
      </c>
      <c r="H51" s="512">
        <f>'příl.1 - cp 2017'!J90</f>
        <v>200</v>
      </c>
      <c r="I51" s="513"/>
      <c r="J51" s="514"/>
      <c r="K51" s="508">
        <f t="shared" si="11"/>
        <v>131085.5</v>
      </c>
      <c r="L51" s="511">
        <v>30917.4</v>
      </c>
      <c r="M51" s="619">
        <v>100168.1</v>
      </c>
      <c r="N51" s="850"/>
      <c r="O51" s="120"/>
      <c r="P51" s="120"/>
      <c r="Q51" s="120"/>
      <c r="R51" s="120"/>
      <c r="S51" s="120"/>
      <c r="T51" s="120"/>
      <c r="U51" s="120"/>
    </row>
    <row r="52" spans="1:21" x14ac:dyDescent="0.2">
      <c r="A52" s="48">
        <v>33</v>
      </c>
      <c r="B52" s="510">
        <v>31</v>
      </c>
      <c r="C52" s="52" t="s">
        <v>11</v>
      </c>
      <c r="D52" s="480">
        <f t="shared" si="7"/>
        <v>467480.30000000005</v>
      </c>
      <c r="E52" s="1011">
        <f t="shared" si="8"/>
        <v>234595.7</v>
      </c>
      <c r="F52" s="1011">
        <f t="shared" si="9"/>
        <v>232884.6</v>
      </c>
      <c r="G52" s="1012">
        <f t="shared" si="10"/>
        <v>230684.6</v>
      </c>
      <c r="H52" s="516">
        <f>'příl.1 - cp 2017'!J94</f>
        <v>2200</v>
      </c>
      <c r="I52" s="513"/>
      <c r="J52" s="514"/>
      <c r="K52" s="508">
        <f t="shared" si="11"/>
        <v>456378.3</v>
      </c>
      <c r="L52" s="511">
        <v>222574.5</v>
      </c>
      <c r="M52" s="619">
        <v>233803.8</v>
      </c>
      <c r="N52" s="850"/>
      <c r="O52" s="120"/>
      <c r="P52" s="120"/>
      <c r="Q52" s="120"/>
      <c r="R52" s="120"/>
      <c r="S52" s="120"/>
      <c r="T52" s="120"/>
      <c r="U52" s="120"/>
    </row>
    <row r="53" spans="1:21" x14ac:dyDescent="0.2">
      <c r="A53" s="298">
        <v>34</v>
      </c>
      <c r="B53" s="510">
        <v>33</v>
      </c>
      <c r="C53" s="52" t="s">
        <v>12</v>
      </c>
      <c r="D53" s="480">
        <f t="shared" si="7"/>
        <v>174518.3</v>
      </c>
      <c r="E53" s="1011">
        <f t="shared" si="8"/>
        <v>38973</v>
      </c>
      <c r="F53" s="1011">
        <f t="shared" si="9"/>
        <v>135545.29999999999</v>
      </c>
      <c r="G53" s="1012">
        <f t="shared" si="10"/>
        <v>96045.3</v>
      </c>
      <c r="H53" s="512">
        <f>'příl.1 - cp 2017'!J97</f>
        <v>39500</v>
      </c>
      <c r="I53" s="513"/>
      <c r="J53" s="514"/>
      <c r="K53" s="508">
        <f t="shared" si="11"/>
        <v>163705.5</v>
      </c>
      <c r="L53" s="511">
        <v>35884.300000000003</v>
      </c>
      <c r="M53" s="619">
        <v>127821.2</v>
      </c>
      <c r="N53" s="850"/>
      <c r="O53" s="120"/>
      <c r="P53" s="275"/>
      <c r="Q53" s="275"/>
      <c r="R53" s="120"/>
      <c r="S53" s="120"/>
      <c r="T53" s="120"/>
      <c r="U53" s="120"/>
    </row>
    <row r="54" spans="1:21" x14ac:dyDescent="0.2">
      <c r="A54" s="48">
        <v>35</v>
      </c>
      <c r="B54" s="510">
        <v>41</v>
      </c>
      <c r="C54" s="52" t="s">
        <v>13</v>
      </c>
      <c r="D54" s="480">
        <f t="shared" si="7"/>
        <v>184843.90000000002</v>
      </c>
      <c r="E54" s="1011">
        <f t="shared" si="8"/>
        <v>31202.2</v>
      </c>
      <c r="F54" s="1011">
        <f t="shared" si="9"/>
        <v>153641.70000000001</v>
      </c>
      <c r="G54" s="1012">
        <f t="shared" si="10"/>
        <v>152941.70000000001</v>
      </c>
      <c r="H54" s="516">
        <f>'příl.1 - cp 2017'!J101</f>
        <v>700</v>
      </c>
      <c r="I54" s="513"/>
      <c r="J54" s="514"/>
      <c r="K54" s="508">
        <f t="shared" si="11"/>
        <v>177608.5</v>
      </c>
      <c r="L54" s="511">
        <v>30309.1</v>
      </c>
      <c r="M54" s="619">
        <v>147299.4</v>
      </c>
      <c r="N54" s="850"/>
      <c r="O54" s="120"/>
      <c r="P54" s="120"/>
      <c r="Q54" s="120"/>
      <c r="R54" s="120"/>
      <c r="S54" s="120"/>
      <c r="T54" s="120"/>
      <c r="U54" s="120"/>
    </row>
    <row r="55" spans="1:21" x14ac:dyDescent="0.2">
      <c r="A55" s="298">
        <v>36</v>
      </c>
      <c r="B55" s="510">
        <v>51</v>
      </c>
      <c r="C55" s="52" t="s">
        <v>233</v>
      </c>
      <c r="D55" s="480">
        <f t="shared" si="7"/>
        <v>72588.600000000006</v>
      </c>
      <c r="E55" s="1011">
        <f t="shared" si="8"/>
        <v>3951.8</v>
      </c>
      <c r="F55" s="1011">
        <f t="shared" si="9"/>
        <v>68636.800000000003</v>
      </c>
      <c r="G55" s="1012">
        <f t="shared" si="10"/>
        <v>68336.800000000003</v>
      </c>
      <c r="H55" s="512">
        <f>'příl.1 - cp 2017'!J103</f>
        <v>300</v>
      </c>
      <c r="I55" s="513"/>
      <c r="J55" s="514"/>
      <c r="K55" s="508">
        <f t="shared" si="11"/>
        <v>74185</v>
      </c>
      <c r="L55" s="511">
        <v>3448.6</v>
      </c>
      <c r="M55" s="619">
        <v>70736.399999999994</v>
      </c>
      <c r="N55" s="850"/>
      <c r="O55" s="120"/>
      <c r="P55" s="120"/>
      <c r="Q55" s="120"/>
      <c r="R55" s="120"/>
      <c r="S55" s="120"/>
      <c r="T55" s="120"/>
      <c r="U55" s="120"/>
    </row>
    <row r="56" spans="1:21" x14ac:dyDescent="0.2">
      <c r="A56" s="48">
        <v>37</v>
      </c>
      <c r="B56" s="911">
        <v>56</v>
      </c>
      <c r="C56" s="53" t="s">
        <v>15</v>
      </c>
      <c r="D56" s="912">
        <f t="shared" si="7"/>
        <v>111321.60000000001</v>
      </c>
      <c r="E56" s="1011">
        <f t="shared" si="8"/>
        <v>14645</v>
      </c>
      <c r="F56" s="1011">
        <f t="shared" si="9"/>
        <v>96676.6</v>
      </c>
      <c r="G56" s="1012">
        <f t="shared" si="10"/>
        <v>96676.6</v>
      </c>
      <c r="H56" s="913"/>
      <c r="I56" s="532"/>
      <c r="J56" s="533"/>
      <c r="K56" s="775">
        <f t="shared" si="11"/>
        <v>107004.5</v>
      </c>
      <c r="L56" s="521">
        <v>12922.8</v>
      </c>
      <c r="M56" s="773">
        <v>94081.7</v>
      </c>
      <c r="N56" s="851"/>
      <c r="O56" s="120"/>
      <c r="P56" s="120"/>
      <c r="Q56" s="120"/>
      <c r="R56" s="120"/>
      <c r="S56" s="120"/>
      <c r="T56" s="120"/>
      <c r="U56" s="120"/>
    </row>
    <row r="57" spans="1:21" s="537" customFormat="1" x14ac:dyDescent="0.2">
      <c r="A57" s="716">
        <v>38</v>
      </c>
      <c r="B57" s="915" t="s">
        <v>39</v>
      </c>
      <c r="C57" s="762"/>
      <c r="D57" s="726">
        <f t="shared" ref="D57:M57" si="12">SUM(D48:D56)</f>
        <v>1881041.5000000005</v>
      </c>
      <c r="E57" s="745">
        <f t="shared" si="12"/>
        <v>518366.4</v>
      </c>
      <c r="F57" s="745">
        <f t="shared" si="12"/>
        <v>1362675.1</v>
      </c>
      <c r="G57" s="862">
        <f t="shared" si="12"/>
        <v>1319029.1000000001</v>
      </c>
      <c r="H57" s="785">
        <f t="shared" si="12"/>
        <v>43646</v>
      </c>
      <c r="I57" s="538">
        <f t="shared" si="12"/>
        <v>0</v>
      </c>
      <c r="J57" s="745">
        <f t="shared" si="12"/>
        <v>0</v>
      </c>
      <c r="K57" s="727">
        <f t="shared" si="12"/>
        <v>1851596.2</v>
      </c>
      <c r="L57" s="525">
        <f t="shared" si="12"/>
        <v>497936.59999999992</v>
      </c>
      <c r="M57" s="862">
        <f t="shared" si="12"/>
        <v>1353659.5999999996</v>
      </c>
      <c r="N57" s="869">
        <v>0</v>
      </c>
      <c r="O57" s="643"/>
      <c r="P57" s="643"/>
      <c r="Q57" s="643"/>
      <c r="R57" s="643"/>
      <c r="S57" s="643"/>
      <c r="T57" s="643"/>
      <c r="U57" s="643"/>
    </row>
    <row r="58" spans="1:21" x14ac:dyDescent="0.2">
      <c r="A58" s="48">
        <v>39</v>
      </c>
      <c r="B58" s="469">
        <v>71</v>
      </c>
      <c r="C58" s="51" t="s">
        <v>203</v>
      </c>
      <c r="D58" s="723">
        <f>SUM(E58:F58)</f>
        <v>79404.100000000006</v>
      </c>
      <c r="E58" s="528">
        <f>E18</f>
        <v>77404.100000000006</v>
      </c>
      <c r="F58" s="528">
        <f>SUM(G58:I58)</f>
        <v>2000</v>
      </c>
      <c r="G58" s="868">
        <f>F18</f>
        <v>0</v>
      </c>
      <c r="H58" s="914">
        <f>'příl.1 - cp 2017'!J106</f>
        <v>2000</v>
      </c>
      <c r="I58" s="506"/>
      <c r="J58" s="507"/>
      <c r="K58" s="508">
        <f>SUM(L58:N58)</f>
        <v>63531.8</v>
      </c>
      <c r="L58" s="528">
        <v>61531.8</v>
      </c>
      <c r="M58" s="504">
        <v>2000</v>
      </c>
      <c r="N58" s="852"/>
      <c r="O58" s="120"/>
      <c r="P58" s="120"/>
      <c r="Q58" s="120"/>
      <c r="R58" s="120"/>
      <c r="S58" s="120"/>
      <c r="T58" s="120"/>
      <c r="U58" s="120"/>
    </row>
    <row r="59" spans="1:21" x14ac:dyDescent="0.2">
      <c r="A59" s="298">
        <v>40</v>
      </c>
      <c r="B59" s="457">
        <v>79</v>
      </c>
      <c r="C59" s="52" t="s">
        <v>398</v>
      </c>
      <c r="D59" s="480">
        <f t="shared" ref="D59:D68" si="13">SUM(E59:F59)</f>
        <v>5340</v>
      </c>
      <c r="E59" s="528">
        <f t="shared" ref="E59:E69" si="14">E19</f>
        <v>0</v>
      </c>
      <c r="F59" s="528">
        <f t="shared" ref="F59:F69" si="15">SUM(G59:I59)</f>
        <v>5340</v>
      </c>
      <c r="G59" s="868">
        <f t="shared" ref="G59:G69" si="16">F19</f>
        <v>0</v>
      </c>
      <c r="H59" s="512">
        <f>'příl.1 - cp 2017'!J109</f>
        <v>5340</v>
      </c>
      <c r="I59" s="621"/>
      <c r="J59" s="514"/>
      <c r="K59" s="508">
        <f t="shared" ref="K59:K69" si="17">SUM(L59:N59)</f>
        <v>1800</v>
      </c>
      <c r="L59" s="527">
        <v>0</v>
      </c>
      <c r="M59" s="620">
        <v>1800</v>
      </c>
      <c r="N59" s="852"/>
      <c r="O59" s="120"/>
      <c r="P59" s="120"/>
      <c r="Q59" s="120"/>
      <c r="R59" s="120"/>
      <c r="S59" s="120"/>
      <c r="T59" s="120"/>
      <c r="U59" s="120"/>
    </row>
    <row r="60" spans="1:21" x14ac:dyDescent="0.2">
      <c r="A60" s="48">
        <v>41</v>
      </c>
      <c r="B60" s="457">
        <v>81</v>
      </c>
      <c r="C60" s="52" t="s">
        <v>71</v>
      </c>
      <c r="D60" s="480">
        <f t="shared" si="13"/>
        <v>0</v>
      </c>
      <c r="E60" s="528">
        <f t="shared" si="14"/>
        <v>0</v>
      </c>
      <c r="F60" s="528">
        <f t="shared" si="15"/>
        <v>0</v>
      </c>
      <c r="G60" s="868">
        <f t="shared" si="16"/>
        <v>0</v>
      </c>
      <c r="H60" s="512"/>
      <c r="I60" s="513"/>
      <c r="J60" s="514"/>
      <c r="K60" s="508">
        <f t="shared" si="17"/>
        <v>0</v>
      </c>
      <c r="L60" s="527">
        <v>0</v>
      </c>
      <c r="M60" s="620">
        <v>0</v>
      </c>
      <c r="N60" s="515"/>
      <c r="O60" s="120"/>
      <c r="P60" s="120"/>
      <c r="Q60" s="120"/>
      <c r="R60" s="120"/>
      <c r="S60" s="120"/>
      <c r="T60" s="120"/>
      <c r="U60" s="120"/>
    </row>
    <row r="61" spans="1:21" x14ac:dyDescent="0.2">
      <c r="A61" s="298">
        <v>42</v>
      </c>
      <c r="B61" s="457">
        <v>82</v>
      </c>
      <c r="C61" s="52" t="s">
        <v>1</v>
      </c>
      <c r="D61" s="480">
        <f t="shared" si="13"/>
        <v>10348</v>
      </c>
      <c r="E61" s="528">
        <f t="shared" si="14"/>
        <v>0</v>
      </c>
      <c r="F61" s="528">
        <f t="shared" si="15"/>
        <v>10348</v>
      </c>
      <c r="G61" s="868">
        <f t="shared" si="16"/>
        <v>0</v>
      </c>
      <c r="H61" s="512">
        <f>'příl.1 - cp 2017'!J118</f>
        <v>10348</v>
      </c>
      <c r="I61" s="513"/>
      <c r="J61" s="514"/>
      <c r="K61" s="508">
        <f t="shared" si="17"/>
        <v>10648</v>
      </c>
      <c r="L61" s="527">
        <v>0</v>
      </c>
      <c r="M61" s="620">
        <v>10648</v>
      </c>
      <c r="N61" s="515"/>
      <c r="O61" s="120"/>
      <c r="P61" s="120"/>
      <c r="Q61" s="120"/>
      <c r="R61" s="120"/>
      <c r="S61" s="120"/>
      <c r="T61" s="120"/>
      <c r="U61" s="120"/>
    </row>
    <row r="62" spans="1:21" x14ac:dyDescent="0.2">
      <c r="A62" s="48">
        <v>43</v>
      </c>
      <c r="B62" s="457">
        <v>83</v>
      </c>
      <c r="C62" s="52" t="s">
        <v>83</v>
      </c>
      <c r="D62" s="480">
        <f t="shared" si="13"/>
        <v>6629</v>
      </c>
      <c r="E62" s="528">
        <f t="shared" si="14"/>
        <v>0</v>
      </c>
      <c r="F62" s="528">
        <f t="shared" si="15"/>
        <v>6629</v>
      </c>
      <c r="G62" s="868">
        <f t="shared" si="16"/>
        <v>4559</v>
      </c>
      <c r="H62" s="512">
        <f>'příl.1 - cp 2017'!I120+'příl.1 - cp 2017'!J18</f>
        <v>2070</v>
      </c>
      <c r="I62" s="513"/>
      <c r="J62" s="514"/>
      <c r="K62" s="508">
        <f t="shared" si="17"/>
        <v>8751</v>
      </c>
      <c r="L62" s="527">
        <v>0</v>
      </c>
      <c r="M62" s="620">
        <v>8751</v>
      </c>
      <c r="N62" s="515"/>
      <c r="O62" s="120"/>
      <c r="P62" s="120"/>
      <c r="Q62" s="120"/>
      <c r="R62" s="120"/>
      <c r="S62" s="120"/>
      <c r="T62" s="120"/>
      <c r="U62" s="120"/>
    </row>
    <row r="63" spans="1:21" x14ac:dyDescent="0.2">
      <c r="A63" s="298">
        <v>44</v>
      </c>
      <c r="B63" s="457">
        <v>84</v>
      </c>
      <c r="C63" s="52" t="s">
        <v>82</v>
      </c>
      <c r="D63" s="480">
        <f t="shared" si="13"/>
        <v>3683.4</v>
      </c>
      <c r="E63" s="528">
        <f t="shared" si="14"/>
        <v>673.4</v>
      </c>
      <c r="F63" s="528">
        <f t="shared" si="15"/>
        <v>3010</v>
      </c>
      <c r="G63" s="868">
        <f t="shared" si="16"/>
        <v>3000</v>
      </c>
      <c r="H63" s="512">
        <f>'příl.1 - cp 2017'!J122+'příl.1 - cp 2017'!J19</f>
        <v>10</v>
      </c>
      <c r="I63" s="513"/>
      <c r="J63" s="514"/>
      <c r="K63" s="508">
        <f t="shared" si="17"/>
        <v>3471.1</v>
      </c>
      <c r="L63" s="527">
        <v>471.1</v>
      </c>
      <c r="M63" s="620">
        <v>3000</v>
      </c>
      <c r="N63" s="515"/>
      <c r="O63" s="120"/>
      <c r="P63" s="120"/>
      <c r="Q63" s="120"/>
      <c r="R63" s="120"/>
      <c r="S63" s="120"/>
      <c r="T63" s="120"/>
      <c r="U63" s="120"/>
    </row>
    <row r="64" spans="1:21" x14ac:dyDescent="0.2">
      <c r="A64" s="48">
        <v>45</v>
      </c>
      <c r="B64" s="457">
        <v>85</v>
      </c>
      <c r="C64" s="52" t="s">
        <v>105</v>
      </c>
      <c r="D64" s="480">
        <f t="shared" si="13"/>
        <v>1275</v>
      </c>
      <c r="E64" s="528">
        <f t="shared" si="14"/>
        <v>1275</v>
      </c>
      <c r="F64" s="528">
        <f t="shared" si="15"/>
        <v>0</v>
      </c>
      <c r="G64" s="868">
        <f t="shared" si="16"/>
        <v>0</v>
      </c>
      <c r="H64" s="512"/>
      <c r="I64" s="513"/>
      <c r="J64" s="514"/>
      <c r="K64" s="508">
        <f t="shared" si="17"/>
        <v>818.7</v>
      </c>
      <c r="L64" s="511">
        <v>818.7</v>
      </c>
      <c r="M64" s="620">
        <v>0</v>
      </c>
      <c r="N64" s="515"/>
      <c r="O64" s="120"/>
      <c r="P64" s="120"/>
      <c r="Q64" s="120"/>
      <c r="R64" s="120"/>
      <c r="S64" s="120"/>
      <c r="T64" s="120"/>
      <c r="U64" s="120"/>
    </row>
    <row r="65" spans="1:24" x14ac:dyDescent="0.2">
      <c r="A65" s="298">
        <v>46</v>
      </c>
      <c r="B65" s="457">
        <v>87</v>
      </c>
      <c r="C65" s="52" t="s">
        <v>134</v>
      </c>
      <c r="D65" s="480">
        <f t="shared" si="13"/>
        <v>8524</v>
      </c>
      <c r="E65" s="528">
        <f t="shared" si="14"/>
        <v>0</v>
      </c>
      <c r="F65" s="528">
        <f t="shared" si="15"/>
        <v>8524</v>
      </c>
      <c r="G65" s="868">
        <f t="shared" si="16"/>
        <v>7724</v>
      </c>
      <c r="H65" s="512">
        <f>'příl.1 - cp 2017'!J124+'příl.1 - cp 2017'!J21</f>
        <v>800</v>
      </c>
      <c r="I65" s="513"/>
      <c r="J65" s="514"/>
      <c r="K65" s="508">
        <f t="shared" si="17"/>
        <v>9119</v>
      </c>
      <c r="L65" s="511">
        <v>0</v>
      </c>
      <c r="M65" s="620">
        <v>9119</v>
      </c>
      <c r="N65" s="515"/>
      <c r="O65" s="120"/>
      <c r="P65" s="120"/>
      <c r="Q65" s="120"/>
      <c r="R65" s="120"/>
      <c r="S65" s="120"/>
      <c r="T65" s="120"/>
      <c r="U65" s="120"/>
    </row>
    <row r="66" spans="1:24" x14ac:dyDescent="0.2">
      <c r="A66" s="48">
        <v>47</v>
      </c>
      <c r="B66" s="457">
        <v>92</v>
      </c>
      <c r="C66" s="52" t="s">
        <v>17</v>
      </c>
      <c r="D66" s="480">
        <f t="shared" si="13"/>
        <v>139060.5</v>
      </c>
      <c r="E66" s="528">
        <f t="shared" si="14"/>
        <v>3793.5</v>
      </c>
      <c r="F66" s="528">
        <f t="shared" si="15"/>
        <v>135267</v>
      </c>
      <c r="G66" s="868">
        <f t="shared" si="16"/>
        <v>96197</v>
      </c>
      <c r="H66" s="512">
        <f>'příl.1 - cp 2017'!J146+'příl.1 - cp 2017'!J22</f>
        <v>39070</v>
      </c>
      <c r="I66" s="513"/>
      <c r="J66" s="514"/>
      <c r="K66" s="508">
        <f t="shared" si="17"/>
        <v>141827</v>
      </c>
      <c r="L66" s="511">
        <v>2612</v>
      </c>
      <c r="M66" s="620">
        <v>139215</v>
      </c>
      <c r="N66" s="515"/>
      <c r="O66" s="120"/>
      <c r="P66" s="120"/>
      <c r="Q66" s="120"/>
      <c r="R66" s="120"/>
      <c r="S66" s="120"/>
      <c r="T66" s="120"/>
      <c r="U66" s="120"/>
    </row>
    <row r="67" spans="1:24" x14ac:dyDescent="0.2">
      <c r="A67" s="298">
        <v>48</v>
      </c>
      <c r="B67" s="457">
        <v>96</v>
      </c>
      <c r="C67" s="52" t="s">
        <v>24</v>
      </c>
      <c r="D67" s="480">
        <f t="shared" si="13"/>
        <v>32821.699999999997</v>
      </c>
      <c r="E67" s="528">
        <f t="shared" si="14"/>
        <v>819.7</v>
      </c>
      <c r="F67" s="528">
        <f t="shared" si="15"/>
        <v>32002</v>
      </c>
      <c r="G67" s="868">
        <f t="shared" si="16"/>
        <v>32000</v>
      </c>
      <c r="H67" s="512">
        <f>'příl.1 - cp 2017'!J23</f>
        <v>2</v>
      </c>
      <c r="I67" s="513"/>
      <c r="J67" s="514"/>
      <c r="K67" s="508">
        <f t="shared" si="17"/>
        <v>32826.699999999997</v>
      </c>
      <c r="L67" s="511">
        <v>806.7</v>
      </c>
      <c r="M67" s="620">
        <v>32020</v>
      </c>
      <c r="N67" s="515"/>
      <c r="O67" s="120"/>
      <c r="P67" s="120"/>
      <c r="Q67" s="120"/>
      <c r="R67" s="120"/>
      <c r="S67" s="120"/>
      <c r="T67" s="120"/>
      <c r="U67" s="120"/>
    </row>
    <row r="68" spans="1:24" x14ac:dyDescent="0.2">
      <c r="A68" s="48">
        <v>49</v>
      </c>
      <c r="B68" s="457">
        <v>97</v>
      </c>
      <c r="C68" s="52" t="s">
        <v>25</v>
      </c>
      <c r="D68" s="480">
        <f t="shared" si="13"/>
        <v>9450</v>
      </c>
      <c r="E68" s="528">
        <f t="shared" si="14"/>
        <v>0</v>
      </c>
      <c r="F68" s="528">
        <f t="shared" si="15"/>
        <v>9450</v>
      </c>
      <c r="G68" s="868">
        <f t="shared" si="16"/>
        <v>9450</v>
      </c>
      <c r="H68" s="512">
        <f>'příl.1 - cp 2017'!J148</f>
        <v>0</v>
      </c>
      <c r="I68" s="513"/>
      <c r="J68" s="514"/>
      <c r="K68" s="508">
        <f t="shared" si="17"/>
        <v>9680</v>
      </c>
      <c r="L68" s="511">
        <v>0</v>
      </c>
      <c r="M68" s="620">
        <v>9680</v>
      </c>
      <c r="N68" s="522"/>
      <c r="O68" s="120"/>
      <c r="P68" s="120"/>
      <c r="Q68" s="120"/>
      <c r="R68" s="120"/>
      <c r="S68" s="120"/>
      <c r="T68" s="120"/>
      <c r="U68" s="120"/>
    </row>
    <row r="69" spans="1:24" x14ac:dyDescent="0.2">
      <c r="A69" s="873">
        <v>50</v>
      </c>
      <c r="B69" s="531">
        <v>99</v>
      </c>
      <c r="C69" s="53" t="s">
        <v>85</v>
      </c>
      <c r="D69" s="470">
        <f>SUM(E69:F69,J69)</f>
        <v>220681.5</v>
      </c>
      <c r="E69" s="528">
        <f t="shared" si="14"/>
        <v>24439.5</v>
      </c>
      <c r="F69" s="528">
        <f t="shared" si="15"/>
        <v>179363.09402934986</v>
      </c>
      <c r="G69" s="868">
        <f t="shared" si="16"/>
        <v>77491.094029349857</v>
      </c>
      <c r="H69" s="519">
        <f>'příl.1 - cp 2017'!J83+'příl.1 - cp 2017'!J25-I69</f>
        <v>82872</v>
      </c>
      <c r="I69" s="532">
        <f>'příl.1 - cp 2017'!J82</f>
        <v>19000</v>
      </c>
      <c r="J69" s="533">
        <f>G29</f>
        <v>16878.905970650143</v>
      </c>
      <c r="K69" s="508">
        <f t="shared" si="17"/>
        <v>211723</v>
      </c>
      <c r="L69" s="503">
        <v>26574</v>
      </c>
      <c r="M69" s="863">
        <v>150765.78000000038</v>
      </c>
      <c r="N69" s="520">
        <v>34383.219999999623</v>
      </c>
      <c r="O69" s="120"/>
      <c r="P69" s="120"/>
      <c r="Q69" s="120"/>
      <c r="R69" s="120"/>
      <c r="S69" s="120"/>
      <c r="T69" s="120"/>
      <c r="U69" s="120"/>
    </row>
    <row r="70" spans="1:24" s="537" customFormat="1" x14ac:dyDescent="0.2">
      <c r="A70" s="716">
        <v>51</v>
      </c>
      <c r="B70" s="485" t="s">
        <v>573</v>
      </c>
      <c r="C70" s="875"/>
      <c r="D70" s="876">
        <f>SUM(D58:D69)</f>
        <v>517217.2</v>
      </c>
      <c r="E70" s="867">
        <f>SUM(E58:E69)</f>
        <v>108405.2</v>
      </c>
      <c r="F70" s="867">
        <f t="shared" ref="F70:N70" si="18">SUM(F58:F69)</f>
        <v>391933.09402934986</v>
      </c>
      <c r="G70" s="867">
        <f t="shared" si="18"/>
        <v>230421.09402934986</v>
      </c>
      <c r="H70" s="877">
        <f>SUM(H58:H69)</f>
        <v>142512</v>
      </c>
      <c r="I70" s="878">
        <f t="shared" si="18"/>
        <v>19000</v>
      </c>
      <c r="J70" s="867">
        <f t="shared" si="18"/>
        <v>16878.905970650143</v>
      </c>
      <c r="K70" s="879">
        <f t="shared" si="18"/>
        <v>494196.3</v>
      </c>
      <c r="L70" s="838">
        <f t="shared" si="18"/>
        <v>92814.3</v>
      </c>
      <c r="M70" s="867">
        <f t="shared" si="18"/>
        <v>366998.78000000038</v>
      </c>
      <c r="N70" s="880">
        <f t="shared" si="18"/>
        <v>34383.219999999623</v>
      </c>
      <c r="O70" s="643"/>
      <c r="P70" s="643"/>
      <c r="Q70" s="643"/>
      <c r="R70" s="643"/>
      <c r="S70" s="643"/>
      <c r="T70" s="643"/>
      <c r="U70" s="643"/>
    </row>
    <row r="71" spans="1:24" s="537" customFormat="1" ht="13.5" thickBot="1" x14ac:dyDescent="0.25">
      <c r="A71" s="881">
        <v>52</v>
      </c>
      <c r="B71" s="882" t="s">
        <v>609</v>
      </c>
      <c r="C71" s="882"/>
      <c r="D71" s="883">
        <f>SUM(E71:F71)</f>
        <v>88000</v>
      </c>
      <c r="E71" s="884"/>
      <c r="F71" s="885">
        <f>SUM(G71:J71)</f>
        <v>88000</v>
      </c>
      <c r="G71" s="886"/>
      <c r="H71" s="887">
        <f>'příl.1 - cp 2017'!J7+'příl.1 - cp 2017'!J26</f>
        <v>88000</v>
      </c>
      <c r="I71" s="884"/>
      <c r="J71" s="888"/>
      <c r="K71" s="889">
        <f>SUM(L71:N71)</f>
        <v>88000</v>
      </c>
      <c r="L71" s="884">
        <v>0</v>
      </c>
      <c r="M71" s="886">
        <v>88000</v>
      </c>
      <c r="N71" s="890"/>
      <c r="O71" s="643"/>
      <c r="P71" s="643"/>
      <c r="Q71" s="643"/>
      <c r="R71" s="643"/>
      <c r="S71" s="643"/>
      <c r="T71" s="643"/>
      <c r="U71" s="643"/>
    </row>
    <row r="72" spans="1:24" ht="14.25" customHeight="1" thickBot="1" x14ac:dyDescent="0.25">
      <c r="A72" s="302">
        <v>53</v>
      </c>
      <c r="B72" s="486" t="s">
        <v>35</v>
      </c>
      <c r="C72" s="475"/>
      <c r="D72" s="801">
        <f>D57+D70+D71</f>
        <v>2486258.7000000007</v>
      </c>
      <c r="E72" s="824">
        <f t="shared" ref="E72:J72" si="19">E57+E70+E71</f>
        <v>626771.6</v>
      </c>
      <c r="F72" s="826">
        <f t="shared" si="19"/>
        <v>1842608.1940293498</v>
      </c>
      <c r="G72" s="825">
        <f t="shared" si="19"/>
        <v>1549450.1940293498</v>
      </c>
      <c r="H72" s="754">
        <f t="shared" si="19"/>
        <v>274158</v>
      </c>
      <c r="I72" s="755">
        <f t="shared" si="19"/>
        <v>19000</v>
      </c>
      <c r="J72" s="476">
        <f t="shared" si="19"/>
        <v>16878.905970650143</v>
      </c>
      <c r="K72" s="827">
        <f>K57++K70+K71</f>
        <v>2433792.5</v>
      </c>
      <c r="L72" s="828">
        <f>L57++L70+L71</f>
        <v>590750.89999999991</v>
      </c>
      <c r="M72" s="864">
        <f>M57++M70+M71</f>
        <v>1808658.38</v>
      </c>
      <c r="N72" s="828">
        <f>N57++N70+N71</f>
        <v>34383.219999999623</v>
      </c>
      <c r="O72" s="120"/>
      <c r="P72" s="120"/>
      <c r="Q72" s="120"/>
      <c r="R72" s="120"/>
      <c r="S72" s="120"/>
      <c r="T72" s="120"/>
      <c r="U72" s="120"/>
    </row>
    <row r="73" spans="1:24" s="1015" customFormat="1" ht="15" customHeight="1" x14ac:dyDescent="0.2">
      <c r="A73" s="1014" t="s">
        <v>374</v>
      </c>
      <c r="D73" s="1016"/>
      <c r="E73" s="1609">
        <f>E72+F72</f>
        <v>2469379.7940293499</v>
      </c>
      <c r="F73" s="1610"/>
      <c r="G73" s="1619">
        <f>G72+H72+I72</f>
        <v>1842608.1940293498</v>
      </c>
      <c r="H73" s="1620"/>
      <c r="I73" s="1621"/>
      <c r="J73" s="1017"/>
      <c r="K73" s="1018"/>
      <c r="L73" s="1609">
        <f>SUM(L72:M72)</f>
        <v>2399409.2799999998</v>
      </c>
      <c r="M73" s="1610"/>
      <c r="N73" s="1019"/>
      <c r="O73" s="1019"/>
      <c r="P73" s="1019"/>
      <c r="Q73" s="1019"/>
      <c r="R73" s="1019"/>
      <c r="S73" s="1019"/>
      <c r="T73" s="1019"/>
      <c r="U73" s="1019"/>
      <c r="X73" s="1020"/>
    </row>
    <row r="74" spans="1:24" s="1022" customFormat="1" ht="15" x14ac:dyDescent="0.2">
      <c r="A74" s="1021"/>
      <c r="D74" s="1074">
        <f>D35-D72</f>
        <v>0</v>
      </c>
      <c r="E74" s="1626">
        <f>E72+H72+G72</f>
        <v>2450379.7940293499</v>
      </c>
      <c r="F74" s="1628"/>
      <c r="G74" s="1628"/>
      <c r="H74" s="1629"/>
      <c r="I74" s="1016"/>
      <c r="J74" s="1073"/>
      <c r="K74" s="1024"/>
      <c r="N74" s="1019"/>
      <c r="O74" s="1019"/>
      <c r="P74" s="1019"/>
      <c r="Q74" s="1019"/>
      <c r="R74" s="1019"/>
      <c r="S74" s="1019"/>
      <c r="T74" s="1019"/>
      <c r="U74" s="1019"/>
      <c r="V74" s="1015"/>
      <c r="W74" s="1015"/>
      <c r="X74" s="1020"/>
    </row>
    <row r="75" spans="1:24" s="1022" customFormat="1" ht="15" x14ac:dyDescent="0.2">
      <c r="A75" s="1021"/>
      <c r="D75" s="1023"/>
      <c r="E75" s="1023"/>
      <c r="F75" s="1016"/>
      <c r="G75" s="1023"/>
      <c r="H75" s="1626">
        <f>H72+I72</f>
        <v>293158</v>
      </c>
      <c r="I75" s="1627"/>
      <c r="J75" s="1016"/>
      <c r="K75" s="1024"/>
      <c r="N75" s="1019"/>
      <c r="O75" s="1019"/>
      <c r="P75" s="1019"/>
      <c r="Q75" s="1019"/>
      <c r="R75" s="1019"/>
      <c r="S75" s="1019"/>
      <c r="T75" s="1019"/>
      <c r="U75" s="1019"/>
      <c r="V75" s="1015"/>
      <c r="W75" s="1015"/>
      <c r="X75" s="1020"/>
    </row>
    <row r="76" spans="1:24" s="644" customFormat="1" ht="15" x14ac:dyDescent="0.2">
      <c r="A76" s="645"/>
      <c r="D76" s="646"/>
      <c r="E76" s="646"/>
      <c r="F76" s="643"/>
      <c r="G76" s="646"/>
      <c r="H76" s="643"/>
      <c r="I76" s="643"/>
      <c r="J76" s="643"/>
      <c r="K76" s="647"/>
      <c r="N76" s="120"/>
      <c r="O76" s="120"/>
      <c r="P76" s="120"/>
      <c r="Q76" s="120"/>
      <c r="R76" s="120"/>
      <c r="S76" s="120"/>
      <c r="T76" s="120"/>
      <c r="U76" s="120"/>
      <c r="V76" s="537"/>
      <c r="W76" s="537"/>
      <c r="X76" s="46"/>
    </row>
    <row r="77" spans="1:24" s="644" customFormat="1" ht="15" x14ac:dyDescent="0.2">
      <c r="A77" s="645"/>
      <c r="D77" s="646"/>
      <c r="E77" s="646"/>
      <c r="F77" s="643"/>
      <c r="G77" s="646"/>
      <c r="H77" s="643"/>
      <c r="I77" s="643"/>
      <c r="J77" s="643"/>
      <c r="K77" s="647"/>
      <c r="N77" s="120"/>
      <c r="O77" s="120"/>
      <c r="P77" s="120"/>
      <c r="Q77" s="120"/>
      <c r="R77" s="120"/>
      <c r="S77" s="120"/>
      <c r="T77" s="120"/>
      <c r="U77" s="120"/>
      <c r="V77" s="537"/>
      <c r="W77" s="537"/>
      <c r="X77" s="46"/>
    </row>
    <row r="78" spans="1:24" s="644" customFormat="1" x14ac:dyDescent="0.2">
      <c r="A78" s="789" t="s">
        <v>402</v>
      </c>
      <c r="B78" s="790"/>
      <c r="C78" s="790"/>
      <c r="D78" s="790"/>
      <c r="E78" s="790"/>
      <c r="F78" s="790"/>
      <c r="G78" s="790"/>
      <c r="H78" s="790"/>
      <c r="I78" s="790"/>
      <c r="J78" s="790"/>
      <c r="K78" s="790"/>
      <c r="L78" s="790"/>
      <c r="M78" s="791"/>
      <c r="N78" s="790"/>
      <c r="O78" s="120"/>
      <c r="P78" s="120"/>
      <c r="Q78" s="120"/>
      <c r="R78" s="120"/>
      <c r="S78" s="120"/>
      <c r="T78" s="120"/>
      <c r="U78" s="120"/>
      <c r="V78" s="537"/>
      <c r="W78" s="537"/>
      <c r="X78" s="46"/>
    </row>
    <row r="79" spans="1:24" s="644" customFormat="1" ht="13.5" thickBot="1" x14ac:dyDescent="0.25">
      <c r="A79" s="537" t="s">
        <v>352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37"/>
      <c r="N79" s="46"/>
      <c r="O79" s="120"/>
      <c r="P79" s="120"/>
      <c r="Q79" s="120"/>
      <c r="R79" s="120"/>
      <c r="S79" s="120"/>
      <c r="T79" s="120"/>
      <c r="U79" s="120"/>
      <c r="V79" s="537"/>
      <c r="W79" s="537"/>
      <c r="X79" s="46"/>
    </row>
    <row r="80" spans="1:24" s="644" customFormat="1" x14ac:dyDescent="0.2">
      <c r="A80" s="122"/>
      <c r="B80" s="439"/>
      <c r="C80" s="296"/>
      <c r="D80" s="1612" t="s">
        <v>682</v>
      </c>
      <c r="E80" s="1613"/>
      <c r="F80" s="1613"/>
      <c r="G80" s="1613"/>
      <c r="H80" s="1613"/>
      <c r="I80" s="1613"/>
      <c r="J80" s="1625"/>
      <c r="K80" s="1624" t="s">
        <v>614</v>
      </c>
      <c r="L80" s="1614"/>
      <c r="M80" s="1614"/>
      <c r="N80" s="1615"/>
      <c r="O80" s="120"/>
      <c r="P80" s="1041">
        <v>2017</v>
      </c>
      <c r="Q80" s="1042">
        <v>2016</v>
      </c>
      <c r="R80" s="120"/>
      <c r="S80" s="120"/>
      <c r="T80" s="120"/>
      <c r="U80" s="120"/>
      <c r="V80" s="537"/>
      <c r="W80" s="537"/>
      <c r="X80" s="46"/>
    </row>
    <row r="81" spans="1:24" s="644" customFormat="1" x14ac:dyDescent="0.2">
      <c r="A81" s="440"/>
      <c r="B81" s="54"/>
      <c r="C81" s="55"/>
      <c r="D81" s="934" t="s">
        <v>140</v>
      </c>
      <c r="E81" s="1611" t="s">
        <v>185</v>
      </c>
      <c r="F81" s="1611"/>
      <c r="G81" s="1611"/>
      <c r="H81" s="1611"/>
      <c r="I81" s="1611"/>
      <c r="J81" s="636" t="s">
        <v>268</v>
      </c>
      <c r="K81" s="637" t="s">
        <v>140</v>
      </c>
      <c r="L81" s="1630" t="s">
        <v>31</v>
      </c>
      <c r="M81" s="1611"/>
      <c r="N81" s="1631"/>
      <c r="O81" s="120"/>
      <c r="P81" s="1043"/>
      <c r="Q81" s="1044"/>
      <c r="R81" s="120"/>
      <c r="S81" s="120"/>
      <c r="T81" s="120"/>
      <c r="U81" s="120"/>
      <c r="V81" s="537"/>
      <c r="W81" s="537"/>
      <c r="X81" s="46"/>
    </row>
    <row r="82" spans="1:24" s="644" customFormat="1" x14ac:dyDescent="0.2">
      <c r="A82" s="440"/>
      <c r="B82" s="54" t="s">
        <v>37</v>
      </c>
      <c r="C82" s="55"/>
      <c r="D82" s="935" t="s">
        <v>141</v>
      </c>
      <c r="E82" s="321" t="s">
        <v>178</v>
      </c>
      <c r="F82" s="49" t="s">
        <v>67</v>
      </c>
      <c r="G82" s="1622" t="s">
        <v>68</v>
      </c>
      <c r="H82" s="1623"/>
      <c r="I82" s="1623"/>
      <c r="J82" s="638" t="s">
        <v>270</v>
      </c>
      <c r="K82" s="637" t="s">
        <v>141</v>
      </c>
      <c r="L82" s="321" t="s">
        <v>178</v>
      </c>
      <c r="M82" s="449" t="s">
        <v>67</v>
      </c>
      <c r="N82" s="859" t="s">
        <v>110</v>
      </c>
      <c r="O82" s="120"/>
      <c r="P82" s="1045" t="s">
        <v>399</v>
      </c>
      <c r="Q82" s="1046" t="s">
        <v>399</v>
      </c>
      <c r="R82" s="120"/>
      <c r="S82" s="120"/>
      <c r="T82" s="120"/>
      <c r="U82" s="120"/>
      <c r="V82" s="537"/>
      <c r="W82" s="537"/>
      <c r="X82" s="46"/>
    </row>
    <row r="83" spans="1:24" s="644" customFormat="1" ht="15.75" thickBot="1" x14ac:dyDescent="0.25">
      <c r="A83" s="442" t="s">
        <v>34</v>
      </c>
      <c r="B83" s="443" t="s">
        <v>38</v>
      </c>
      <c r="C83" s="444"/>
      <c r="D83" s="936" t="s">
        <v>271</v>
      </c>
      <c r="E83" s="445" t="s">
        <v>177</v>
      </c>
      <c r="F83" s="490" t="s">
        <v>16</v>
      </c>
      <c r="G83" s="491" t="s">
        <v>32</v>
      </c>
      <c r="H83" s="492" t="s">
        <v>363</v>
      </c>
      <c r="I83" s="493" t="s">
        <v>33</v>
      </c>
      <c r="J83" s="639" t="s">
        <v>269</v>
      </c>
      <c r="K83" s="640" t="s">
        <v>271</v>
      </c>
      <c r="L83" s="445" t="s">
        <v>177</v>
      </c>
      <c r="M83" s="860" t="s">
        <v>16</v>
      </c>
      <c r="N83" s="865"/>
      <c r="O83" s="120"/>
      <c r="P83" s="1045"/>
      <c r="Q83" s="1046"/>
      <c r="R83" s="120"/>
      <c r="S83" s="120"/>
      <c r="W83" s="537"/>
      <c r="X83" s="46"/>
    </row>
    <row r="84" spans="1:24" s="644" customFormat="1" ht="13.5" thickBot="1" x14ac:dyDescent="0.25">
      <c r="A84" s="494"/>
      <c r="B84" s="56"/>
      <c r="C84" s="495" t="s">
        <v>234</v>
      </c>
      <c r="D84" s="937"/>
      <c r="E84" s="496">
        <v>2112</v>
      </c>
      <c r="F84" s="497"/>
      <c r="G84" s="498">
        <v>1111</v>
      </c>
      <c r="H84" s="499">
        <v>1112</v>
      </c>
      <c r="I84" s="500">
        <v>1112</v>
      </c>
      <c r="J84" s="642">
        <v>4769</v>
      </c>
      <c r="K84" s="501"/>
      <c r="L84" s="496"/>
      <c r="M84" s="861"/>
      <c r="N84" s="866"/>
      <c r="O84" s="120"/>
      <c r="P84" s="1066" t="s">
        <v>588</v>
      </c>
      <c r="Q84" s="1067" t="s">
        <v>588</v>
      </c>
      <c r="R84" s="120"/>
      <c r="S84" s="120"/>
      <c r="W84" s="537"/>
      <c r="X84" s="46"/>
    </row>
    <row r="85" spans="1:24" s="644" customFormat="1" x14ac:dyDescent="0.2">
      <c r="A85" s="308">
        <v>54</v>
      </c>
      <c r="B85" s="321">
        <v>11</v>
      </c>
      <c r="C85" s="55" t="s">
        <v>7</v>
      </c>
      <c r="D85" s="938">
        <f>SUM(E85:F85)</f>
        <v>294026.16560341604</v>
      </c>
      <c r="E85" s="829">
        <f>'pom1 - Přerozdělení IP'!Q10</f>
        <v>60634</v>
      </c>
      <c r="F85" s="503">
        <f>SUM(G85:H85)</f>
        <v>233392.16560341601</v>
      </c>
      <c r="G85" s="618">
        <f>'pom1 - Přerozdělení IP'!H10+'pom1 - Přerozdělení IP'!N10</f>
        <v>233392.16560341601</v>
      </c>
      <c r="H85" s="623">
        <f>'pom1 - Přerozdělení IP'!M10</f>
        <v>0</v>
      </c>
      <c r="I85" s="506"/>
      <c r="J85" s="507"/>
      <c r="K85" s="508">
        <f>SUM(L85:N85)</f>
        <v>309601.89047927142</v>
      </c>
      <c r="L85" s="509">
        <v>60532</v>
      </c>
      <c r="M85" s="618">
        <v>249069.89047927142</v>
      </c>
      <c r="N85" s="849"/>
      <c r="O85" s="120"/>
      <c r="P85" s="1054">
        <f>'Rozdělení IRP'!F8</f>
        <v>8807.6599709374514</v>
      </c>
      <c r="Q85" s="1047">
        <v>8876.7855704057747</v>
      </c>
      <c r="R85" s="120"/>
      <c r="S85" s="275"/>
      <c r="W85" s="537"/>
      <c r="X85" s="46"/>
    </row>
    <row r="86" spans="1:24" s="644" customFormat="1" x14ac:dyDescent="0.2">
      <c r="A86" s="298">
        <v>55</v>
      </c>
      <c r="B86" s="510">
        <v>21</v>
      </c>
      <c r="C86" s="52" t="s">
        <v>8</v>
      </c>
      <c r="D86" s="939">
        <f t="shared" ref="D86:D92" si="20">SUM(E86:F86)</f>
        <v>324970.63866060466</v>
      </c>
      <c r="E86" s="830">
        <f>'pom1 - Přerozdělení IP'!Q11</f>
        <v>56689</v>
      </c>
      <c r="F86" s="511">
        <f t="shared" ref="F86:F93" si="21">SUM(G86:H86)</f>
        <v>268281.63866060466</v>
      </c>
      <c r="G86" s="619">
        <f>'pom1 - Přerozdělení IP'!H11+'pom1 - Přerozdělení IP'!N11</f>
        <v>267535.63866060466</v>
      </c>
      <c r="H86" s="462">
        <f>'pom1 - Přerozdělení IP'!M11</f>
        <v>746</v>
      </c>
      <c r="I86" s="621"/>
      <c r="J86" s="514"/>
      <c r="K86" s="508">
        <f t="shared" ref="K86:K93" si="22">SUM(L86:N86)</f>
        <v>317505.15346500702</v>
      </c>
      <c r="L86" s="511">
        <v>57392</v>
      </c>
      <c r="M86" s="619">
        <v>260113.15346500702</v>
      </c>
      <c r="N86" s="850"/>
      <c r="O86" s="120"/>
      <c r="P86" s="1054">
        <f>'Rozdělení IRP'!F9</f>
        <v>9135.6027666686441</v>
      </c>
      <c r="Q86" s="1049">
        <v>8735.2537712673384</v>
      </c>
      <c r="R86" s="120"/>
      <c r="S86" s="275"/>
      <c r="W86" s="537"/>
      <c r="X86" s="46"/>
    </row>
    <row r="87" spans="1:24" s="644" customFormat="1" x14ac:dyDescent="0.2">
      <c r="A87" s="298">
        <v>56</v>
      </c>
      <c r="B87" s="510">
        <v>22</v>
      </c>
      <c r="C87" s="52" t="s">
        <v>9</v>
      </c>
      <c r="D87" s="939">
        <f t="shared" si="20"/>
        <v>110568.39935610427</v>
      </c>
      <c r="E87" s="830">
        <f>'pom1 - Přerozdělení IP'!Q12</f>
        <v>19410</v>
      </c>
      <c r="F87" s="511">
        <f t="shared" si="21"/>
        <v>91158.399356104273</v>
      </c>
      <c r="G87" s="619">
        <f>'pom1 - Přerozdělení IP'!H12+'pom1 - Přerozdělení IP'!N12</f>
        <v>91158.399356104273</v>
      </c>
      <c r="H87" s="462">
        <f>'pom1 - Přerozdělení IP'!M12</f>
        <v>0</v>
      </c>
      <c r="I87" s="621"/>
      <c r="J87" s="514"/>
      <c r="K87" s="508">
        <f t="shared" si="22"/>
        <v>114521.25579174946</v>
      </c>
      <c r="L87" s="511">
        <v>21183</v>
      </c>
      <c r="M87" s="619">
        <v>93338.255791749456</v>
      </c>
      <c r="N87" s="850"/>
      <c r="O87" s="120"/>
      <c r="P87" s="1054">
        <f>'Rozdělení IRP'!F10</f>
        <v>2784.7851406527097</v>
      </c>
      <c r="Q87" s="1049">
        <v>2779.8574081329189</v>
      </c>
      <c r="R87" s="120"/>
      <c r="S87" s="275"/>
      <c r="W87" s="537"/>
      <c r="X87" s="46"/>
    </row>
    <row r="88" spans="1:24" s="644" customFormat="1" x14ac:dyDescent="0.2">
      <c r="A88" s="298">
        <v>57</v>
      </c>
      <c r="B88" s="510">
        <v>23</v>
      </c>
      <c r="C88" s="52" t="s">
        <v>10</v>
      </c>
      <c r="D88" s="939">
        <f t="shared" si="20"/>
        <v>140723.48865265356</v>
      </c>
      <c r="E88" s="830">
        <f>'pom1 - Přerozdělení IP'!Q13</f>
        <v>28852</v>
      </c>
      <c r="F88" s="511">
        <f t="shared" si="21"/>
        <v>111871.48865265356</v>
      </c>
      <c r="G88" s="619">
        <f>'pom1 - Přerozdělení IP'!H13+'pom1 - Přerozdělení IP'!N13</f>
        <v>111671.48865265356</v>
      </c>
      <c r="H88" s="462">
        <f>'pom1 - Přerozdělení IP'!M13</f>
        <v>200</v>
      </c>
      <c r="I88" s="621"/>
      <c r="J88" s="514"/>
      <c r="K88" s="508">
        <f t="shared" si="22"/>
        <v>131085.37560406618</v>
      </c>
      <c r="L88" s="511">
        <v>26568</v>
      </c>
      <c r="M88" s="619">
        <v>104517.37560406617</v>
      </c>
      <c r="N88" s="850"/>
      <c r="O88" s="120"/>
      <c r="P88" s="1054">
        <f>'Rozdělení IRP'!F11</f>
        <v>4216.3773093846239</v>
      </c>
      <c r="Q88" s="1049">
        <v>4206.3512192758135</v>
      </c>
      <c r="R88" s="120"/>
      <c r="S88" s="275"/>
      <c r="W88" s="537"/>
      <c r="X88" s="46"/>
    </row>
    <row r="89" spans="1:24" s="644" customFormat="1" x14ac:dyDescent="0.2">
      <c r="A89" s="298">
        <v>58</v>
      </c>
      <c r="B89" s="510">
        <v>31</v>
      </c>
      <c r="C89" s="52" t="s">
        <v>11</v>
      </c>
      <c r="D89" s="939">
        <f t="shared" si="20"/>
        <v>467480.00139009679</v>
      </c>
      <c r="E89" s="830">
        <f>'pom1 - Přerozdělení IP'!Q14</f>
        <v>199209</v>
      </c>
      <c r="F89" s="511">
        <f t="shared" si="21"/>
        <v>268271.00139009679</v>
      </c>
      <c r="G89" s="619">
        <f>'pom1 - Přerozdělení IP'!H14+'pom1 - Přerozdělení IP'!N14</f>
        <v>266071.00139009679</v>
      </c>
      <c r="H89" s="462">
        <f>'pom1 - Přerozdělení IP'!M14</f>
        <v>2200</v>
      </c>
      <c r="I89" s="621"/>
      <c r="J89" s="514"/>
      <c r="K89" s="508">
        <f t="shared" si="22"/>
        <v>456378.2544022855</v>
      </c>
      <c r="L89" s="511">
        <v>191264</v>
      </c>
      <c r="M89" s="619">
        <v>265114.2544022855</v>
      </c>
      <c r="N89" s="850"/>
      <c r="O89" s="120"/>
      <c r="P89" s="1054">
        <f>'Rozdělení IRP'!F12</f>
        <v>5579.1234168284373</v>
      </c>
      <c r="Q89" s="1049">
        <v>5019.804708301428</v>
      </c>
      <c r="R89" s="120"/>
      <c r="S89" s="275"/>
      <c r="W89" s="537"/>
      <c r="X89" s="46"/>
    </row>
    <row r="90" spans="1:24" s="644" customFormat="1" x14ac:dyDescent="0.2">
      <c r="A90" s="298">
        <v>59</v>
      </c>
      <c r="B90" s="510">
        <v>33</v>
      </c>
      <c r="C90" s="52" t="s">
        <v>12</v>
      </c>
      <c r="D90" s="939">
        <f t="shared" si="20"/>
        <v>174517.98499455123</v>
      </c>
      <c r="E90" s="830">
        <f>'pom1 - Přerozdělení IP'!Q15</f>
        <v>33094</v>
      </c>
      <c r="F90" s="511">
        <f t="shared" si="21"/>
        <v>141423.98499455123</v>
      </c>
      <c r="G90" s="619">
        <f>'pom1 - Přerozdělení IP'!H15+'pom1 - Přerozdělení IP'!N15</f>
        <v>101923.98499455123</v>
      </c>
      <c r="H90" s="462">
        <f>'pom1 - Přerozdělení IP'!M15</f>
        <v>39500</v>
      </c>
      <c r="I90" s="621"/>
      <c r="J90" s="514"/>
      <c r="K90" s="508">
        <f t="shared" si="22"/>
        <v>163705.18949973123</v>
      </c>
      <c r="L90" s="511">
        <v>30836</v>
      </c>
      <c r="M90" s="619">
        <v>132869.18949973123</v>
      </c>
      <c r="N90" s="850"/>
      <c r="O90" s="120"/>
      <c r="P90" s="1054">
        <f>'Rozdělení IRP'!F13</f>
        <v>3151.7972473142945</v>
      </c>
      <c r="Q90" s="1049">
        <v>3326.2250617739837</v>
      </c>
      <c r="R90" s="120"/>
      <c r="S90" s="275"/>
      <c r="W90" s="537"/>
      <c r="X90" s="46"/>
    </row>
    <row r="91" spans="1:24" s="644" customFormat="1" x14ac:dyDescent="0.2">
      <c r="A91" s="298">
        <v>60</v>
      </c>
      <c r="B91" s="510">
        <v>41</v>
      </c>
      <c r="C91" s="52" t="s">
        <v>13</v>
      </c>
      <c r="D91" s="939">
        <f t="shared" si="20"/>
        <v>184844.23798622089</v>
      </c>
      <c r="E91" s="830">
        <f>'pom1 - Přerozdělení IP'!Q16</f>
        <v>26496</v>
      </c>
      <c r="F91" s="511">
        <f t="shared" si="21"/>
        <v>158348.23798622089</v>
      </c>
      <c r="G91" s="619">
        <f>'pom1 - Přerozdělení IP'!H16+'pom1 - Přerozdělení IP'!N16</f>
        <v>157648.23798622089</v>
      </c>
      <c r="H91" s="462">
        <f>'pom1 - Přerozdělení IP'!M16</f>
        <v>700</v>
      </c>
      <c r="I91" s="621"/>
      <c r="J91" s="514"/>
      <c r="K91" s="508">
        <f t="shared" si="22"/>
        <v>177608.10358475169</v>
      </c>
      <c r="L91" s="511">
        <v>26045</v>
      </c>
      <c r="M91" s="619">
        <v>151563.10358475169</v>
      </c>
      <c r="N91" s="850"/>
      <c r="O91" s="120"/>
      <c r="P91" s="1054">
        <f>'Rozdělení IRP'!F14</f>
        <v>3876.6144522020995</v>
      </c>
      <c r="Q91" s="1049">
        <v>4208.1893404365037</v>
      </c>
      <c r="R91" s="120"/>
      <c r="S91" s="275"/>
      <c r="W91" s="537"/>
      <c r="X91" s="46"/>
    </row>
    <row r="92" spans="1:24" s="644" customFormat="1" x14ac:dyDescent="0.2">
      <c r="A92" s="298">
        <v>61</v>
      </c>
      <c r="B92" s="510">
        <v>51</v>
      </c>
      <c r="C92" s="52" t="s">
        <v>233</v>
      </c>
      <c r="D92" s="939">
        <f t="shared" si="20"/>
        <v>72588.889276203219</v>
      </c>
      <c r="E92" s="830">
        <f>'pom1 - Přerozdělení IP'!Q17</f>
        <v>3356</v>
      </c>
      <c r="F92" s="511">
        <f t="shared" si="21"/>
        <v>69232.889276203219</v>
      </c>
      <c r="G92" s="619">
        <f>'pom1 - Přerozdělení IP'!H17+'pom1 - Přerozdělení IP'!N17</f>
        <v>68932.889276203219</v>
      </c>
      <c r="H92" s="462">
        <f>'pom1 - Přerozdělení IP'!M17</f>
        <v>300</v>
      </c>
      <c r="I92" s="621"/>
      <c r="J92" s="514"/>
      <c r="K92" s="508">
        <f t="shared" si="22"/>
        <v>74185.528498780055</v>
      </c>
      <c r="L92" s="511">
        <v>2964</v>
      </c>
      <c r="M92" s="619">
        <v>71221.528498780055</v>
      </c>
      <c r="N92" s="850"/>
      <c r="O92" s="120"/>
      <c r="P92" s="1054">
        <f>'Rozdělení IRP'!F15</f>
        <v>1277.822144230573</v>
      </c>
      <c r="Q92" s="1049">
        <v>1531.9978157236767</v>
      </c>
      <c r="R92" s="120"/>
      <c r="S92" s="275"/>
      <c r="W92" s="537"/>
      <c r="X92" s="46"/>
    </row>
    <row r="93" spans="1:24" s="644" customFormat="1" x14ac:dyDescent="0.2">
      <c r="A93" s="48">
        <v>62</v>
      </c>
      <c r="B93" s="517">
        <v>56</v>
      </c>
      <c r="C93" s="518" t="s">
        <v>15</v>
      </c>
      <c r="D93" s="938">
        <f>SUM(E93:F93)</f>
        <v>111321.65092615921</v>
      </c>
      <c r="E93" s="830">
        <f>'pom1 - Přerozdělení IP'!Q18</f>
        <v>12436</v>
      </c>
      <c r="F93" s="503">
        <f t="shared" si="21"/>
        <v>98885.650926159215</v>
      </c>
      <c r="G93" s="773">
        <f>'pom1 - Přerozdělení IP'!H18+'pom1 - Přerozdělení IP'!N18</f>
        <v>98885.650926159215</v>
      </c>
      <c r="H93" s="774">
        <f>'pom1 - Přerozdělení IP'!M18</f>
        <v>0</v>
      </c>
      <c r="I93" s="751"/>
      <c r="J93" s="533"/>
      <c r="K93" s="775">
        <f t="shared" si="22"/>
        <v>107004.60250073505</v>
      </c>
      <c r="L93" s="521">
        <v>11105</v>
      </c>
      <c r="M93" s="773">
        <v>95899.602500735054</v>
      </c>
      <c r="N93" s="851"/>
      <c r="O93" s="120"/>
      <c r="P93" s="1054">
        <f>'Rozdělení IRP'!F16</f>
        <v>2872.9635669209238</v>
      </c>
      <c r="Q93" s="1049">
        <v>2639.5046775474984</v>
      </c>
      <c r="R93" s="120"/>
      <c r="S93" s="275"/>
      <c r="W93" s="537"/>
      <c r="X93" s="46"/>
    </row>
    <row r="94" spans="1:24" s="644" customFormat="1" x14ac:dyDescent="0.2">
      <c r="A94" s="716">
        <v>63</v>
      </c>
      <c r="B94" s="523" t="s">
        <v>39</v>
      </c>
      <c r="C94" s="524"/>
      <c r="D94" s="940">
        <f>SUM(D85:D93)</f>
        <v>1881041.4568460099</v>
      </c>
      <c r="E94" s="831">
        <f t="shared" ref="E94:M94" si="23">SUM(E85:E93)</f>
        <v>440176</v>
      </c>
      <c r="F94" s="752">
        <f t="shared" si="23"/>
        <v>1440865.4568460099</v>
      </c>
      <c r="G94" s="776">
        <f t="shared" si="23"/>
        <v>1397219.4568460099</v>
      </c>
      <c r="H94" s="753">
        <f t="shared" si="23"/>
        <v>43646</v>
      </c>
      <c r="I94" s="947">
        <f t="shared" si="23"/>
        <v>0</v>
      </c>
      <c r="J94" s="946">
        <f t="shared" si="23"/>
        <v>0</v>
      </c>
      <c r="K94" s="686">
        <f t="shared" si="23"/>
        <v>1851595.3538263775</v>
      </c>
      <c r="L94" s="538">
        <f t="shared" si="23"/>
        <v>427889</v>
      </c>
      <c r="M94" s="862">
        <f t="shared" si="23"/>
        <v>1423706.3538263775</v>
      </c>
      <c r="N94" s="869">
        <v>0</v>
      </c>
      <c r="O94" s="120"/>
      <c r="P94" s="1050">
        <f>SUM(P85:P93)</f>
        <v>41702.746015139754</v>
      </c>
      <c r="Q94" s="1051">
        <f>SUM(Q85:Q93)</f>
        <v>41323.969572864931</v>
      </c>
      <c r="R94" s="120"/>
      <c r="S94" s="275"/>
      <c r="W94" s="537"/>
      <c r="X94" s="46"/>
    </row>
    <row r="95" spans="1:24" s="644" customFormat="1" x14ac:dyDescent="0.2">
      <c r="A95" s="48">
        <v>64</v>
      </c>
      <c r="B95" s="457">
        <v>71</v>
      </c>
      <c r="C95" s="52" t="s">
        <v>229</v>
      </c>
      <c r="D95" s="941">
        <f>SUM(E95:F95)</f>
        <v>79404.629825436656</v>
      </c>
      <c r="E95" s="830">
        <f>'pom1 - Přerozdělení IP'!Q20</f>
        <v>65729</v>
      </c>
      <c r="F95" s="527">
        <f>SUM(G95:I95)</f>
        <v>13675.629825436656</v>
      </c>
      <c r="G95" s="769">
        <f>'pom1 - Přerozdělení IP'!H20+'pom1 - Přerozdělení IP'!N20</f>
        <v>11675.629825436656</v>
      </c>
      <c r="H95" s="536">
        <f>'pom1 - Přerozdělení IP'!M20</f>
        <v>2000</v>
      </c>
      <c r="I95" s="506"/>
      <c r="J95" s="507"/>
      <c r="K95" s="508">
        <f>SUM(L95:N95)</f>
        <v>63531.926973622547</v>
      </c>
      <c r="L95" s="838">
        <v>52876</v>
      </c>
      <c r="M95" s="867">
        <v>10655.926973622547</v>
      </c>
      <c r="N95" s="529"/>
      <c r="O95" s="120"/>
      <c r="P95" s="1052">
        <v>6022</v>
      </c>
      <c r="Q95" s="1053">
        <v>6280.5691278908225</v>
      </c>
      <c r="R95" s="120"/>
      <c r="S95" s="275"/>
      <c r="W95" s="537"/>
      <c r="X95" s="46"/>
    </row>
    <row r="96" spans="1:24" s="644" customFormat="1" x14ac:dyDescent="0.2">
      <c r="A96" s="298">
        <v>65</v>
      </c>
      <c r="B96" s="457">
        <v>79</v>
      </c>
      <c r="C96" s="52" t="s">
        <v>296</v>
      </c>
      <c r="D96" s="939">
        <f t="shared" ref="D96:D105" si="24">SUM(E96:F96)</f>
        <v>5340</v>
      </c>
      <c r="E96" s="830">
        <f>'pom1 - Přerozdělení IP'!Q21</f>
        <v>0</v>
      </c>
      <c r="F96" s="527">
        <f t="shared" ref="F96:F105" si="25">SUM(G96:I96)</f>
        <v>5340</v>
      </c>
      <c r="G96" s="619">
        <f>'pom1 - Přerozdělení IP'!H21+'pom1 - Přerozdělení IP'!N21</f>
        <v>0</v>
      </c>
      <c r="H96" s="624">
        <f>'pom1 - Přerozdělení IP'!M21</f>
        <v>5340</v>
      </c>
      <c r="I96" s="513"/>
      <c r="J96" s="514"/>
      <c r="K96" s="508">
        <f t="shared" ref="K96:K106" si="26">SUM(L96:N96)</f>
        <v>1800</v>
      </c>
      <c r="L96" s="527">
        <v>0</v>
      </c>
      <c r="M96" s="620">
        <v>1800</v>
      </c>
      <c r="N96" s="530"/>
      <c r="O96" s="120"/>
      <c r="P96" s="1054"/>
      <c r="Q96" s="1055"/>
      <c r="R96" s="120"/>
      <c r="S96" s="275"/>
      <c r="W96" s="537"/>
      <c r="X96" s="46"/>
    </row>
    <row r="97" spans="1:25" s="644" customFormat="1" x14ac:dyDescent="0.2">
      <c r="A97" s="298">
        <v>66</v>
      </c>
      <c r="B97" s="457">
        <v>81</v>
      </c>
      <c r="C97" s="52" t="s">
        <v>71</v>
      </c>
      <c r="D97" s="939">
        <f t="shared" si="24"/>
        <v>0</v>
      </c>
      <c r="E97" s="830">
        <f>'pom1 - Přerozdělení IP'!Q22</f>
        <v>0</v>
      </c>
      <c r="F97" s="527">
        <f t="shared" si="25"/>
        <v>0</v>
      </c>
      <c r="G97" s="619">
        <f>'pom1 - Přerozdělení IP'!H22+'pom1 - Přerozdělení IP'!N22</f>
        <v>0</v>
      </c>
      <c r="H97" s="624">
        <f>'pom1 - Přerozdělení IP'!M22</f>
        <v>0</v>
      </c>
      <c r="I97" s="621"/>
      <c r="J97" s="514"/>
      <c r="K97" s="508">
        <f t="shared" si="26"/>
        <v>0</v>
      </c>
      <c r="L97" s="527">
        <v>0</v>
      </c>
      <c r="M97" s="620">
        <v>0</v>
      </c>
      <c r="N97" s="530"/>
      <c r="O97" s="120"/>
      <c r="P97" s="1048"/>
      <c r="Q97" s="1049"/>
      <c r="R97" s="120"/>
      <c r="S97" s="275"/>
      <c r="W97" s="537"/>
      <c r="X97" s="46"/>
    </row>
    <row r="98" spans="1:25" s="644" customFormat="1" x14ac:dyDescent="0.2">
      <c r="A98" s="298">
        <v>67</v>
      </c>
      <c r="B98" s="457">
        <v>82</v>
      </c>
      <c r="C98" s="52" t="s">
        <v>1</v>
      </c>
      <c r="D98" s="939">
        <f t="shared" si="24"/>
        <v>10348</v>
      </c>
      <c r="E98" s="830">
        <f>'pom1 - Přerozdělení IP'!Q23</f>
        <v>0</v>
      </c>
      <c r="F98" s="527">
        <f t="shared" si="25"/>
        <v>10348</v>
      </c>
      <c r="G98" s="619">
        <f>'pom1 - Přerozdělení IP'!H23+'pom1 - Přerozdělení IP'!N23</f>
        <v>0</v>
      </c>
      <c r="H98" s="624">
        <f>'pom1 - Přerozdělení IP'!M23</f>
        <v>10348</v>
      </c>
      <c r="I98" s="621"/>
      <c r="J98" s="514"/>
      <c r="K98" s="508">
        <f t="shared" si="26"/>
        <v>10648</v>
      </c>
      <c r="L98" s="527">
        <v>0</v>
      </c>
      <c r="M98" s="620">
        <v>10648</v>
      </c>
      <c r="N98" s="530"/>
      <c r="O98" s="120"/>
      <c r="P98" s="1048"/>
      <c r="Q98" s="1049"/>
      <c r="R98" s="120"/>
      <c r="S98" s="275"/>
      <c r="W98" s="537"/>
      <c r="X98" s="46"/>
    </row>
    <row r="99" spans="1:25" s="644" customFormat="1" x14ac:dyDescent="0.2">
      <c r="A99" s="298">
        <v>68</v>
      </c>
      <c r="B99" s="457">
        <v>83</v>
      </c>
      <c r="C99" s="52" t="s">
        <v>83</v>
      </c>
      <c r="D99" s="939">
        <f t="shared" si="24"/>
        <v>6629</v>
      </c>
      <c r="E99" s="830">
        <f>'pom1 - Přerozdělení IP'!Q24</f>
        <v>0</v>
      </c>
      <c r="F99" s="527">
        <f t="shared" si="25"/>
        <v>6629</v>
      </c>
      <c r="G99" s="619">
        <f>'pom1 - Přerozdělení IP'!H24+'pom1 - Přerozdělení IP'!N24</f>
        <v>4559</v>
      </c>
      <c r="H99" s="624">
        <f>'pom1 - Přerozdělení IP'!M24</f>
        <v>2070</v>
      </c>
      <c r="I99" s="621"/>
      <c r="J99" s="514"/>
      <c r="K99" s="508">
        <f t="shared" si="26"/>
        <v>8751</v>
      </c>
      <c r="L99" s="527">
        <v>0</v>
      </c>
      <c r="M99" s="620">
        <v>8751</v>
      </c>
      <c r="N99" s="530"/>
      <c r="O99" s="120"/>
      <c r="P99" s="1048"/>
      <c r="Q99" s="1049"/>
      <c r="R99" s="120"/>
      <c r="S99" s="275"/>
      <c r="W99" s="537"/>
      <c r="X99" s="46"/>
    </row>
    <row r="100" spans="1:25" s="644" customFormat="1" x14ac:dyDescent="0.2">
      <c r="A100" s="298">
        <v>69</v>
      </c>
      <c r="B100" s="457">
        <v>84</v>
      </c>
      <c r="C100" s="52" t="s">
        <v>82</v>
      </c>
      <c r="D100" s="939">
        <f t="shared" si="24"/>
        <v>3683</v>
      </c>
      <c r="E100" s="830">
        <f>'pom1 - Přerozdělení IP'!Q25</f>
        <v>673</v>
      </c>
      <c r="F100" s="527">
        <f t="shared" si="25"/>
        <v>3010</v>
      </c>
      <c r="G100" s="619">
        <f>'pom1 - Přerozdělení IP'!H25+'pom1 - Přerozdělení IP'!N25</f>
        <v>3000</v>
      </c>
      <c r="H100" s="624">
        <f>'pom1 - Přerozdělení IP'!M25</f>
        <v>10</v>
      </c>
      <c r="I100" s="621"/>
      <c r="J100" s="514"/>
      <c r="K100" s="508">
        <f t="shared" si="26"/>
        <v>3471</v>
      </c>
      <c r="L100" s="527">
        <v>471</v>
      </c>
      <c r="M100" s="620">
        <v>3000</v>
      </c>
      <c r="N100" s="530"/>
      <c r="O100" s="120"/>
      <c r="P100" s="1048">
        <v>3400</v>
      </c>
      <c r="Q100" s="1049">
        <v>3400</v>
      </c>
      <c r="R100" s="120"/>
      <c r="S100" s="275"/>
      <c r="W100" s="537"/>
      <c r="X100" s="46"/>
    </row>
    <row r="101" spans="1:25" s="644" customFormat="1" x14ac:dyDescent="0.2">
      <c r="A101" s="298">
        <v>70</v>
      </c>
      <c r="B101" s="457">
        <v>85</v>
      </c>
      <c r="C101" s="52" t="s">
        <v>105</v>
      </c>
      <c r="D101" s="939">
        <f>SUM(E101:F101)</f>
        <v>1275</v>
      </c>
      <c r="E101" s="830">
        <f>'pom1 - Přerozdělení IP'!Q26</f>
        <v>1275</v>
      </c>
      <c r="F101" s="527">
        <f t="shared" si="25"/>
        <v>0</v>
      </c>
      <c r="G101" s="619">
        <f>'pom1 - Přerozdělení IP'!H26+'pom1 - Přerozdělení IP'!N26</f>
        <v>0</v>
      </c>
      <c r="H101" s="624">
        <f>'pom1 - Přerozdělení IP'!M26</f>
        <v>0</v>
      </c>
      <c r="I101" s="621"/>
      <c r="J101" s="514"/>
      <c r="K101" s="508">
        <f t="shared" si="26"/>
        <v>819</v>
      </c>
      <c r="L101" s="527">
        <v>819</v>
      </c>
      <c r="M101" s="620">
        <v>0</v>
      </c>
      <c r="N101" s="530"/>
      <c r="O101" s="120"/>
      <c r="P101" s="1048"/>
      <c r="Q101" s="1049"/>
      <c r="R101" s="120"/>
      <c r="S101" s="275"/>
      <c r="W101" s="537"/>
      <c r="X101" s="46"/>
    </row>
    <row r="102" spans="1:25" s="644" customFormat="1" x14ac:dyDescent="0.2">
      <c r="A102" s="298">
        <v>71</v>
      </c>
      <c r="B102" s="457">
        <v>87</v>
      </c>
      <c r="C102" s="52" t="s">
        <v>134</v>
      </c>
      <c r="D102" s="939">
        <f t="shared" si="24"/>
        <v>8523.64</v>
      </c>
      <c r="E102" s="830">
        <f>'pom1 - Přerozdělení IP'!Q27</f>
        <v>3779</v>
      </c>
      <c r="F102" s="527">
        <f t="shared" si="25"/>
        <v>4744.6399999999994</v>
      </c>
      <c r="G102" s="619">
        <f>'pom1 - Přerozdělení IP'!H27+'pom1 - Přerozdělení IP'!N27</f>
        <v>4711.6399999999994</v>
      </c>
      <c r="H102" s="624">
        <f>'pom1 - Přerozdělení IP'!M27</f>
        <v>33</v>
      </c>
      <c r="I102" s="621"/>
      <c r="J102" s="514"/>
      <c r="K102" s="508">
        <f t="shared" si="26"/>
        <v>9119.36</v>
      </c>
      <c r="L102" s="527">
        <v>4141</v>
      </c>
      <c r="M102" s="620">
        <v>4978.3600000000006</v>
      </c>
      <c r="N102" s="530"/>
      <c r="O102" s="120"/>
      <c r="P102" s="1048"/>
      <c r="Q102" s="1049">
        <v>1000</v>
      </c>
      <c r="R102" s="120"/>
      <c r="S102" s="275"/>
      <c r="W102" s="537"/>
      <c r="X102" s="46"/>
    </row>
    <row r="103" spans="1:25" s="644" customFormat="1" x14ac:dyDescent="0.2">
      <c r="A103" s="298">
        <v>72</v>
      </c>
      <c r="B103" s="457">
        <v>92</v>
      </c>
      <c r="C103" s="52" t="s">
        <v>17</v>
      </c>
      <c r="D103" s="939">
        <f t="shared" si="24"/>
        <v>139060.37</v>
      </c>
      <c r="E103" s="830">
        <f>'pom1 - Přerozdělení IP'!Q28</f>
        <v>52316</v>
      </c>
      <c r="F103" s="527">
        <f t="shared" si="25"/>
        <v>86744.37</v>
      </c>
      <c r="G103" s="619">
        <f>'pom1 - Přerozdělení IP'!H28+'pom1 - Přerozdělení IP'!N28</f>
        <v>58680.17</v>
      </c>
      <c r="H103" s="624">
        <f>'pom1 - Přerozdělení IP'!M28</f>
        <v>28064.2</v>
      </c>
      <c r="I103" s="621"/>
      <c r="J103" s="514"/>
      <c r="K103" s="508">
        <f t="shared" si="26"/>
        <v>141827.20000000001</v>
      </c>
      <c r="L103" s="527">
        <v>49324</v>
      </c>
      <c r="M103" s="620">
        <v>92503.2</v>
      </c>
      <c r="N103" s="530"/>
      <c r="O103" s="120"/>
      <c r="P103" s="1048">
        <v>247</v>
      </c>
      <c r="Q103" s="1049">
        <v>367.48129924423165</v>
      </c>
      <c r="R103" s="120"/>
      <c r="S103" s="275"/>
      <c r="W103" s="537"/>
      <c r="X103" s="46"/>
    </row>
    <row r="104" spans="1:25" s="644" customFormat="1" x14ac:dyDescent="0.2">
      <c r="A104" s="298">
        <v>73</v>
      </c>
      <c r="B104" s="457">
        <v>96</v>
      </c>
      <c r="C104" s="52" t="s">
        <v>24</v>
      </c>
      <c r="D104" s="939">
        <f t="shared" si="24"/>
        <v>32822</v>
      </c>
      <c r="E104" s="830">
        <f>'pom1 - Přerozdělení IP'!Q29</f>
        <v>820</v>
      </c>
      <c r="F104" s="527">
        <f t="shared" si="25"/>
        <v>32002</v>
      </c>
      <c r="G104" s="619">
        <f>'pom1 - Přerozdělení IP'!H29+'pom1 - Přerozdělení IP'!N29</f>
        <v>32000</v>
      </c>
      <c r="H104" s="624">
        <f>'pom1 - Přerozdělení IP'!M29</f>
        <v>2</v>
      </c>
      <c r="I104" s="621"/>
      <c r="J104" s="514"/>
      <c r="K104" s="508">
        <f t="shared" si="26"/>
        <v>32827</v>
      </c>
      <c r="L104" s="527">
        <v>807</v>
      </c>
      <c r="M104" s="620">
        <v>32020</v>
      </c>
      <c r="N104" s="530"/>
      <c r="O104" s="120"/>
      <c r="P104" s="1048">
        <v>600</v>
      </c>
      <c r="Q104" s="1049"/>
      <c r="R104" s="120"/>
      <c r="S104" s="275"/>
      <c r="W104" s="537"/>
      <c r="X104" s="46"/>
    </row>
    <row r="105" spans="1:25" s="644" customFormat="1" x14ac:dyDescent="0.2">
      <c r="A105" s="298">
        <v>74</v>
      </c>
      <c r="B105" s="457">
        <v>97</v>
      </c>
      <c r="C105" s="52" t="s">
        <v>25</v>
      </c>
      <c r="D105" s="942">
        <f t="shared" si="24"/>
        <v>9450</v>
      </c>
      <c r="E105" s="830">
        <f>'pom1 - Přerozdělení IP'!Q30</f>
        <v>0</v>
      </c>
      <c r="F105" s="527">
        <f t="shared" si="25"/>
        <v>9450</v>
      </c>
      <c r="G105" s="619">
        <f>'pom1 - Přerozdělení IP'!H30+'pom1 - Přerozdělení IP'!N30</f>
        <v>9450</v>
      </c>
      <c r="H105" s="624">
        <f>'pom1 - Přerozdělení IP'!M30</f>
        <v>0</v>
      </c>
      <c r="I105" s="621"/>
      <c r="J105" s="514"/>
      <c r="K105" s="508">
        <f t="shared" si="26"/>
        <v>9680</v>
      </c>
      <c r="L105" s="527">
        <v>0</v>
      </c>
      <c r="M105" s="620">
        <v>9680</v>
      </c>
      <c r="N105" s="530"/>
      <c r="O105" s="120"/>
      <c r="P105" s="1048">
        <v>22977</v>
      </c>
      <c r="Q105" s="1049">
        <v>23159</v>
      </c>
      <c r="R105" s="120"/>
      <c r="S105" s="275"/>
      <c r="W105" s="537"/>
      <c r="X105" s="46"/>
    </row>
    <row r="106" spans="1:25" s="644" customFormat="1" x14ac:dyDescent="0.2">
      <c r="A106" s="717">
        <v>75</v>
      </c>
      <c r="B106" s="531">
        <v>99</v>
      </c>
      <c r="C106" s="518" t="s">
        <v>85</v>
      </c>
      <c r="D106" s="943">
        <f>SUM(E106:F106,J106)</f>
        <v>220682.00332855355</v>
      </c>
      <c r="E106" s="830">
        <f>'pom1 - Přerozdělení IP'!Q31</f>
        <v>62004</v>
      </c>
      <c r="F106" s="527">
        <f>SUM(G106:I106)</f>
        <v>141799.0973579034</v>
      </c>
      <c r="G106" s="770">
        <f>'pom1 - Přerozdělení IP'!H31+'pom1 - Přerozdělení IP'!N31</f>
        <v>47269.567357903412</v>
      </c>
      <c r="H106" s="771">
        <f>'pom1 - Přerozdělení IP'!M31+'pom1 - Přerozdělení IP'!L35-I106</f>
        <v>75529.53</v>
      </c>
      <c r="I106" s="622">
        <f>'pom1 - Přerozdělení IP'!M35</f>
        <v>19000</v>
      </c>
      <c r="J106" s="520">
        <f>J69</f>
        <v>16878.905970650143</v>
      </c>
      <c r="K106" s="508">
        <f t="shared" si="26"/>
        <v>211722.75919999985</v>
      </c>
      <c r="L106" s="528">
        <v>54424</v>
      </c>
      <c r="M106" s="868">
        <v>122915.53920000025</v>
      </c>
      <c r="N106" s="870">
        <f>N69</f>
        <v>34383.219999999623</v>
      </c>
      <c r="O106" s="120"/>
      <c r="P106" s="1052">
        <v>36816</v>
      </c>
      <c r="Q106" s="1053">
        <v>34395</v>
      </c>
      <c r="R106" s="120"/>
      <c r="S106" s="275"/>
      <c r="W106" s="537"/>
      <c r="X106" s="46"/>
    </row>
    <row r="107" spans="1:25" s="644" customFormat="1" x14ac:dyDescent="0.2">
      <c r="A107" s="716">
        <v>76</v>
      </c>
      <c r="B107" s="485" t="s">
        <v>574</v>
      </c>
      <c r="C107" s="762"/>
      <c r="D107" s="940">
        <f>SUM(D95:D106)</f>
        <v>517217.64315399015</v>
      </c>
      <c r="E107" s="832">
        <f>SUM(E95:E106)</f>
        <v>186596</v>
      </c>
      <c r="F107" s="787">
        <f t="shared" ref="F107:N107" si="27">SUM(F95:F106)</f>
        <v>313742.73718334001</v>
      </c>
      <c r="G107" s="786">
        <f t="shared" si="27"/>
        <v>171346.00718334006</v>
      </c>
      <c r="H107" s="763">
        <f>SUM(H95:H106)</f>
        <v>123396.73</v>
      </c>
      <c r="I107" s="833">
        <f t="shared" si="27"/>
        <v>19000</v>
      </c>
      <c r="J107" s="834">
        <f t="shared" si="27"/>
        <v>16878.905970650143</v>
      </c>
      <c r="K107" s="765">
        <f t="shared" si="27"/>
        <v>494197.24617362244</v>
      </c>
      <c r="L107" s="836">
        <f t="shared" si="27"/>
        <v>162862</v>
      </c>
      <c r="M107" s="835">
        <f t="shared" si="27"/>
        <v>296952.02617362281</v>
      </c>
      <c r="N107" s="871">
        <f t="shared" si="27"/>
        <v>34383.219999999623</v>
      </c>
      <c r="O107" s="643"/>
      <c r="P107" s="1056">
        <f>SUM(P95:P106)</f>
        <v>70062</v>
      </c>
      <c r="Q107" s="1057">
        <f>SUM(Q95:Q106)</f>
        <v>68602.050427135051</v>
      </c>
      <c r="R107" s="728"/>
      <c r="S107" s="275"/>
      <c r="W107" s="537"/>
      <c r="X107" s="537"/>
    </row>
    <row r="108" spans="1:25" s="644" customFormat="1" ht="13.5" thickBot="1" x14ac:dyDescent="0.25">
      <c r="A108" s="874">
        <v>77</v>
      </c>
      <c r="B108" s="882" t="s">
        <v>609</v>
      </c>
      <c r="C108" s="756"/>
      <c r="D108" s="944">
        <f>SUM(E108:F108)</f>
        <v>88000</v>
      </c>
      <c r="E108" s="757">
        <v>0</v>
      </c>
      <c r="F108" s="528">
        <f>SUM(G108:I108)</f>
        <v>88000</v>
      </c>
      <c r="G108" s="758"/>
      <c r="H108" s="759">
        <f>H71</f>
        <v>88000</v>
      </c>
      <c r="I108" s="757">
        <v>0</v>
      </c>
      <c r="J108" s="760"/>
      <c r="K108" s="761">
        <f>K71</f>
        <v>88000</v>
      </c>
      <c r="L108" s="757">
        <v>0</v>
      </c>
      <c r="M108" s="758">
        <f>M71</f>
        <v>88000</v>
      </c>
      <c r="N108" s="872"/>
      <c r="O108" s="643"/>
      <c r="P108" s="1052"/>
      <c r="Q108" s="1053"/>
      <c r="R108" s="728"/>
      <c r="S108" s="275"/>
      <c r="W108" s="537"/>
      <c r="X108" s="537"/>
    </row>
    <row r="109" spans="1:25" s="644" customFormat="1" ht="13.5" thickBot="1" x14ac:dyDescent="0.25">
      <c r="A109" s="302">
        <v>78</v>
      </c>
      <c r="B109" s="486" t="s">
        <v>35</v>
      </c>
      <c r="C109" s="475"/>
      <c r="D109" s="945">
        <f>D94+D107+D108</f>
        <v>2486259.1</v>
      </c>
      <c r="E109" s="559">
        <f t="shared" ref="E109:N109" si="28">E94+E107+E108</f>
        <v>626772</v>
      </c>
      <c r="F109" s="837">
        <f>H109+I109+G109</f>
        <v>1842608.1940293501</v>
      </c>
      <c r="G109" s="754">
        <f t="shared" si="28"/>
        <v>1568565.4640293501</v>
      </c>
      <c r="H109" s="754">
        <f t="shared" si="28"/>
        <v>255042.72999999998</v>
      </c>
      <c r="I109" s="754">
        <f t="shared" si="28"/>
        <v>19000</v>
      </c>
      <c r="J109" s="755">
        <f t="shared" si="28"/>
        <v>16878.905970650143</v>
      </c>
      <c r="K109" s="801">
        <f t="shared" si="28"/>
        <v>2433792.6</v>
      </c>
      <c r="L109" s="826">
        <f>L94+L107+L108</f>
        <v>590751</v>
      </c>
      <c r="M109" s="559">
        <f>M94+M107+M108</f>
        <v>1808658.3800000004</v>
      </c>
      <c r="N109" s="802">
        <f t="shared" si="28"/>
        <v>34383.219999999623</v>
      </c>
      <c r="O109" s="120"/>
      <c r="P109" s="1058">
        <f>P94+P107</f>
        <v>111764.74601513975</v>
      </c>
      <c r="Q109" s="1059">
        <f>Q94+Q107</f>
        <v>109926.01999999999</v>
      </c>
      <c r="R109" s="275"/>
      <c r="S109" s="275"/>
      <c r="W109" s="537"/>
      <c r="X109" s="537"/>
      <c r="Y109" s="46"/>
    </row>
    <row r="110" spans="1:25" s="1022" customFormat="1" ht="15" x14ac:dyDescent="0.2">
      <c r="A110" s="1068"/>
      <c r="B110" s="1015"/>
      <c r="C110" s="1015"/>
      <c r="D110" s="1016"/>
      <c r="E110" s="1609">
        <f>E109+F109</f>
        <v>2469380.1940293498</v>
      </c>
      <c r="F110" s="1618"/>
      <c r="G110" s="1619">
        <f>SUM(G109:I109)</f>
        <v>1842608.1940293501</v>
      </c>
      <c r="H110" s="1620"/>
      <c r="I110" s="1621"/>
      <c r="J110" s="1017"/>
      <c r="K110" s="1017"/>
      <c r="L110" s="1609">
        <f>SUM(L109:M109)</f>
        <v>2399409.3800000004</v>
      </c>
      <c r="M110" s="1610"/>
      <c r="N110" s="1019"/>
      <c r="O110" s="1019"/>
      <c r="P110" s="1069"/>
      <c r="Q110" s="1069"/>
      <c r="R110" s="1019"/>
      <c r="S110" s="1019"/>
      <c r="W110" s="1015"/>
      <c r="X110" s="1020"/>
    </row>
    <row r="111" spans="1:25" x14ac:dyDescent="0.2">
      <c r="A111" s="537" t="s">
        <v>40</v>
      </c>
      <c r="D111" s="120"/>
      <c r="F111" s="120"/>
      <c r="G111" s="120"/>
      <c r="H111" s="643">
        <f>H94+H107+I107</f>
        <v>186042.72999999998</v>
      </c>
      <c r="I111" s="1076">
        <f>G107+H109+I109</f>
        <v>445388.73718334001</v>
      </c>
      <c r="J111" s="120">
        <f>I111+J107</f>
        <v>462267.64315399015</v>
      </c>
      <c r="N111" s="120"/>
      <c r="O111" s="120"/>
      <c r="P111" s="120"/>
      <c r="Q111" s="120"/>
      <c r="R111" s="120"/>
      <c r="S111" s="1019"/>
      <c r="T111" s="120"/>
      <c r="U111" s="120"/>
    </row>
    <row r="112" spans="1:25" x14ac:dyDescent="0.2">
      <c r="A112" s="46" t="s">
        <v>41</v>
      </c>
      <c r="C112" s="46" t="s">
        <v>254</v>
      </c>
      <c r="G112" s="120"/>
      <c r="H112" s="120"/>
      <c r="N112" s="120"/>
      <c r="O112" s="120"/>
      <c r="P112" s="120"/>
      <c r="Q112" s="120"/>
      <c r="R112" s="120"/>
      <c r="S112" s="1019"/>
      <c r="T112" s="120"/>
      <c r="U112" s="120"/>
    </row>
    <row r="113" spans="1:20" x14ac:dyDescent="0.2">
      <c r="A113" s="46" t="s">
        <v>190</v>
      </c>
      <c r="C113" s="46" t="s">
        <v>173</v>
      </c>
      <c r="G113" s="120"/>
      <c r="J113" s="120"/>
      <c r="S113" s="1019"/>
    </row>
    <row r="114" spans="1:20" x14ac:dyDescent="0.2">
      <c r="A114" s="46" t="s">
        <v>72</v>
      </c>
      <c r="C114" s="46" t="s">
        <v>683</v>
      </c>
      <c r="R114" s="120"/>
      <c r="S114" s="1019"/>
      <c r="T114" s="120"/>
    </row>
    <row r="115" spans="1:20" x14ac:dyDescent="0.2">
      <c r="C115" s="438"/>
      <c r="R115" s="120"/>
      <c r="S115" s="1019"/>
      <c r="T115" s="120"/>
    </row>
    <row r="116" spans="1:20" x14ac:dyDescent="0.2">
      <c r="A116" s="57" t="s">
        <v>684</v>
      </c>
      <c r="B116" s="57"/>
      <c r="C116" s="57"/>
      <c r="D116" s="46" t="s">
        <v>136</v>
      </c>
      <c r="E116" s="46" t="s">
        <v>137</v>
      </c>
      <c r="H116" s="51"/>
      <c r="I116" s="51"/>
      <c r="J116" s="51"/>
      <c r="K116" s="51"/>
      <c r="L116" s="51"/>
      <c r="R116" s="120"/>
      <c r="S116" s="1019"/>
      <c r="T116" s="120"/>
    </row>
    <row r="117" spans="1:20" x14ac:dyDescent="0.2">
      <c r="A117" s="57"/>
      <c r="E117" s="648"/>
      <c r="F117" s="649"/>
      <c r="G117" s="539"/>
      <c r="J117" s="46" t="s">
        <v>139</v>
      </c>
      <c r="R117" s="120"/>
      <c r="S117" s="120"/>
      <c r="T117" s="120"/>
    </row>
    <row r="118" spans="1:20" x14ac:dyDescent="0.2">
      <c r="E118" s="539"/>
      <c r="G118" s="539"/>
      <c r="R118" s="120"/>
      <c r="S118" s="120"/>
      <c r="T118" s="120"/>
    </row>
    <row r="119" spans="1:20" x14ac:dyDescent="0.2">
      <c r="E119" s="539" t="s">
        <v>138</v>
      </c>
      <c r="G119" s="539"/>
      <c r="H119" s="51"/>
      <c r="I119" s="51"/>
      <c r="J119" s="51"/>
      <c r="K119" s="51"/>
      <c r="L119" s="51"/>
      <c r="R119" s="120"/>
      <c r="S119" s="120"/>
      <c r="T119" s="120"/>
    </row>
    <row r="120" spans="1:20" x14ac:dyDescent="0.2">
      <c r="E120" s="648"/>
      <c r="F120" s="649"/>
      <c r="G120" s="539"/>
      <c r="J120" s="46" t="s">
        <v>139</v>
      </c>
      <c r="R120" s="120"/>
      <c r="S120" s="120"/>
      <c r="T120" s="120"/>
    </row>
    <row r="121" spans="1:20" x14ac:dyDescent="0.2">
      <c r="F121" s="539"/>
      <c r="G121" s="539"/>
      <c r="R121" s="120"/>
      <c r="S121" s="120"/>
      <c r="T121" s="120"/>
    </row>
    <row r="122" spans="1:20" x14ac:dyDescent="0.2">
      <c r="F122" s="539"/>
      <c r="G122" s="539"/>
      <c r="R122" s="120"/>
      <c r="S122" s="120"/>
      <c r="T122" s="120"/>
    </row>
    <row r="123" spans="1:20" x14ac:dyDescent="0.2">
      <c r="R123" s="120"/>
      <c r="S123" s="120"/>
      <c r="T123" s="120"/>
    </row>
    <row r="124" spans="1:20" x14ac:dyDescent="0.2">
      <c r="R124" s="120"/>
      <c r="S124" s="120"/>
      <c r="T124" s="120"/>
    </row>
    <row r="125" spans="1:20" x14ac:dyDescent="0.2">
      <c r="R125" s="120"/>
      <c r="S125" s="120"/>
      <c r="T125" s="120"/>
    </row>
    <row r="126" spans="1:20" x14ac:dyDescent="0.2">
      <c r="R126" s="120"/>
      <c r="S126" s="120"/>
      <c r="T126" s="120"/>
    </row>
    <row r="127" spans="1:20" x14ac:dyDescent="0.2">
      <c r="R127" s="120"/>
      <c r="S127" s="120"/>
      <c r="T127" s="120"/>
    </row>
    <row r="128" spans="1:20" x14ac:dyDescent="0.2">
      <c r="R128" s="120"/>
      <c r="S128" s="120"/>
      <c r="T128" s="120"/>
    </row>
    <row r="129" spans="18:20" x14ac:dyDescent="0.2">
      <c r="R129" s="120"/>
      <c r="S129" s="120"/>
      <c r="T129" s="120"/>
    </row>
    <row r="130" spans="18:20" x14ac:dyDescent="0.2">
      <c r="R130" s="120"/>
      <c r="S130" s="120"/>
      <c r="T130" s="120"/>
    </row>
    <row r="131" spans="18:20" x14ac:dyDescent="0.2">
      <c r="R131" s="120"/>
      <c r="S131" s="120"/>
      <c r="T131" s="120"/>
    </row>
    <row r="132" spans="18:20" x14ac:dyDescent="0.2">
      <c r="R132" s="120"/>
      <c r="S132" s="120"/>
      <c r="T132" s="120"/>
    </row>
  </sheetData>
  <mergeCells count="24">
    <mergeCell ref="D4:G4"/>
    <mergeCell ref="H4:K4"/>
    <mergeCell ref="E5:F5"/>
    <mergeCell ref="G73:I73"/>
    <mergeCell ref="G45:I45"/>
    <mergeCell ref="E73:F73"/>
    <mergeCell ref="E44:I44"/>
    <mergeCell ref="K43:N43"/>
    <mergeCell ref="L110:M110"/>
    <mergeCell ref="I5:J5"/>
    <mergeCell ref="D43:J43"/>
    <mergeCell ref="I40:J40"/>
    <mergeCell ref="L73:M73"/>
    <mergeCell ref="E110:F110"/>
    <mergeCell ref="G110:I110"/>
    <mergeCell ref="G82:I82"/>
    <mergeCell ref="K80:N80"/>
    <mergeCell ref="D80:J80"/>
    <mergeCell ref="H75:I75"/>
    <mergeCell ref="E74:H74"/>
    <mergeCell ref="L44:N44"/>
    <mergeCell ref="L81:N81"/>
    <mergeCell ref="E40:F40"/>
    <mergeCell ref="E81:I81"/>
  </mergeCells>
  <phoneticPr fontId="0" type="noConversion"/>
  <pageMargins left="0.55118110236220474" right="0.31496062992125984" top="0.59055118110236227" bottom="0.19685039370078741" header="0.51181102362204722" footer="0.19685039370078741"/>
  <pageSetup paperSize="9" scale="85" orientation="landscape" r:id="rId1"/>
  <headerFooter alignWithMargins="0">
    <oddFooter xml:space="preserve">&amp;C&amp;9 6 - 8&amp;10
</oddFooter>
  </headerFooter>
  <rowBreaks count="2" manualBreakCount="2">
    <brk id="41" max="16383" man="1"/>
    <brk id="7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theme="3" tint="0.39997558519241921"/>
  </sheetPr>
  <dimension ref="A1:K42"/>
  <sheetViews>
    <sheetView showGridLines="0" tabSelected="1" zoomScaleNormal="100" workbookViewId="0"/>
  </sheetViews>
  <sheetFormatPr defaultRowHeight="12.75" x14ac:dyDescent="0.2"/>
  <cols>
    <col min="1" max="1" width="20.28515625" customWidth="1"/>
    <col min="2" max="2" width="10.85546875" customWidth="1"/>
    <col min="3" max="3" width="10.42578125" customWidth="1"/>
    <col min="4" max="4" width="12" style="1562" customWidth="1"/>
    <col min="5" max="5" width="10.28515625" customWidth="1"/>
    <col min="6" max="6" width="10.7109375" customWidth="1"/>
    <col min="7" max="7" width="11" customWidth="1"/>
    <col min="8" max="8" width="3.5703125" customWidth="1"/>
    <col min="9" max="9" width="13.28515625" hidden="1" customWidth="1"/>
    <col min="10" max="10" width="11.28515625" hidden="1" customWidth="1"/>
    <col min="11" max="11" width="9.85546875" hidden="1" customWidth="1"/>
  </cols>
  <sheetData>
    <row r="1" spans="1:11" ht="15.75" x14ac:dyDescent="0.25">
      <c r="A1" s="792" t="s">
        <v>403</v>
      </c>
      <c r="C1" s="932">
        <f>C2+B32+C32</f>
        <v>1842608.1940293498</v>
      </c>
    </row>
    <row r="2" spans="1:11" x14ac:dyDescent="0.2">
      <c r="A2" t="s">
        <v>608</v>
      </c>
      <c r="C2" s="793">
        <v>88000</v>
      </c>
    </row>
    <row r="3" spans="1:11" x14ac:dyDescent="0.2">
      <c r="A3" s="929"/>
      <c r="C3" s="930"/>
    </row>
    <row r="4" spans="1:11" x14ac:dyDescent="0.2">
      <c r="A4" s="929" t="s">
        <v>404</v>
      </c>
      <c r="C4" s="931">
        <f>F32+G32</f>
        <v>111766</v>
      </c>
    </row>
    <row r="5" spans="1:11" x14ac:dyDescent="0.2">
      <c r="A5" s="929" t="s">
        <v>719</v>
      </c>
      <c r="C5" s="931">
        <f>E32</f>
        <v>42227.339132408975</v>
      </c>
    </row>
    <row r="6" spans="1:11" x14ac:dyDescent="0.2">
      <c r="A6" s="766" t="s">
        <v>182</v>
      </c>
      <c r="C6" s="795">
        <f>D32</f>
        <v>626772</v>
      </c>
    </row>
    <row r="7" spans="1:11" x14ac:dyDescent="0.2">
      <c r="A7" s="766"/>
      <c r="B7" s="955"/>
      <c r="C7" s="767"/>
    </row>
    <row r="8" spans="1:11" ht="13.5" thickBot="1" x14ac:dyDescent="0.25">
      <c r="A8" s="766"/>
      <c r="B8" s="955"/>
      <c r="C8" s="767"/>
    </row>
    <row r="9" spans="1:11" x14ac:dyDescent="0.2">
      <c r="A9" s="957"/>
      <c r="B9" s="1635" t="s">
        <v>431</v>
      </c>
      <c r="C9" s="1636"/>
      <c r="D9" s="1563" t="s">
        <v>182</v>
      </c>
      <c r="E9" s="958" t="s">
        <v>717</v>
      </c>
      <c r="F9" s="958" t="s">
        <v>432</v>
      </c>
      <c r="G9" s="959" t="s">
        <v>427</v>
      </c>
      <c r="I9" s="120" t="s">
        <v>589</v>
      </c>
      <c r="J9" s="120"/>
      <c r="K9" s="537"/>
    </row>
    <row r="10" spans="1:11" ht="15.75" thickBot="1" x14ac:dyDescent="0.3">
      <c r="A10" s="1546"/>
      <c r="B10" s="1547" t="s">
        <v>405</v>
      </c>
      <c r="C10" s="1547" t="s">
        <v>411</v>
      </c>
      <c r="D10" s="1564" t="s">
        <v>412</v>
      </c>
      <c r="E10" s="1547" t="s">
        <v>590</v>
      </c>
      <c r="F10" s="1547" t="s">
        <v>410</v>
      </c>
      <c r="G10" s="1548" t="s">
        <v>428</v>
      </c>
      <c r="I10" s="776">
        <v>1111</v>
      </c>
      <c r="J10" s="1060">
        <v>1112</v>
      </c>
      <c r="K10" s="1064">
        <v>2112</v>
      </c>
    </row>
    <row r="11" spans="1:11" x14ac:dyDescent="0.2">
      <c r="A11" s="1543" t="s">
        <v>7</v>
      </c>
      <c r="B11" s="1544">
        <v>233392.16560341601</v>
      </c>
      <c r="C11" s="1544">
        <v>0</v>
      </c>
      <c r="D11" s="1565">
        <v>60634</v>
      </c>
      <c r="E11" s="1544">
        <v>11557.275331013021</v>
      </c>
      <c r="F11" s="1544">
        <v>8808</v>
      </c>
      <c r="G11" s="1545"/>
      <c r="I11" s="1061">
        <f>'rozpis pro rozpocet'!G85</f>
        <v>233392.16560341601</v>
      </c>
      <c r="J11" s="1062">
        <f>'rozpis pro rozpocet'!H85</f>
        <v>0</v>
      </c>
      <c r="K11" s="1065">
        <f>'rozpis pro rozpocet'!E85</f>
        <v>60634</v>
      </c>
    </row>
    <row r="12" spans="1:11" x14ac:dyDescent="0.2">
      <c r="A12" s="960" t="s">
        <v>8</v>
      </c>
      <c r="B12" s="933">
        <v>267535.63866060466</v>
      </c>
      <c r="C12" s="933">
        <v>746</v>
      </c>
      <c r="D12" s="1566">
        <v>56689</v>
      </c>
      <c r="E12" s="933">
        <v>2401.2530483508599</v>
      </c>
      <c r="F12" s="933">
        <v>9136</v>
      </c>
      <c r="G12" s="961"/>
      <c r="I12" s="1061">
        <f>'rozpis pro rozpocet'!G86</f>
        <v>267535.63866060466</v>
      </c>
      <c r="J12" s="1062">
        <f>'rozpis pro rozpocet'!H86</f>
        <v>746</v>
      </c>
      <c r="K12" s="1065">
        <f>'rozpis pro rozpocet'!E86</f>
        <v>56689</v>
      </c>
    </row>
    <row r="13" spans="1:11" x14ac:dyDescent="0.2">
      <c r="A13" s="960" t="s">
        <v>9</v>
      </c>
      <c r="B13" s="933">
        <v>91158.399356104273</v>
      </c>
      <c r="C13" s="933">
        <v>0</v>
      </c>
      <c r="D13" s="1566">
        <v>19410</v>
      </c>
      <c r="E13" s="933">
        <v>2634.9047823949513</v>
      </c>
      <c r="F13" s="933">
        <v>2785</v>
      </c>
      <c r="G13" s="961"/>
      <c r="I13" s="1063">
        <f>'rozpis pro rozpocet'!G87</f>
        <v>91158.399356104273</v>
      </c>
      <c r="J13" s="1062">
        <f>'rozpis pro rozpocet'!H87</f>
        <v>0</v>
      </c>
      <c r="K13" s="1065">
        <f>'rozpis pro rozpocet'!E87</f>
        <v>19410</v>
      </c>
    </row>
    <row r="14" spans="1:11" x14ac:dyDescent="0.2">
      <c r="A14" s="960" t="s">
        <v>10</v>
      </c>
      <c r="B14" s="933">
        <v>111671.48865265356</v>
      </c>
      <c r="C14" s="933">
        <v>200</v>
      </c>
      <c r="D14" s="1566">
        <v>28852</v>
      </c>
      <c r="E14" s="933"/>
      <c r="F14" s="933">
        <v>4216</v>
      </c>
      <c r="G14" s="961"/>
      <c r="I14" s="1061">
        <f>'rozpis pro rozpocet'!G88</f>
        <v>111671.48865265356</v>
      </c>
      <c r="J14" s="1062">
        <f>'rozpis pro rozpocet'!H88</f>
        <v>200</v>
      </c>
      <c r="K14" s="1065">
        <f>'rozpis pro rozpocet'!E88</f>
        <v>28852</v>
      </c>
    </row>
    <row r="15" spans="1:11" x14ac:dyDescent="0.2">
      <c r="A15" s="960" t="s">
        <v>11</v>
      </c>
      <c r="B15" s="933">
        <v>266071.00139009679</v>
      </c>
      <c r="C15" s="933">
        <v>2200</v>
      </c>
      <c r="D15" s="1566">
        <v>199209</v>
      </c>
      <c r="E15" s="933">
        <v>5000</v>
      </c>
      <c r="F15" s="933">
        <v>5579</v>
      </c>
      <c r="G15" s="961"/>
      <c r="I15" s="1061">
        <f>'rozpis pro rozpocet'!G89</f>
        <v>266071.00139009679</v>
      </c>
      <c r="J15" s="1062">
        <f>'rozpis pro rozpocet'!H89</f>
        <v>2200</v>
      </c>
      <c r="K15" s="1065">
        <f>'rozpis pro rozpocet'!E89</f>
        <v>199209</v>
      </c>
    </row>
    <row r="16" spans="1:11" x14ac:dyDescent="0.2">
      <c r="A16" s="960" t="s">
        <v>12</v>
      </c>
      <c r="B16" s="933">
        <v>101923.98499455123</v>
      </c>
      <c r="C16" s="933">
        <v>39500</v>
      </c>
      <c r="D16" s="1566">
        <v>33094</v>
      </c>
      <c r="E16" s="933"/>
      <c r="F16" s="933">
        <v>3152</v>
      </c>
      <c r="G16" s="961"/>
      <c r="I16" s="1061">
        <f>'rozpis pro rozpocet'!G90</f>
        <v>101923.98499455123</v>
      </c>
      <c r="J16" s="1062">
        <f>'rozpis pro rozpocet'!H90</f>
        <v>39500</v>
      </c>
      <c r="K16" s="1065">
        <f>'rozpis pro rozpocet'!E90</f>
        <v>33094</v>
      </c>
    </row>
    <row r="17" spans="1:11" x14ac:dyDescent="0.2">
      <c r="A17" s="960" t="s">
        <v>13</v>
      </c>
      <c r="B17" s="933">
        <v>157648.23798622089</v>
      </c>
      <c r="C17" s="933">
        <v>700</v>
      </c>
      <c r="D17" s="1566">
        <v>26496</v>
      </c>
      <c r="E17" s="933"/>
      <c r="F17" s="933">
        <v>3877</v>
      </c>
      <c r="G17" s="961"/>
      <c r="I17" s="1061">
        <f>'rozpis pro rozpocet'!G91</f>
        <v>157648.23798622089</v>
      </c>
      <c r="J17" s="1062">
        <f>'rozpis pro rozpocet'!H91</f>
        <v>700</v>
      </c>
      <c r="K17" s="1065">
        <f>'rozpis pro rozpocet'!E91</f>
        <v>26496</v>
      </c>
    </row>
    <row r="18" spans="1:11" x14ac:dyDescent="0.2">
      <c r="A18" s="960" t="s">
        <v>14</v>
      </c>
      <c r="B18" s="933">
        <v>68932.889276203219</v>
      </c>
      <c r="C18" s="933">
        <v>300</v>
      </c>
      <c r="D18" s="1566">
        <v>3356</v>
      </c>
      <c r="E18" s="933">
        <f>2000+1755</f>
        <v>3755</v>
      </c>
      <c r="F18" s="933">
        <v>1278</v>
      </c>
      <c r="G18" s="961"/>
      <c r="I18" s="1061">
        <f>'rozpis pro rozpocet'!G92</f>
        <v>68932.889276203219</v>
      </c>
      <c r="J18" s="1062">
        <f>'rozpis pro rozpocet'!H92</f>
        <v>300</v>
      </c>
      <c r="K18" s="1065">
        <f>'rozpis pro rozpocet'!E92</f>
        <v>3356</v>
      </c>
    </row>
    <row r="19" spans="1:11" x14ac:dyDescent="0.2">
      <c r="A19" s="960" t="s">
        <v>15</v>
      </c>
      <c r="B19" s="933">
        <v>98885.650926159215</v>
      </c>
      <c r="C19" s="933">
        <v>0</v>
      </c>
      <c r="D19" s="1566">
        <v>12436</v>
      </c>
      <c r="E19" s="933"/>
      <c r="F19" s="933">
        <v>2873</v>
      </c>
      <c r="G19" s="961"/>
      <c r="I19" s="1061">
        <f>'rozpis pro rozpocet'!G93</f>
        <v>98885.650926159215</v>
      </c>
      <c r="J19" s="1062">
        <f>'rozpis pro rozpocet'!H93</f>
        <v>0</v>
      </c>
      <c r="K19" s="1065">
        <f>'rozpis pro rozpocet'!E93</f>
        <v>12436</v>
      </c>
    </row>
    <row r="20" spans="1:11" x14ac:dyDescent="0.2">
      <c r="A20" s="960" t="s">
        <v>229</v>
      </c>
      <c r="B20" s="933">
        <v>11675.629825436656</v>
      </c>
      <c r="C20" s="933">
        <v>2000</v>
      </c>
      <c r="D20" s="1566">
        <v>65729</v>
      </c>
      <c r="E20" s="933"/>
      <c r="F20" s="933">
        <v>6022</v>
      </c>
      <c r="G20" s="961"/>
      <c r="I20" s="1061">
        <f>'rozpis pro rozpocet'!G95</f>
        <v>11675.629825436656</v>
      </c>
      <c r="J20" s="1062">
        <f>'rozpis pro rozpocet'!H95</f>
        <v>2000</v>
      </c>
      <c r="K20" s="1065">
        <f>'rozpis pro rozpocet'!E95</f>
        <v>65729</v>
      </c>
    </row>
    <row r="21" spans="1:11" x14ac:dyDescent="0.2">
      <c r="A21" s="960" t="s">
        <v>296</v>
      </c>
      <c r="B21" s="933">
        <v>0</v>
      </c>
      <c r="C21" s="933">
        <v>5340</v>
      </c>
      <c r="D21" s="1566">
        <v>0</v>
      </c>
      <c r="E21" s="933"/>
      <c r="F21" s="933"/>
      <c r="G21" s="961"/>
      <c r="I21" s="1061">
        <f>'rozpis pro rozpocet'!G96</f>
        <v>0</v>
      </c>
      <c r="J21" s="1062">
        <f>'rozpis pro rozpocet'!H96</f>
        <v>5340</v>
      </c>
      <c r="K21" s="1065">
        <f>'rozpis pro rozpocet'!E96</f>
        <v>0</v>
      </c>
    </row>
    <row r="22" spans="1:11" x14ac:dyDescent="0.2">
      <c r="A22" s="960" t="s">
        <v>71</v>
      </c>
      <c r="B22" s="933">
        <v>0</v>
      </c>
      <c r="C22" s="933">
        <v>0</v>
      </c>
      <c r="D22" s="1566">
        <v>0</v>
      </c>
      <c r="E22" s="933"/>
      <c r="F22" s="933"/>
      <c r="G22" s="961"/>
      <c r="I22" s="1061">
        <f>'rozpis pro rozpocet'!G97</f>
        <v>0</v>
      </c>
      <c r="J22" s="1062">
        <f>'rozpis pro rozpocet'!H97</f>
        <v>0</v>
      </c>
      <c r="K22" s="1065">
        <f>'rozpis pro rozpocet'!E97</f>
        <v>0</v>
      </c>
    </row>
    <row r="23" spans="1:11" x14ac:dyDescent="0.2">
      <c r="A23" s="960" t="s">
        <v>1</v>
      </c>
      <c r="B23" s="933">
        <v>0</v>
      </c>
      <c r="C23" s="933">
        <v>10348</v>
      </c>
      <c r="D23" s="1566">
        <v>0</v>
      </c>
      <c r="E23" s="933"/>
      <c r="F23" s="933"/>
      <c r="G23" s="961"/>
      <c r="I23" s="1061">
        <f>'rozpis pro rozpocet'!G98</f>
        <v>0</v>
      </c>
      <c r="J23" s="1062">
        <f>'rozpis pro rozpocet'!H98</f>
        <v>10348</v>
      </c>
      <c r="K23" s="1065">
        <f>'rozpis pro rozpocet'!E98</f>
        <v>0</v>
      </c>
    </row>
    <row r="24" spans="1:11" x14ac:dyDescent="0.2">
      <c r="A24" s="960" t="s">
        <v>83</v>
      </c>
      <c r="B24" s="933">
        <v>4559</v>
      </c>
      <c r="C24" s="933">
        <v>2070</v>
      </c>
      <c r="D24" s="1566">
        <v>0</v>
      </c>
      <c r="E24" s="933"/>
      <c r="F24" s="933"/>
      <c r="G24" s="961"/>
      <c r="I24" s="1061">
        <f>'rozpis pro rozpocet'!G99</f>
        <v>4559</v>
      </c>
      <c r="J24" s="1062">
        <f>'rozpis pro rozpocet'!H99</f>
        <v>2070</v>
      </c>
      <c r="K24" s="1065">
        <f>'rozpis pro rozpocet'!E99</f>
        <v>0</v>
      </c>
    </row>
    <row r="25" spans="1:11" x14ac:dyDescent="0.2">
      <c r="A25" s="960" t="s">
        <v>82</v>
      </c>
      <c r="B25" s="933">
        <v>3000</v>
      </c>
      <c r="C25" s="933">
        <v>10</v>
      </c>
      <c r="D25" s="1566">
        <v>673</v>
      </c>
      <c r="E25" s="933"/>
      <c r="F25" s="933">
        <v>3400</v>
      </c>
      <c r="G25" s="961"/>
      <c r="I25" s="1061">
        <f>'rozpis pro rozpocet'!G100</f>
        <v>3000</v>
      </c>
      <c r="J25" s="1062">
        <f>'rozpis pro rozpocet'!H100</f>
        <v>10</v>
      </c>
      <c r="K25" s="1065">
        <f>'rozpis pro rozpocet'!E100</f>
        <v>673</v>
      </c>
    </row>
    <row r="26" spans="1:11" x14ac:dyDescent="0.2">
      <c r="A26" s="960" t="s">
        <v>105</v>
      </c>
      <c r="B26" s="933">
        <v>0</v>
      </c>
      <c r="C26" s="933">
        <v>0</v>
      </c>
      <c r="D26" s="1566">
        <v>1275</v>
      </c>
      <c r="E26" s="933"/>
      <c r="F26" s="933"/>
      <c r="G26" s="961"/>
      <c r="I26" s="1061">
        <f>'rozpis pro rozpocet'!G101</f>
        <v>0</v>
      </c>
      <c r="J26" s="1062">
        <f>'rozpis pro rozpocet'!H101</f>
        <v>0</v>
      </c>
      <c r="K26" s="1065">
        <f>'rozpis pro rozpocet'!E101</f>
        <v>1275</v>
      </c>
    </row>
    <row r="27" spans="1:11" x14ac:dyDescent="0.2">
      <c r="A27" s="960" t="s">
        <v>134</v>
      </c>
      <c r="B27" s="933">
        <v>4711.6399999999994</v>
      </c>
      <c r="C27" s="933">
        <v>33</v>
      </c>
      <c r="D27" s="1566">
        <v>3779</v>
      </c>
      <c r="E27" s="933"/>
      <c r="F27" s="933"/>
      <c r="G27" s="961"/>
      <c r="I27" s="1061">
        <f>'rozpis pro rozpocet'!G102</f>
        <v>4711.6399999999994</v>
      </c>
      <c r="J27" s="1062">
        <f>'rozpis pro rozpocet'!H102</f>
        <v>33</v>
      </c>
      <c r="K27" s="1065">
        <f>'rozpis pro rozpocet'!E102</f>
        <v>3779</v>
      </c>
    </row>
    <row r="28" spans="1:11" x14ac:dyDescent="0.2">
      <c r="A28" s="960" t="s">
        <v>17</v>
      </c>
      <c r="B28" s="933">
        <v>58680.17</v>
      </c>
      <c r="C28" s="933">
        <v>28064.2</v>
      </c>
      <c r="D28" s="1566">
        <v>52316</v>
      </c>
      <c r="E28" s="933"/>
      <c r="F28" s="933">
        <v>247</v>
      </c>
      <c r="G28" s="961"/>
      <c r="I28" s="1061">
        <f>'rozpis pro rozpocet'!G103</f>
        <v>58680.17</v>
      </c>
      <c r="J28" s="1062">
        <f>'rozpis pro rozpocet'!H103</f>
        <v>28064.2</v>
      </c>
      <c r="K28" s="1065">
        <f>'rozpis pro rozpocet'!E103</f>
        <v>52316</v>
      </c>
    </row>
    <row r="29" spans="1:11" x14ac:dyDescent="0.2">
      <c r="A29" s="960" t="s">
        <v>24</v>
      </c>
      <c r="B29" s="933">
        <v>32000</v>
      </c>
      <c r="C29" s="933">
        <v>2</v>
      </c>
      <c r="D29" s="1566">
        <v>820</v>
      </c>
      <c r="E29" s="933"/>
      <c r="F29" s="1566">
        <v>297</v>
      </c>
      <c r="G29" s="961"/>
      <c r="I29" s="1061">
        <f>'rozpis pro rozpocet'!G104</f>
        <v>32000</v>
      </c>
      <c r="J29" s="1062">
        <f>'rozpis pro rozpocet'!H104</f>
        <v>2</v>
      </c>
      <c r="K29" s="1065">
        <f>'rozpis pro rozpocet'!E104</f>
        <v>820</v>
      </c>
    </row>
    <row r="30" spans="1:11" x14ac:dyDescent="0.2">
      <c r="A30" s="960" t="s">
        <v>25</v>
      </c>
      <c r="B30" s="933">
        <v>9450</v>
      </c>
      <c r="C30" s="933">
        <v>0</v>
      </c>
      <c r="D30" s="1566">
        <v>0</v>
      </c>
      <c r="E30" s="933"/>
      <c r="F30" s="1566">
        <v>22489</v>
      </c>
      <c r="G30" s="961"/>
      <c r="I30" s="1061">
        <f>'rozpis pro rozpocet'!G105</f>
        <v>9450</v>
      </c>
      <c r="J30" s="1062">
        <f>'rozpis pro rozpocet'!H105</f>
        <v>0</v>
      </c>
      <c r="K30" s="1065">
        <f>'rozpis pro rozpocet'!E105</f>
        <v>0</v>
      </c>
    </row>
    <row r="31" spans="1:11" ht="13.5" thickBot="1" x14ac:dyDescent="0.25">
      <c r="A31" s="1549" t="s">
        <v>18</v>
      </c>
      <c r="B31" s="1550">
        <v>47269.567357903412</v>
      </c>
      <c r="C31" s="1550">
        <f>'rozpis pro rozpocet'!H106+'rozpis pro rozpocet'!I106</f>
        <v>94529.53</v>
      </c>
      <c r="D31" s="1551">
        <v>62004</v>
      </c>
      <c r="E31" s="1551">
        <v>16878.905970650143</v>
      </c>
      <c r="F31" s="1551">
        <v>25570</v>
      </c>
      <c r="G31" s="1552">
        <v>12037</v>
      </c>
      <c r="I31" s="1061">
        <f>'rozpis pro rozpocet'!G106</f>
        <v>47269.567357903412</v>
      </c>
      <c r="J31" s="1062">
        <f>'rozpis pro rozpocet'!H106+'rozpis pro rozpocet'!I106</f>
        <v>94529.53</v>
      </c>
      <c r="K31" s="1065">
        <f>'rozpis pro rozpocet'!E106</f>
        <v>62004</v>
      </c>
    </row>
    <row r="32" spans="1:11" ht="13.5" thickBot="1" x14ac:dyDescent="0.25">
      <c r="A32" s="1553" t="s">
        <v>201</v>
      </c>
      <c r="B32" s="1554">
        <f t="shared" ref="B32:G32" si="0">SUM(B11:B31)</f>
        <v>1568565.4640293499</v>
      </c>
      <c r="C32" s="1554">
        <f t="shared" si="0"/>
        <v>186042.72999999998</v>
      </c>
      <c r="D32" s="1567">
        <f t="shared" si="0"/>
        <v>626772</v>
      </c>
      <c r="E32" s="1554">
        <f t="shared" si="0"/>
        <v>42227.339132408975</v>
      </c>
      <c r="F32" s="1554">
        <f t="shared" si="0"/>
        <v>99729</v>
      </c>
      <c r="G32" s="1555">
        <f t="shared" si="0"/>
        <v>12037</v>
      </c>
      <c r="I32" s="1392">
        <f>SUM(I11:I31)</f>
        <v>1568565.4640293499</v>
      </c>
      <c r="J32" s="1392">
        <f>SUM(J11:J31)</f>
        <v>186042.72999999998</v>
      </c>
      <c r="K32" s="1392">
        <f>SUM(K11:K31)</f>
        <v>626772</v>
      </c>
    </row>
    <row r="34" spans="1:9" x14ac:dyDescent="0.2">
      <c r="A34" s="948" t="s">
        <v>413</v>
      </c>
      <c r="B34" s="933">
        <f>SUM(B35:B38)</f>
        <v>47269.567357903412</v>
      </c>
      <c r="C34" s="933">
        <f>SUM(C35:C38)</f>
        <v>94529.53</v>
      </c>
      <c r="D34" s="1566">
        <f>SUM(D35:D38)</f>
        <v>62004</v>
      </c>
      <c r="E34" s="933">
        <f>SUM(E35:E38)</f>
        <v>16878.905970650143</v>
      </c>
      <c r="F34" s="933">
        <f>SUM(F35:F38)</f>
        <v>25570</v>
      </c>
      <c r="G34" s="933">
        <f>G31</f>
        <v>12037</v>
      </c>
    </row>
    <row r="35" spans="1:9" x14ac:dyDescent="0.2">
      <c r="A35" s="949" t="s">
        <v>429</v>
      </c>
      <c r="B35" s="950"/>
      <c r="C35" s="950"/>
      <c r="D35" s="1568">
        <v>24439.5</v>
      </c>
      <c r="E35" s="950"/>
      <c r="F35" s="950"/>
      <c r="G35" s="950"/>
      <c r="I35" s="120"/>
    </row>
    <row r="36" spans="1:9" x14ac:dyDescent="0.2">
      <c r="A36" s="949" t="s">
        <v>430</v>
      </c>
      <c r="B36" s="950"/>
      <c r="C36" s="950"/>
      <c r="D36" s="1568"/>
      <c r="E36" s="950"/>
      <c r="F36" s="950"/>
      <c r="G36" s="950">
        <v>12037</v>
      </c>
    </row>
    <row r="37" spans="1:9" x14ac:dyDescent="0.2">
      <c r="A37" s="949" t="s">
        <v>592</v>
      </c>
      <c r="B37" s="950"/>
      <c r="C37" s="950">
        <v>19000</v>
      </c>
      <c r="D37" s="1568"/>
      <c r="E37" s="950"/>
      <c r="F37" s="950"/>
      <c r="G37" s="950"/>
    </row>
    <row r="38" spans="1:9" x14ac:dyDescent="0.2">
      <c r="A38" s="949" t="s">
        <v>593</v>
      </c>
      <c r="B38" s="950">
        <f>B31</f>
        <v>47269.567357903412</v>
      </c>
      <c r="C38" s="950">
        <f>C31-C37</f>
        <v>75529.53</v>
      </c>
      <c r="D38" s="1568">
        <f>D31-D35</f>
        <v>37564.5</v>
      </c>
      <c r="E38" s="950">
        <f>E31-E35</f>
        <v>16878.905970650143</v>
      </c>
      <c r="F38" s="950">
        <f>F31-F35</f>
        <v>25570</v>
      </c>
      <c r="G38" s="950">
        <f>G34-G36</f>
        <v>0</v>
      </c>
    </row>
    <row r="41" spans="1:9" x14ac:dyDescent="0.2">
      <c r="A41" s="956" t="s">
        <v>639</v>
      </c>
    </row>
    <row r="42" spans="1:9" x14ac:dyDescent="0.2">
      <c r="A42" s="956" t="s">
        <v>718</v>
      </c>
    </row>
  </sheetData>
  <mergeCells count="1">
    <mergeCell ref="B9:C9"/>
  </mergeCells>
  <pageMargins left="0.7" right="0.7" top="0.78740157499999996" bottom="0.78740157499999996" header="0.3" footer="0.3"/>
  <pageSetup paperSize="9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"/>
  <dimension ref="A1:P192"/>
  <sheetViews>
    <sheetView showGridLines="0" zoomScaleNormal="100" workbookViewId="0">
      <pane ySplit="5" topLeftCell="A6" activePane="bottomLeft" state="frozen"/>
      <selection activeCell="J26" sqref="J26"/>
      <selection pane="bottomLeft"/>
    </sheetView>
  </sheetViews>
  <sheetFormatPr defaultColWidth="11.42578125" defaultRowHeight="12" customHeight="1" outlineLevelRow="1" outlineLevelCol="1" x14ac:dyDescent="0.2"/>
  <cols>
    <col min="1" max="2" width="5.28515625" style="1102" customWidth="1"/>
    <col min="3" max="3" width="9.5703125" style="1103" customWidth="1"/>
    <col min="4" max="4" width="43.42578125" style="1090" customWidth="1"/>
    <col min="5" max="8" width="9.42578125" style="1323" hidden="1" customWidth="1" outlineLevel="1"/>
    <col min="9" max="9" width="10.5703125" style="1323" customWidth="1" collapsed="1"/>
    <col min="10" max="10" width="10.5703125" style="1323" customWidth="1"/>
    <col min="11" max="11" width="8.7109375" style="1363" hidden="1" customWidth="1"/>
    <col min="12" max="13" width="8.5703125" style="1364" hidden="1" customWidth="1"/>
    <col min="14" max="14" width="6.7109375" style="1102" hidden="1" customWidth="1"/>
    <col min="15" max="15" width="7.42578125" style="1362" hidden="1" customWidth="1"/>
    <col min="16" max="16" width="40.28515625" style="1096" hidden="1" customWidth="1"/>
    <col min="17" max="16384" width="11.42578125" style="1090"/>
  </cols>
  <sheetData>
    <row r="1" spans="1:16" ht="15.75" x14ac:dyDescent="0.25">
      <c r="A1" s="1087" t="s">
        <v>653</v>
      </c>
      <c r="B1" s="1088"/>
      <c r="C1" s="1089"/>
      <c r="E1" s="1091"/>
      <c r="F1" s="1091"/>
      <c r="G1" s="1091"/>
      <c r="H1" s="1091"/>
      <c r="I1" s="1091"/>
      <c r="J1" s="1091"/>
      <c r="K1" s="1092"/>
      <c r="L1" s="1093"/>
      <c r="M1" s="1093"/>
      <c r="N1" s="1094"/>
      <c r="O1" s="1095"/>
    </row>
    <row r="2" spans="1:16" ht="12" customHeight="1" x14ac:dyDescent="0.2">
      <c r="A2" s="1097" t="s">
        <v>596</v>
      </c>
      <c r="B2" s="1098"/>
      <c r="C2" s="1099"/>
      <c r="D2" s="1093"/>
      <c r="E2" s="1100"/>
      <c r="F2" s="1100"/>
      <c r="G2" s="1100"/>
      <c r="H2" s="1100"/>
      <c r="I2" s="1100"/>
      <c r="J2" s="1100"/>
      <c r="K2" s="1092"/>
      <c r="L2" s="1093"/>
      <c r="M2" s="1093"/>
      <c r="N2" s="1093"/>
      <c r="O2" s="1101"/>
    </row>
    <row r="3" spans="1:16" ht="12" customHeight="1" thickBot="1" x14ac:dyDescent="0.25">
      <c r="E3" s="1104"/>
      <c r="F3" s="1104"/>
      <c r="G3" s="1104"/>
      <c r="H3" s="1104"/>
      <c r="I3" s="1105"/>
      <c r="J3" s="1105"/>
      <c r="K3" s="1092"/>
      <c r="L3" s="1093"/>
      <c r="M3" s="1093"/>
      <c r="N3" s="1106"/>
      <c r="O3" s="1106"/>
    </row>
    <row r="4" spans="1:16" ht="12" customHeight="1" x14ac:dyDescent="0.2">
      <c r="A4" s="1107"/>
      <c r="B4" s="1108"/>
      <c r="C4" s="1109"/>
      <c r="D4" s="1110"/>
      <c r="E4" s="1111" t="s">
        <v>26</v>
      </c>
      <c r="F4" s="1111" t="s">
        <v>26</v>
      </c>
      <c r="G4" s="1112" t="s">
        <v>26</v>
      </c>
      <c r="H4" s="1455" t="s">
        <v>26</v>
      </c>
      <c r="I4" s="1456" t="s">
        <v>26</v>
      </c>
      <c r="J4" s="1430" t="s">
        <v>26</v>
      </c>
      <c r="K4" s="1416" t="s">
        <v>509</v>
      </c>
      <c r="L4" s="1108" t="s">
        <v>506</v>
      </c>
      <c r="M4" s="1113" t="s">
        <v>507</v>
      </c>
      <c r="N4" s="1114"/>
      <c r="O4" s="1115"/>
    </row>
    <row r="5" spans="1:16" ht="12" customHeight="1" thickBot="1" x14ac:dyDescent="0.25">
      <c r="A5" s="1116" t="s">
        <v>27</v>
      </c>
      <c r="B5" s="1117" t="s">
        <v>512</v>
      </c>
      <c r="C5" s="1118" t="s">
        <v>513</v>
      </c>
      <c r="D5" s="1119" t="s">
        <v>28</v>
      </c>
      <c r="E5" s="1120">
        <v>2012</v>
      </c>
      <c r="F5" s="1120">
        <v>2013</v>
      </c>
      <c r="G5" s="1121">
        <v>2014</v>
      </c>
      <c r="H5" s="1457">
        <v>2015</v>
      </c>
      <c r="I5" s="1458">
        <v>2016</v>
      </c>
      <c r="J5" s="1431">
        <v>2017</v>
      </c>
      <c r="K5" s="1417">
        <f>'pom2 - Poměr VaV'!K31</f>
        <v>0.39</v>
      </c>
      <c r="L5" s="1122">
        <v>2112</v>
      </c>
      <c r="M5" s="1123">
        <v>1112</v>
      </c>
      <c r="N5" s="1124" t="s">
        <v>494</v>
      </c>
      <c r="O5" s="1125" t="s">
        <v>508</v>
      </c>
    </row>
    <row r="6" spans="1:16" ht="12" customHeight="1" x14ac:dyDescent="0.2">
      <c r="A6" s="1126" t="s">
        <v>515</v>
      </c>
      <c r="B6" s="1127" t="s">
        <v>263</v>
      </c>
      <c r="C6" s="1128" t="s">
        <v>16</v>
      </c>
      <c r="D6" s="1129" t="s">
        <v>168</v>
      </c>
      <c r="E6" s="1130">
        <f t="shared" ref="E6:J6" si="0">E7+E12+E13+E26</f>
        <v>245687</v>
      </c>
      <c r="F6" s="1130">
        <f t="shared" si="0"/>
        <v>208965</v>
      </c>
      <c r="G6" s="1131">
        <f t="shared" si="0"/>
        <v>185010</v>
      </c>
      <c r="H6" s="1132">
        <f t="shared" si="0"/>
        <v>152894</v>
      </c>
      <c r="I6" s="1408">
        <f t="shared" si="0"/>
        <v>95056</v>
      </c>
      <c r="J6" s="1131">
        <f t="shared" si="0"/>
        <v>91332</v>
      </c>
      <c r="K6" s="1418"/>
      <c r="L6" s="1133">
        <f>L7+L12+L13+L26</f>
        <v>117</v>
      </c>
      <c r="M6" s="1131">
        <f>M7+M12+M13+M26</f>
        <v>91215</v>
      </c>
      <c r="N6" s="1132"/>
      <c r="O6" s="1131"/>
    </row>
    <row r="7" spans="1:16" ht="12" customHeight="1" x14ac:dyDescent="0.2">
      <c r="A7" s="1134">
        <v>1</v>
      </c>
      <c r="B7" s="1135" t="s">
        <v>263</v>
      </c>
      <c r="C7" s="1136"/>
      <c r="D7" s="1137" t="s">
        <v>155</v>
      </c>
      <c r="E7" s="1138">
        <f>SUM(E9:E11)</f>
        <v>234531</v>
      </c>
      <c r="F7" s="1138">
        <f>SUM(F9:F11)</f>
        <v>204450</v>
      </c>
      <c r="G7" s="1139">
        <f t="shared" ref="G7:M7" si="1">SUM(G8:G11)</f>
        <v>179862</v>
      </c>
      <c r="H7" s="1140">
        <f t="shared" si="1"/>
        <v>144151</v>
      </c>
      <c r="I7" s="1405">
        <f>SUM(I8:I11)</f>
        <v>88000</v>
      </c>
      <c r="J7" s="1139">
        <f>SUM(J8:J11)</f>
        <v>88000</v>
      </c>
      <c r="K7" s="1419">
        <f t="shared" si="1"/>
        <v>0</v>
      </c>
      <c r="L7" s="1141">
        <f>SUM(L8:L11)</f>
        <v>0</v>
      </c>
      <c r="M7" s="1139">
        <f t="shared" si="1"/>
        <v>88000</v>
      </c>
      <c r="N7" s="1140"/>
      <c r="O7" s="1141"/>
    </row>
    <row r="8" spans="1:16" ht="12" customHeight="1" outlineLevel="1" x14ac:dyDescent="0.2">
      <c r="A8" s="1142" t="s">
        <v>146</v>
      </c>
      <c r="B8" s="1143" t="s">
        <v>263</v>
      </c>
      <c r="C8" s="1144" t="s">
        <v>514</v>
      </c>
      <c r="D8" s="1145" t="s">
        <v>98</v>
      </c>
      <c r="E8" s="1146"/>
      <c r="F8" s="1146"/>
      <c r="G8" s="1147">
        <v>0</v>
      </c>
      <c r="H8" s="1151"/>
      <c r="I8" s="1459"/>
      <c r="J8" s="1148"/>
      <c r="K8" s="1420"/>
      <c r="L8" s="1149">
        <f>J8*K8</f>
        <v>0</v>
      </c>
      <c r="M8" s="1150">
        <f>J8-L8</f>
        <v>0</v>
      </c>
      <c r="N8" s="1151"/>
      <c r="O8" s="1152"/>
      <c r="P8" s="1374"/>
    </row>
    <row r="9" spans="1:16" ht="12" customHeight="1" outlineLevel="1" x14ac:dyDescent="0.2">
      <c r="A9" s="1142" t="s">
        <v>147</v>
      </c>
      <c r="B9" s="1143" t="s">
        <v>263</v>
      </c>
      <c r="C9" s="1144" t="s">
        <v>514</v>
      </c>
      <c r="D9" s="1145" t="s">
        <v>156</v>
      </c>
      <c r="E9" s="1146">
        <v>122531</v>
      </c>
      <c r="F9" s="1146">
        <v>91450</v>
      </c>
      <c r="G9" s="1147">
        <v>41862</v>
      </c>
      <c r="H9" s="1151">
        <v>14751</v>
      </c>
      <c r="I9" s="1459"/>
      <c r="J9" s="1148"/>
      <c r="K9" s="1420"/>
      <c r="L9" s="1149">
        <f>J9*K9</f>
        <v>0</v>
      </c>
      <c r="M9" s="1150">
        <f>J9-L9</f>
        <v>0</v>
      </c>
      <c r="N9" s="1151"/>
      <c r="O9" s="1152"/>
      <c r="P9" s="1153"/>
    </row>
    <row r="10" spans="1:16" ht="12" customHeight="1" outlineLevel="1" x14ac:dyDescent="0.2">
      <c r="A10" s="1142" t="s">
        <v>157</v>
      </c>
      <c r="B10" s="1143" t="s">
        <v>263</v>
      </c>
      <c r="C10" s="1144" t="s">
        <v>514</v>
      </c>
      <c r="D10" s="1145" t="s">
        <v>298</v>
      </c>
      <c r="E10" s="1146">
        <v>87000</v>
      </c>
      <c r="F10" s="1146">
        <v>88000</v>
      </c>
      <c r="G10" s="1147">
        <v>88000</v>
      </c>
      <c r="H10" s="1151">
        <v>88000</v>
      </c>
      <c r="I10" s="1459">
        <v>88000</v>
      </c>
      <c r="J10" s="1148">
        <v>88000</v>
      </c>
      <c r="K10" s="1420"/>
      <c r="L10" s="1149">
        <f>J10*K10</f>
        <v>0</v>
      </c>
      <c r="M10" s="1150">
        <f>J10-L10</f>
        <v>88000</v>
      </c>
      <c r="N10" s="1151"/>
      <c r="O10" s="1152"/>
      <c r="P10" s="1153"/>
    </row>
    <row r="11" spans="1:16" ht="12" customHeight="1" outlineLevel="1" x14ac:dyDescent="0.2">
      <c r="A11" s="1142" t="s">
        <v>158</v>
      </c>
      <c r="B11" s="1143" t="s">
        <v>263</v>
      </c>
      <c r="C11" s="1144" t="s">
        <v>514</v>
      </c>
      <c r="D11" s="1145" t="s">
        <v>212</v>
      </c>
      <c r="E11" s="1154">
        <v>25000</v>
      </c>
      <c r="F11" s="1154">
        <v>25000</v>
      </c>
      <c r="G11" s="1155">
        <v>50000</v>
      </c>
      <c r="H11" s="1151">
        <v>41400</v>
      </c>
      <c r="I11" s="1459"/>
      <c r="J11" s="1148"/>
      <c r="K11" s="1420"/>
      <c r="L11" s="1149">
        <f>J11*K11</f>
        <v>0</v>
      </c>
      <c r="M11" s="1150">
        <f>J11-L11</f>
        <v>0</v>
      </c>
      <c r="N11" s="1151"/>
      <c r="O11" s="1152"/>
      <c r="P11" s="1153"/>
    </row>
    <row r="12" spans="1:16" ht="12" customHeight="1" x14ac:dyDescent="0.2">
      <c r="A12" s="1134">
        <v>2</v>
      </c>
      <c r="B12" s="1135" t="s">
        <v>263</v>
      </c>
      <c r="C12" s="1136"/>
      <c r="D12" s="1137" t="s">
        <v>99</v>
      </c>
      <c r="E12" s="1138"/>
      <c r="F12" s="1138"/>
      <c r="G12" s="1139"/>
      <c r="H12" s="1140"/>
      <c r="I12" s="1405">
        <v>0</v>
      </c>
      <c r="J12" s="1139"/>
      <c r="K12" s="1419"/>
      <c r="L12" s="1141">
        <f>I12*K12</f>
        <v>0</v>
      </c>
      <c r="M12" s="1139">
        <f>I12-L12</f>
        <v>0</v>
      </c>
      <c r="N12" s="1140"/>
      <c r="O12" s="1141"/>
      <c r="P12" s="1153"/>
    </row>
    <row r="13" spans="1:16" ht="12" customHeight="1" x14ac:dyDescent="0.2">
      <c r="A13" s="1134">
        <v>3</v>
      </c>
      <c r="B13" s="1135" t="s">
        <v>263</v>
      </c>
      <c r="C13" s="1136"/>
      <c r="D13" s="1137" t="s">
        <v>235</v>
      </c>
      <c r="E13" s="1156">
        <f>SUM(E15:E25)</f>
        <v>10156</v>
      </c>
      <c r="F13" s="1156">
        <f>SUM(F15:F25)</f>
        <v>4515</v>
      </c>
      <c r="G13" s="1157">
        <f>SUM(G14:G25)</f>
        <v>5148</v>
      </c>
      <c r="H13" s="1158">
        <f>SUM(H14:H25)</f>
        <v>5143</v>
      </c>
      <c r="I13" s="1406">
        <f>SUM(I14:I25)</f>
        <v>7056</v>
      </c>
      <c r="J13" s="1157">
        <f>SUM(J14:J25)</f>
        <v>3332</v>
      </c>
      <c r="K13" s="1421"/>
      <c r="L13" s="1159">
        <f>SUM(L14:L25)</f>
        <v>117</v>
      </c>
      <c r="M13" s="1157">
        <f>SUM(M14:M25)</f>
        <v>3215</v>
      </c>
      <c r="N13" s="1158"/>
      <c r="O13" s="1159"/>
      <c r="P13" s="1153"/>
    </row>
    <row r="14" spans="1:16" ht="12" customHeight="1" outlineLevel="1" x14ac:dyDescent="0.2">
      <c r="A14" s="1160" t="s">
        <v>414</v>
      </c>
      <c r="B14" s="1143" t="s">
        <v>263</v>
      </c>
      <c r="C14" s="1144" t="s">
        <v>516</v>
      </c>
      <c r="D14" s="1161" t="s">
        <v>533</v>
      </c>
      <c r="E14" s="1162"/>
      <c r="F14" s="1162"/>
      <c r="G14" s="1163"/>
      <c r="H14" s="1165"/>
      <c r="I14" s="1460"/>
      <c r="J14" s="1164"/>
      <c r="K14" s="1420"/>
      <c r="L14" s="1149">
        <f>J14*K14</f>
        <v>0</v>
      </c>
      <c r="M14" s="1150">
        <f>J14-L14</f>
        <v>0</v>
      </c>
      <c r="N14" s="1165"/>
      <c r="O14" s="1166"/>
      <c r="P14" s="1153"/>
    </row>
    <row r="15" spans="1:16" ht="12" customHeight="1" outlineLevel="1" x14ac:dyDescent="0.2">
      <c r="A15" s="1160" t="s">
        <v>415</v>
      </c>
      <c r="B15" s="1143" t="s">
        <v>263</v>
      </c>
      <c r="C15" s="1144" t="s">
        <v>525</v>
      </c>
      <c r="D15" s="1161" t="s">
        <v>533</v>
      </c>
      <c r="E15" s="1162"/>
      <c r="F15" s="1162"/>
      <c r="G15" s="1163"/>
      <c r="H15" s="1165"/>
      <c r="I15" s="1460"/>
      <c r="J15" s="1164"/>
      <c r="K15" s="1420"/>
      <c r="L15" s="1149">
        <f t="shared" ref="L15:L25" si="2">J15*K15</f>
        <v>0</v>
      </c>
      <c r="M15" s="1150">
        <f t="shared" ref="M15:M25" si="3">J15-L15</f>
        <v>0</v>
      </c>
      <c r="N15" s="1165"/>
      <c r="O15" s="1166"/>
      <c r="P15" s="1153"/>
    </row>
    <row r="16" spans="1:16" ht="12" customHeight="1" outlineLevel="1" x14ac:dyDescent="0.2">
      <c r="A16" s="1160" t="s">
        <v>416</v>
      </c>
      <c r="B16" s="1143" t="s">
        <v>263</v>
      </c>
      <c r="C16" s="1144" t="s">
        <v>517</v>
      </c>
      <c r="D16" s="1161" t="s">
        <v>533</v>
      </c>
      <c r="E16" s="1162"/>
      <c r="F16" s="1162"/>
      <c r="G16" s="1163"/>
      <c r="H16" s="1165"/>
      <c r="I16" s="1460"/>
      <c r="J16" s="1164"/>
      <c r="K16" s="1420"/>
      <c r="L16" s="1149">
        <f t="shared" si="2"/>
        <v>0</v>
      </c>
      <c r="M16" s="1150">
        <f t="shared" si="3"/>
        <v>0</v>
      </c>
      <c r="N16" s="1165"/>
      <c r="O16" s="1166"/>
      <c r="P16" s="1153"/>
    </row>
    <row r="17" spans="1:16" ht="12" customHeight="1" outlineLevel="1" x14ac:dyDescent="0.2">
      <c r="A17" s="1160" t="s">
        <v>417</v>
      </c>
      <c r="B17" s="1143" t="s">
        <v>263</v>
      </c>
      <c r="C17" s="1144" t="s">
        <v>526</v>
      </c>
      <c r="D17" s="1161" t="s">
        <v>533</v>
      </c>
      <c r="E17" s="1162"/>
      <c r="F17" s="1162"/>
      <c r="G17" s="1163"/>
      <c r="H17" s="1165"/>
      <c r="I17" s="1460"/>
      <c r="J17" s="1164"/>
      <c r="K17" s="1420"/>
      <c r="L17" s="1149">
        <f t="shared" si="2"/>
        <v>0</v>
      </c>
      <c r="M17" s="1150">
        <f t="shared" si="3"/>
        <v>0</v>
      </c>
      <c r="N17" s="1165"/>
      <c r="O17" s="1166"/>
      <c r="P17" s="1153"/>
    </row>
    <row r="18" spans="1:16" ht="12" customHeight="1" outlineLevel="1" x14ac:dyDescent="0.2">
      <c r="A18" s="1160" t="s">
        <v>418</v>
      </c>
      <c r="B18" s="1143" t="s">
        <v>263</v>
      </c>
      <c r="C18" s="1144" t="s">
        <v>518</v>
      </c>
      <c r="D18" s="1161" t="s">
        <v>533</v>
      </c>
      <c r="E18" s="1162">
        <v>627</v>
      </c>
      <c r="F18" s="1162">
        <v>745</v>
      </c>
      <c r="G18" s="1163">
        <v>704</v>
      </c>
      <c r="H18" s="1167">
        <v>704</v>
      </c>
      <c r="I18" s="1460">
        <v>651</v>
      </c>
      <c r="J18" s="1164">
        <v>670</v>
      </c>
      <c r="K18" s="1420"/>
      <c r="L18" s="1149">
        <f t="shared" si="2"/>
        <v>0</v>
      </c>
      <c r="M18" s="1150">
        <f t="shared" si="3"/>
        <v>670</v>
      </c>
      <c r="N18" s="1167"/>
      <c r="O18" s="1168"/>
      <c r="P18" s="1153"/>
    </row>
    <row r="19" spans="1:16" ht="12" customHeight="1" outlineLevel="1" x14ac:dyDescent="0.2">
      <c r="A19" s="1160" t="s">
        <v>419</v>
      </c>
      <c r="B19" s="1143" t="s">
        <v>263</v>
      </c>
      <c r="C19" s="1144" t="s">
        <v>519</v>
      </c>
      <c r="D19" s="1161" t="s">
        <v>533</v>
      </c>
      <c r="E19" s="1162">
        <v>28</v>
      </c>
      <c r="F19" s="1162">
        <v>28</v>
      </c>
      <c r="G19" s="1163">
        <v>26</v>
      </c>
      <c r="H19" s="1165">
        <v>10</v>
      </c>
      <c r="I19" s="1460"/>
      <c r="J19" s="1164">
        <v>10</v>
      </c>
      <c r="K19" s="1420"/>
      <c r="L19" s="1149">
        <f t="shared" si="2"/>
        <v>0</v>
      </c>
      <c r="M19" s="1150">
        <f t="shared" si="3"/>
        <v>10</v>
      </c>
      <c r="N19" s="1165"/>
      <c r="O19" s="1166"/>
      <c r="P19" s="1153"/>
    </row>
    <row r="20" spans="1:16" ht="12" customHeight="1" outlineLevel="1" x14ac:dyDescent="0.2">
      <c r="A20" s="1160" t="s">
        <v>420</v>
      </c>
      <c r="B20" s="1143" t="s">
        <v>263</v>
      </c>
      <c r="C20" s="1144" t="s">
        <v>520</v>
      </c>
      <c r="D20" s="1161" t="s">
        <v>533</v>
      </c>
      <c r="E20" s="1162"/>
      <c r="F20" s="1162"/>
      <c r="G20" s="1163">
        <v>0</v>
      </c>
      <c r="H20" s="1165"/>
      <c r="I20" s="1460"/>
      <c r="J20" s="1164"/>
      <c r="K20" s="1420"/>
      <c r="L20" s="1149">
        <f t="shared" si="2"/>
        <v>0</v>
      </c>
      <c r="M20" s="1150">
        <f t="shared" si="3"/>
        <v>0</v>
      </c>
      <c r="N20" s="1165"/>
      <c r="O20" s="1166"/>
      <c r="P20" s="1153"/>
    </row>
    <row r="21" spans="1:16" ht="12" customHeight="1" outlineLevel="1" x14ac:dyDescent="0.2">
      <c r="A21" s="1160" t="s">
        <v>421</v>
      </c>
      <c r="B21" s="1143" t="s">
        <v>263</v>
      </c>
      <c r="C21" s="1144" t="s">
        <v>521</v>
      </c>
      <c r="D21" s="1161" t="s">
        <v>533</v>
      </c>
      <c r="E21" s="1162"/>
      <c r="F21" s="1162">
        <v>97</v>
      </c>
      <c r="G21" s="1163">
        <v>99</v>
      </c>
      <c r="H21" s="1165">
        <v>125</v>
      </c>
      <c r="I21" s="1460">
        <v>125</v>
      </c>
      <c r="J21" s="1164">
        <v>150</v>
      </c>
      <c r="K21" s="1417">
        <f>K157</f>
        <v>0.78</v>
      </c>
      <c r="L21" s="1149">
        <f t="shared" si="2"/>
        <v>117</v>
      </c>
      <c r="M21" s="1150">
        <f t="shared" si="3"/>
        <v>33</v>
      </c>
      <c r="N21" s="1165"/>
      <c r="O21" s="1166"/>
      <c r="P21" s="1153" t="s">
        <v>602</v>
      </c>
    </row>
    <row r="22" spans="1:16" ht="12" customHeight="1" outlineLevel="1" x14ac:dyDescent="0.2">
      <c r="A22" s="1160" t="s">
        <v>422</v>
      </c>
      <c r="B22" s="1143" t="s">
        <v>263</v>
      </c>
      <c r="C22" s="1144" t="s">
        <v>522</v>
      </c>
      <c r="D22" s="1161" t="s">
        <v>533</v>
      </c>
      <c r="E22" s="1162">
        <v>8457</v>
      </c>
      <c r="F22" s="1162">
        <v>2861</v>
      </c>
      <c r="G22" s="1163">
        <v>3428</v>
      </c>
      <c r="H22" s="1165">
        <v>3428</v>
      </c>
      <c r="I22" s="1460">
        <v>5060</v>
      </c>
      <c r="J22" s="1164"/>
      <c r="K22" s="1417">
        <f>$K$5</f>
        <v>0.39</v>
      </c>
      <c r="L22" s="1149">
        <f t="shared" si="2"/>
        <v>0</v>
      </c>
      <c r="M22" s="1150">
        <f t="shared" si="3"/>
        <v>0</v>
      </c>
      <c r="N22" s="1165"/>
      <c r="O22" s="1166"/>
      <c r="P22" s="1153" t="s">
        <v>17</v>
      </c>
    </row>
    <row r="23" spans="1:16" ht="12" customHeight="1" outlineLevel="1" x14ac:dyDescent="0.2">
      <c r="A23" s="1160" t="s">
        <v>423</v>
      </c>
      <c r="B23" s="1143" t="s">
        <v>263</v>
      </c>
      <c r="C23" s="1144" t="s">
        <v>523</v>
      </c>
      <c r="D23" s="1161" t="s">
        <v>533</v>
      </c>
      <c r="E23" s="1169">
        <v>155</v>
      </c>
      <c r="F23" s="1169">
        <v>332</v>
      </c>
      <c r="G23" s="1170">
        <v>41</v>
      </c>
      <c r="H23" s="1167">
        <v>26</v>
      </c>
      <c r="I23" s="1460">
        <v>20</v>
      </c>
      <c r="J23" s="1164">
        <v>2</v>
      </c>
      <c r="K23" s="1420"/>
      <c r="L23" s="1149">
        <f t="shared" si="2"/>
        <v>0</v>
      </c>
      <c r="M23" s="1150">
        <f t="shared" si="3"/>
        <v>2</v>
      </c>
      <c r="N23" s="1167"/>
      <c r="O23" s="1168"/>
      <c r="P23" s="1153"/>
    </row>
    <row r="24" spans="1:16" ht="12" customHeight="1" outlineLevel="1" x14ac:dyDescent="0.2">
      <c r="A24" s="1160" t="s">
        <v>424</v>
      </c>
      <c r="B24" s="1143" t="s">
        <v>263</v>
      </c>
      <c r="C24" s="1144" t="s">
        <v>524</v>
      </c>
      <c r="D24" s="1161" t="s">
        <v>533</v>
      </c>
      <c r="E24" s="1162">
        <v>59</v>
      </c>
      <c r="F24" s="1162">
        <v>8</v>
      </c>
      <c r="G24" s="1163">
        <v>0</v>
      </c>
      <c r="H24" s="1165"/>
      <c r="I24" s="1460"/>
      <c r="J24" s="1164"/>
      <c r="K24" s="1420"/>
      <c r="L24" s="1149">
        <f t="shared" si="2"/>
        <v>0</v>
      </c>
      <c r="M24" s="1150">
        <f t="shared" si="3"/>
        <v>0</v>
      </c>
      <c r="N24" s="1165"/>
      <c r="O24" s="1166"/>
      <c r="P24" s="1153"/>
    </row>
    <row r="25" spans="1:16" ht="12" customHeight="1" outlineLevel="1" x14ac:dyDescent="0.2">
      <c r="A25" s="1160" t="s">
        <v>425</v>
      </c>
      <c r="B25" s="1143" t="s">
        <v>263</v>
      </c>
      <c r="C25" s="1144" t="s">
        <v>514</v>
      </c>
      <c r="D25" s="1161" t="s">
        <v>533</v>
      </c>
      <c r="E25" s="1162">
        <v>830</v>
      </c>
      <c r="F25" s="1162">
        <v>444</v>
      </c>
      <c r="G25" s="1163">
        <v>850</v>
      </c>
      <c r="H25" s="1165">
        <v>850</v>
      </c>
      <c r="I25" s="1460">
        <v>1200</v>
      </c>
      <c r="J25" s="1164">
        <v>2500</v>
      </c>
      <c r="K25" s="1420"/>
      <c r="L25" s="1149">
        <f t="shared" si="2"/>
        <v>0</v>
      </c>
      <c r="M25" s="1150">
        <f t="shared" si="3"/>
        <v>2500</v>
      </c>
      <c r="N25" s="1165"/>
      <c r="O25" s="1166"/>
      <c r="P25" s="1153"/>
    </row>
    <row r="26" spans="1:16" s="1299" customFormat="1" ht="12" customHeight="1" thickBot="1" x14ac:dyDescent="0.25">
      <c r="A26" s="1171">
        <v>4</v>
      </c>
      <c r="B26" s="1172" t="s">
        <v>263</v>
      </c>
      <c r="C26" s="1173" t="s">
        <v>514</v>
      </c>
      <c r="D26" s="1173" t="s">
        <v>236</v>
      </c>
      <c r="E26" s="1174">
        <v>1000</v>
      </c>
      <c r="F26" s="1174"/>
      <c r="G26" s="1175">
        <v>0</v>
      </c>
      <c r="H26" s="1176">
        <v>3600</v>
      </c>
      <c r="I26" s="1407"/>
      <c r="J26" s="1177"/>
      <c r="K26" s="1422"/>
      <c r="L26" s="1178">
        <f>J26*K26</f>
        <v>0</v>
      </c>
      <c r="M26" s="1175">
        <f>J26-L26</f>
        <v>0</v>
      </c>
      <c r="N26" s="1176"/>
      <c r="O26" s="1178"/>
      <c r="P26" s="1298" t="s">
        <v>591</v>
      </c>
    </row>
    <row r="27" spans="1:16" ht="12" customHeight="1" x14ac:dyDescent="0.2">
      <c r="A27" s="1179" t="s">
        <v>515</v>
      </c>
      <c r="B27" s="1180" t="s">
        <v>334</v>
      </c>
      <c r="C27" s="1181" t="s">
        <v>16</v>
      </c>
      <c r="D27" s="1182" t="s">
        <v>597</v>
      </c>
      <c r="E27" s="1183">
        <f t="shared" ref="E27:J27" si="4">E83+E87+E90+E94+E97+E101+E103+E106+E109+E111+E118+E120+E122+E124+E146+E148</f>
        <v>136915</v>
      </c>
      <c r="F27" s="1183">
        <f t="shared" si="4"/>
        <v>156838</v>
      </c>
      <c r="G27" s="1184">
        <f t="shared" si="4"/>
        <v>158930</v>
      </c>
      <c r="H27" s="1185">
        <f t="shared" si="4"/>
        <v>191349</v>
      </c>
      <c r="I27" s="1409">
        <f t="shared" si="4"/>
        <v>192832</v>
      </c>
      <c r="J27" s="1184">
        <f t="shared" si="4"/>
        <v>201826</v>
      </c>
      <c r="K27" s="1423"/>
      <c r="L27" s="1186">
        <f>L83+L87+L90+L94+L97+L101+L103+L106+L109+L111+L118+L120+L122+L124+L146+L148</f>
        <v>18998.27</v>
      </c>
      <c r="M27" s="1187">
        <f>M83+M87+M90+M94+M97+M101+M103+M106+M109+M111+M118+M120+M122+M124+M146+M148</f>
        <v>182827.73</v>
      </c>
      <c r="N27" s="1188"/>
      <c r="O27" s="1189"/>
    </row>
    <row r="28" spans="1:16" ht="12" customHeight="1" x14ac:dyDescent="0.2">
      <c r="A28" s="1190">
        <v>1</v>
      </c>
      <c r="B28" s="1191" t="s">
        <v>334</v>
      </c>
      <c r="C28" s="1144" t="s">
        <v>514</v>
      </c>
      <c r="D28" s="1145" t="s">
        <v>87</v>
      </c>
      <c r="E28" s="1192">
        <v>2900</v>
      </c>
      <c r="F28" s="1192">
        <v>4100</v>
      </c>
      <c r="G28" s="1147">
        <v>3800</v>
      </c>
      <c r="H28" s="1151">
        <v>4000</v>
      </c>
      <c r="I28" s="1459">
        <v>4000</v>
      </c>
      <c r="J28" s="1148">
        <v>7050</v>
      </c>
      <c r="K28" s="1417">
        <f>$K$5</f>
        <v>0.39</v>
      </c>
      <c r="L28" s="1149">
        <f>J28*K28</f>
        <v>2749.5</v>
      </c>
      <c r="M28" s="1150">
        <f>J28-L28</f>
        <v>4300.5</v>
      </c>
      <c r="N28" s="1193" t="s">
        <v>576</v>
      </c>
      <c r="O28" s="1194" t="s">
        <v>213</v>
      </c>
      <c r="P28" s="1375"/>
    </row>
    <row r="29" spans="1:16" s="1104" customFormat="1" ht="12" customHeight="1" x14ac:dyDescent="0.2">
      <c r="A29" s="1190">
        <f>A28+1</f>
        <v>2</v>
      </c>
      <c r="B29" s="1191" t="s">
        <v>334</v>
      </c>
      <c r="C29" s="1144" t="s">
        <v>514</v>
      </c>
      <c r="D29" s="1195" t="s">
        <v>86</v>
      </c>
      <c r="E29" s="1192">
        <v>800</v>
      </c>
      <c r="F29" s="1192">
        <v>1200</v>
      </c>
      <c r="G29" s="1147">
        <v>1200</v>
      </c>
      <c r="H29" s="1151">
        <v>1500</v>
      </c>
      <c r="I29" s="1459">
        <v>1400</v>
      </c>
      <c r="J29" s="1148">
        <v>1600</v>
      </c>
      <c r="K29" s="1417">
        <f>$K$5</f>
        <v>0.39</v>
      </c>
      <c r="L29" s="1149">
        <f t="shared" ref="L29:L81" si="5">J29*K29</f>
        <v>624</v>
      </c>
      <c r="M29" s="1150">
        <f t="shared" ref="M29:M80" si="6">J29-L29</f>
        <v>976</v>
      </c>
      <c r="N29" s="1193" t="s">
        <v>577</v>
      </c>
      <c r="O29" s="1194" t="s">
        <v>495</v>
      </c>
      <c r="P29" s="1376" t="s">
        <v>605</v>
      </c>
    </row>
    <row r="30" spans="1:16" ht="12" customHeight="1" x14ac:dyDescent="0.2">
      <c r="A30" s="1190">
        <f>A29+1</f>
        <v>3</v>
      </c>
      <c r="B30" s="1191" t="s">
        <v>334</v>
      </c>
      <c r="C30" s="1144" t="s">
        <v>514</v>
      </c>
      <c r="D30" s="1195" t="s">
        <v>77</v>
      </c>
      <c r="E30" s="1196">
        <v>864</v>
      </c>
      <c r="F30" s="1196">
        <v>550</v>
      </c>
      <c r="G30" s="1155">
        <v>600</v>
      </c>
      <c r="H30" s="1151">
        <v>1000</v>
      </c>
      <c r="I30" s="1459">
        <v>1000</v>
      </c>
      <c r="J30" s="1148">
        <v>900</v>
      </c>
      <c r="K30" s="1420"/>
      <c r="L30" s="1149">
        <f t="shared" si="5"/>
        <v>0</v>
      </c>
      <c r="M30" s="1150">
        <f t="shared" si="6"/>
        <v>900</v>
      </c>
      <c r="N30" s="1193" t="s">
        <v>433</v>
      </c>
      <c r="O30" s="1194" t="s">
        <v>213</v>
      </c>
      <c r="P30" s="1377"/>
    </row>
    <row r="31" spans="1:16" ht="12" customHeight="1" x14ac:dyDescent="0.2">
      <c r="A31" s="1190">
        <f t="shared" ref="A31:A62" si="7">A30+1</f>
        <v>4</v>
      </c>
      <c r="B31" s="1191" t="s">
        <v>334</v>
      </c>
      <c r="C31" s="1144" t="s">
        <v>514</v>
      </c>
      <c r="D31" s="1145" t="s">
        <v>143</v>
      </c>
      <c r="E31" s="1196">
        <v>10000</v>
      </c>
      <c r="F31" s="1196">
        <v>10000</v>
      </c>
      <c r="G31" s="1155">
        <v>10000</v>
      </c>
      <c r="H31" s="1151">
        <v>6400</v>
      </c>
      <c r="I31" s="1459">
        <v>6000</v>
      </c>
      <c r="J31" s="1148">
        <v>8800</v>
      </c>
      <c r="K31" s="1417"/>
      <c r="L31" s="1149">
        <f>J31*K31</f>
        <v>0</v>
      </c>
      <c r="M31" s="1150">
        <f t="shared" si="6"/>
        <v>8800</v>
      </c>
      <c r="N31" s="1193" t="s">
        <v>434</v>
      </c>
      <c r="O31" s="1194" t="s">
        <v>214</v>
      </c>
      <c r="P31" s="1377"/>
    </row>
    <row r="32" spans="1:16" ht="12" customHeight="1" x14ac:dyDescent="0.2">
      <c r="A32" s="1190">
        <f t="shared" si="7"/>
        <v>5</v>
      </c>
      <c r="B32" s="1191" t="s">
        <v>334</v>
      </c>
      <c r="C32" s="1144" t="s">
        <v>514</v>
      </c>
      <c r="D32" s="1195" t="s">
        <v>78</v>
      </c>
      <c r="E32" s="1196">
        <v>2430</v>
      </c>
      <c r="F32" s="1146">
        <v>2430</v>
      </c>
      <c r="G32" s="1147">
        <v>2430</v>
      </c>
      <c r="H32" s="1151">
        <v>2430</v>
      </c>
      <c r="I32" s="1459">
        <v>2430</v>
      </c>
      <c r="J32" s="1148">
        <v>2430</v>
      </c>
      <c r="K32" s="1420"/>
      <c r="L32" s="1149">
        <f t="shared" si="5"/>
        <v>0</v>
      </c>
      <c r="M32" s="1150">
        <f t="shared" si="6"/>
        <v>2430</v>
      </c>
      <c r="N32" s="1193" t="s">
        <v>435</v>
      </c>
      <c r="O32" s="1194" t="s">
        <v>495</v>
      </c>
      <c r="P32" s="1377"/>
    </row>
    <row r="33" spans="1:16" ht="12" customHeight="1" x14ac:dyDescent="0.2">
      <c r="A33" s="1190">
        <f t="shared" si="7"/>
        <v>6</v>
      </c>
      <c r="B33" s="1191" t="s">
        <v>334</v>
      </c>
      <c r="C33" s="1144" t="s">
        <v>514</v>
      </c>
      <c r="D33" s="1145" t="s">
        <v>299</v>
      </c>
      <c r="E33" s="1196">
        <v>200</v>
      </c>
      <c r="F33" s="1146">
        <v>750</v>
      </c>
      <c r="G33" s="1147">
        <v>550</v>
      </c>
      <c r="H33" s="1151">
        <v>500</v>
      </c>
      <c r="I33" s="1459">
        <v>450</v>
      </c>
      <c r="J33" s="1148">
        <v>450</v>
      </c>
      <c r="K33" s="1420"/>
      <c r="L33" s="1149">
        <f t="shared" si="5"/>
        <v>0</v>
      </c>
      <c r="M33" s="1150">
        <f t="shared" si="6"/>
        <v>450</v>
      </c>
      <c r="N33" s="1193" t="s">
        <v>436</v>
      </c>
      <c r="O33" s="1194" t="s">
        <v>216</v>
      </c>
      <c r="P33" s="1377"/>
    </row>
    <row r="34" spans="1:16" ht="12" customHeight="1" x14ac:dyDescent="0.2">
      <c r="A34" s="1190">
        <f t="shared" si="7"/>
        <v>7</v>
      </c>
      <c r="B34" s="1191" t="s">
        <v>334</v>
      </c>
      <c r="C34" s="1144" t="s">
        <v>514</v>
      </c>
      <c r="D34" s="1195" t="s">
        <v>88</v>
      </c>
      <c r="E34" s="1196">
        <v>200</v>
      </c>
      <c r="F34" s="1146">
        <v>300</v>
      </c>
      <c r="G34" s="1147">
        <v>300</v>
      </c>
      <c r="H34" s="1151">
        <v>300</v>
      </c>
      <c r="I34" s="1459">
        <v>200</v>
      </c>
      <c r="J34" s="1148">
        <v>300</v>
      </c>
      <c r="K34" s="1420"/>
      <c r="L34" s="1149">
        <f t="shared" si="5"/>
        <v>0</v>
      </c>
      <c r="M34" s="1150">
        <f t="shared" si="6"/>
        <v>300</v>
      </c>
      <c r="N34" s="1193" t="s">
        <v>437</v>
      </c>
      <c r="O34" s="1194" t="s">
        <v>216</v>
      </c>
      <c r="P34" s="1377"/>
    </row>
    <row r="35" spans="1:16" ht="12" customHeight="1" x14ac:dyDescent="0.2">
      <c r="A35" s="1190">
        <f t="shared" si="7"/>
        <v>8</v>
      </c>
      <c r="B35" s="1191" t="s">
        <v>334</v>
      </c>
      <c r="C35" s="1144" t="s">
        <v>514</v>
      </c>
      <c r="D35" s="1195" t="s">
        <v>79</v>
      </c>
      <c r="E35" s="1196">
        <v>330</v>
      </c>
      <c r="F35" s="1146">
        <v>450</v>
      </c>
      <c r="G35" s="1147">
        <v>750</v>
      </c>
      <c r="H35" s="1151">
        <v>750</v>
      </c>
      <c r="I35" s="1459">
        <v>400</v>
      </c>
      <c r="J35" s="1148">
        <v>100</v>
      </c>
      <c r="K35" s="1420"/>
      <c r="L35" s="1149">
        <f t="shared" si="5"/>
        <v>0</v>
      </c>
      <c r="M35" s="1150">
        <f t="shared" si="6"/>
        <v>100</v>
      </c>
      <c r="N35" s="1193" t="s">
        <v>438</v>
      </c>
      <c r="O35" s="1194" t="s">
        <v>495</v>
      </c>
      <c r="P35" s="1377"/>
    </row>
    <row r="36" spans="1:16" ht="12" customHeight="1" x14ac:dyDescent="0.2">
      <c r="A36" s="1190">
        <f t="shared" si="7"/>
        <v>9</v>
      </c>
      <c r="B36" s="1191" t="s">
        <v>334</v>
      </c>
      <c r="C36" s="1144" t="s">
        <v>514</v>
      </c>
      <c r="D36" s="1145" t="s">
        <v>89</v>
      </c>
      <c r="E36" s="1196">
        <v>300</v>
      </c>
      <c r="F36" s="1146">
        <v>300</v>
      </c>
      <c r="G36" s="1147">
        <v>400</v>
      </c>
      <c r="H36" s="1151">
        <v>550</v>
      </c>
      <c r="I36" s="1459">
        <v>550</v>
      </c>
      <c r="J36" s="1148">
        <v>500</v>
      </c>
      <c r="K36" s="1420"/>
      <c r="L36" s="1149">
        <f t="shared" si="5"/>
        <v>0</v>
      </c>
      <c r="M36" s="1150">
        <f t="shared" si="6"/>
        <v>500</v>
      </c>
      <c r="N36" s="1193" t="s">
        <v>439</v>
      </c>
      <c r="O36" s="1194" t="s">
        <v>496</v>
      </c>
      <c r="P36" s="1377"/>
    </row>
    <row r="37" spans="1:16" ht="12" customHeight="1" x14ac:dyDescent="0.2">
      <c r="A37" s="1190">
        <f t="shared" si="7"/>
        <v>10</v>
      </c>
      <c r="B37" s="1191" t="s">
        <v>334</v>
      </c>
      <c r="C37" s="1144" t="s">
        <v>514</v>
      </c>
      <c r="D37" s="1197" t="s">
        <v>144</v>
      </c>
      <c r="E37" s="1196">
        <v>500</v>
      </c>
      <c r="F37" s="1146">
        <v>700</v>
      </c>
      <c r="G37" s="1147">
        <v>822</v>
      </c>
      <c r="H37" s="1151">
        <v>971</v>
      </c>
      <c r="I37" s="1459">
        <v>1085</v>
      </c>
      <c r="J37" s="1148">
        <v>1085</v>
      </c>
      <c r="K37" s="1420"/>
      <c r="L37" s="1149">
        <f t="shared" si="5"/>
        <v>0</v>
      </c>
      <c r="M37" s="1150">
        <f t="shared" si="6"/>
        <v>1085</v>
      </c>
      <c r="N37" s="1193" t="s">
        <v>440</v>
      </c>
      <c r="O37" s="1194" t="s">
        <v>217</v>
      </c>
      <c r="P37" s="1377"/>
    </row>
    <row r="38" spans="1:16" ht="12" customHeight="1" x14ac:dyDescent="0.2">
      <c r="A38" s="1190">
        <f t="shared" si="7"/>
        <v>11</v>
      </c>
      <c r="B38" s="1191" t="s">
        <v>334</v>
      </c>
      <c r="C38" s="1144" t="s">
        <v>514</v>
      </c>
      <c r="D38" s="1145" t="s">
        <v>145</v>
      </c>
      <c r="E38" s="1196">
        <v>810</v>
      </c>
      <c r="F38" s="1146">
        <v>900</v>
      </c>
      <c r="G38" s="1147">
        <v>600</v>
      </c>
      <c r="H38" s="1151">
        <v>600</v>
      </c>
      <c r="I38" s="1459">
        <v>600</v>
      </c>
      <c r="J38" s="1148">
        <v>600</v>
      </c>
      <c r="K38" s="1420"/>
      <c r="L38" s="1149">
        <f t="shared" si="5"/>
        <v>0</v>
      </c>
      <c r="M38" s="1150">
        <f t="shared" si="6"/>
        <v>600</v>
      </c>
      <c r="N38" s="1193" t="s">
        <v>441</v>
      </c>
      <c r="O38" s="1194" t="s">
        <v>217</v>
      </c>
      <c r="P38" s="1198"/>
    </row>
    <row r="39" spans="1:16" ht="12" customHeight="1" x14ac:dyDescent="0.2">
      <c r="A39" s="1190">
        <f t="shared" si="7"/>
        <v>12</v>
      </c>
      <c r="B39" s="1191" t="s">
        <v>334</v>
      </c>
      <c r="C39" s="1144" t="s">
        <v>514</v>
      </c>
      <c r="D39" s="1197" t="s">
        <v>107</v>
      </c>
      <c r="E39" s="1196">
        <v>720</v>
      </c>
      <c r="F39" s="1146">
        <v>800</v>
      </c>
      <c r="G39" s="1147">
        <v>1881</v>
      </c>
      <c r="H39" s="1151">
        <v>1881</v>
      </c>
      <c r="I39" s="1459">
        <v>1521</v>
      </c>
      <c r="J39" s="1148">
        <v>1521</v>
      </c>
      <c r="K39" s="1420"/>
      <c r="L39" s="1149">
        <f t="shared" si="5"/>
        <v>0</v>
      </c>
      <c r="M39" s="1150">
        <f t="shared" si="6"/>
        <v>1521</v>
      </c>
      <c r="N39" s="1193" t="s">
        <v>442</v>
      </c>
      <c r="O39" s="1194" t="s">
        <v>501</v>
      </c>
      <c r="P39" s="1198"/>
    </row>
    <row r="40" spans="1:16" ht="12" customHeight="1" x14ac:dyDescent="0.2">
      <c r="A40" s="1190">
        <f t="shared" si="7"/>
        <v>13</v>
      </c>
      <c r="B40" s="1191" t="s">
        <v>334</v>
      </c>
      <c r="C40" s="1144" t="s">
        <v>514</v>
      </c>
      <c r="D40" s="1197" t="s">
        <v>90</v>
      </c>
      <c r="E40" s="1196">
        <v>108</v>
      </c>
      <c r="F40" s="1146">
        <v>150</v>
      </c>
      <c r="G40" s="1147">
        <v>350</v>
      </c>
      <c r="H40" s="1151">
        <v>180</v>
      </c>
      <c r="I40" s="1459">
        <v>180</v>
      </c>
      <c r="J40" s="1148">
        <v>180</v>
      </c>
      <c r="K40" s="1420"/>
      <c r="L40" s="1149">
        <f t="shared" si="5"/>
        <v>0</v>
      </c>
      <c r="M40" s="1150">
        <f t="shared" si="6"/>
        <v>180</v>
      </c>
      <c r="N40" s="1193" t="s">
        <v>443</v>
      </c>
      <c r="O40" s="1194" t="s">
        <v>217</v>
      </c>
      <c r="P40" s="1377"/>
    </row>
    <row r="41" spans="1:16" ht="12" customHeight="1" x14ac:dyDescent="0.2">
      <c r="A41" s="1190">
        <f t="shared" si="7"/>
        <v>14</v>
      </c>
      <c r="B41" s="1191" t="s">
        <v>334</v>
      </c>
      <c r="C41" s="1144" t="s">
        <v>514</v>
      </c>
      <c r="D41" s="1145" t="s">
        <v>91</v>
      </c>
      <c r="E41" s="1196">
        <v>180</v>
      </c>
      <c r="F41" s="1146">
        <v>180</v>
      </c>
      <c r="G41" s="1147">
        <v>1200</v>
      </c>
      <c r="H41" s="1151">
        <v>1795</v>
      </c>
      <c r="I41" s="1459">
        <v>1795</v>
      </c>
      <c r="J41" s="1148">
        <v>1795</v>
      </c>
      <c r="K41" s="1420"/>
      <c r="L41" s="1149">
        <f t="shared" si="5"/>
        <v>0</v>
      </c>
      <c r="M41" s="1150">
        <f t="shared" si="6"/>
        <v>1795</v>
      </c>
      <c r="N41" s="1193" t="s">
        <v>444</v>
      </c>
      <c r="O41" s="1194" t="s">
        <v>218</v>
      </c>
      <c r="P41" s="1377"/>
    </row>
    <row r="42" spans="1:16" ht="12" customHeight="1" x14ac:dyDescent="0.2">
      <c r="A42" s="1190">
        <f t="shared" si="7"/>
        <v>15</v>
      </c>
      <c r="B42" s="1191" t="s">
        <v>334</v>
      </c>
      <c r="C42" s="1144" t="s">
        <v>514</v>
      </c>
      <c r="D42" s="1145" t="s">
        <v>92</v>
      </c>
      <c r="E42" s="1196">
        <v>70</v>
      </c>
      <c r="F42" s="1146">
        <v>70</v>
      </c>
      <c r="G42" s="1147">
        <v>70</v>
      </c>
      <c r="H42" s="1151">
        <v>70</v>
      </c>
      <c r="I42" s="1459">
        <v>70</v>
      </c>
      <c r="J42" s="1148">
        <v>0</v>
      </c>
      <c r="K42" s="1420"/>
      <c r="L42" s="1149">
        <f t="shared" si="5"/>
        <v>0</v>
      </c>
      <c r="M42" s="1150">
        <f t="shared" si="6"/>
        <v>0</v>
      </c>
      <c r="N42" s="1193" t="s">
        <v>445</v>
      </c>
      <c r="O42" s="1194" t="s">
        <v>218</v>
      </c>
      <c r="P42" s="1377"/>
    </row>
    <row r="43" spans="1:16" ht="12" customHeight="1" x14ac:dyDescent="0.2">
      <c r="A43" s="1190">
        <f t="shared" si="7"/>
        <v>16</v>
      </c>
      <c r="B43" s="1191" t="s">
        <v>334</v>
      </c>
      <c r="C43" s="1144" t="s">
        <v>514</v>
      </c>
      <c r="D43" s="1145" t="s">
        <v>100</v>
      </c>
      <c r="E43" s="1196">
        <v>405</v>
      </c>
      <c r="F43" s="1146">
        <v>600</v>
      </c>
      <c r="G43" s="1147">
        <v>600</v>
      </c>
      <c r="H43" s="1151">
        <v>600</v>
      </c>
      <c r="I43" s="1459">
        <v>600</v>
      </c>
      <c r="J43" s="1148">
        <v>600</v>
      </c>
      <c r="K43" s="1420"/>
      <c r="L43" s="1149">
        <f t="shared" si="5"/>
        <v>0</v>
      </c>
      <c r="M43" s="1150">
        <f t="shared" si="6"/>
        <v>600</v>
      </c>
      <c r="N43" s="1193" t="s">
        <v>446</v>
      </c>
      <c r="O43" s="1194" t="s">
        <v>497</v>
      </c>
      <c r="P43" s="1377"/>
    </row>
    <row r="44" spans="1:16" ht="12" customHeight="1" x14ac:dyDescent="0.2">
      <c r="A44" s="1190">
        <f t="shared" si="7"/>
        <v>17</v>
      </c>
      <c r="B44" s="1191" t="s">
        <v>334</v>
      </c>
      <c r="C44" s="1144" t="s">
        <v>514</v>
      </c>
      <c r="D44" s="1145" t="s">
        <v>101</v>
      </c>
      <c r="E44" s="1196">
        <v>405</v>
      </c>
      <c r="F44" s="1146">
        <v>452</v>
      </c>
      <c r="G44" s="1147">
        <v>450</v>
      </c>
      <c r="H44" s="1151">
        <v>1000</v>
      </c>
      <c r="I44" s="1459">
        <v>420</v>
      </c>
      <c r="J44" s="1148">
        <v>400</v>
      </c>
      <c r="K44" s="1420"/>
      <c r="L44" s="1149">
        <f t="shared" si="5"/>
        <v>0</v>
      </c>
      <c r="M44" s="1150">
        <f t="shared" si="6"/>
        <v>400</v>
      </c>
      <c r="N44" s="1193" t="s">
        <v>448</v>
      </c>
      <c r="O44" s="1194" t="s">
        <v>497</v>
      </c>
      <c r="P44" s="1377"/>
    </row>
    <row r="45" spans="1:16" ht="12" customHeight="1" x14ac:dyDescent="0.2">
      <c r="A45" s="1190">
        <f t="shared" si="7"/>
        <v>18</v>
      </c>
      <c r="B45" s="1191" t="s">
        <v>334</v>
      </c>
      <c r="C45" s="1144" t="s">
        <v>514</v>
      </c>
      <c r="D45" s="1145" t="s">
        <v>300</v>
      </c>
      <c r="E45" s="1196"/>
      <c r="F45" s="1146">
        <v>278</v>
      </c>
      <c r="G45" s="1147">
        <v>485</v>
      </c>
      <c r="H45" s="1151">
        <v>1000</v>
      </c>
      <c r="I45" s="1459">
        <v>1800</v>
      </c>
      <c r="J45" s="1148">
        <v>1800</v>
      </c>
      <c r="K45" s="1420"/>
      <c r="L45" s="1149">
        <f t="shared" si="5"/>
        <v>0</v>
      </c>
      <c r="M45" s="1150">
        <f t="shared" si="6"/>
        <v>1800</v>
      </c>
      <c r="N45" s="1193" t="s">
        <v>447</v>
      </c>
      <c r="O45" s="1194" t="s">
        <v>497</v>
      </c>
      <c r="P45" s="1377"/>
    </row>
    <row r="46" spans="1:16" ht="12" customHeight="1" x14ac:dyDescent="0.2">
      <c r="A46" s="1199">
        <f t="shared" si="7"/>
        <v>19</v>
      </c>
      <c r="B46" s="1200" t="s">
        <v>334</v>
      </c>
      <c r="C46" s="1201" t="s">
        <v>514</v>
      </c>
      <c r="D46" s="1201" t="s">
        <v>606</v>
      </c>
      <c r="E46" s="1202">
        <v>40130</v>
      </c>
      <c r="F46" s="1202">
        <v>17500</v>
      </c>
      <c r="G46" s="1203">
        <v>17500</v>
      </c>
      <c r="H46" s="1204">
        <v>17500</v>
      </c>
      <c r="I46" s="1410">
        <v>17500</v>
      </c>
      <c r="J46" s="1203">
        <v>19000</v>
      </c>
      <c r="K46" s="1417"/>
      <c r="L46" s="1205">
        <f t="shared" si="5"/>
        <v>0</v>
      </c>
      <c r="M46" s="1206">
        <f t="shared" si="6"/>
        <v>19000</v>
      </c>
      <c r="N46" s="1207" t="s">
        <v>449</v>
      </c>
      <c r="O46" s="1208" t="s">
        <v>496</v>
      </c>
      <c r="P46" s="1377"/>
    </row>
    <row r="47" spans="1:16" ht="12" customHeight="1" x14ac:dyDescent="0.2">
      <c r="A47" s="1190">
        <f t="shared" si="7"/>
        <v>20</v>
      </c>
      <c r="B47" s="1191" t="s">
        <v>334</v>
      </c>
      <c r="C47" s="1144" t="s">
        <v>514</v>
      </c>
      <c r="D47" s="1145" t="s">
        <v>94</v>
      </c>
      <c r="E47" s="1196">
        <v>6742</v>
      </c>
      <c r="F47" s="1146">
        <v>5650</v>
      </c>
      <c r="G47" s="1147">
        <v>5650</v>
      </c>
      <c r="H47" s="1151">
        <v>0</v>
      </c>
      <c r="I47" s="1459">
        <v>0</v>
      </c>
      <c r="J47" s="1148">
        <v>0</v>
      </c>
      <c r="K47" s="1420"/>
      <c r="L47" s="1149">
        <f t="shared" si="5"/>
        <v>0</v>
      </c>
      <c r="M47" s="1150">
        <f t="shared" si="6"/>
        <v>0</v>
      </c>
      <c r="N47" s="1193" t="s">
        <v>450</v>
      </c>
      <c r="O47" s="1194" t="s">
        <v>213</v>
      </c>
      <c r="P47" s="1377"/>
    </row>
    <row r="48" spans="1:16" ht="12" customHeight="1" x14ac:dyDescent="0.2">
      <c r="A48" s="1190">
        <f t="shared" si="7"/>
        <v>21</v>
      </c>
      <c r="B48" s="1191" t="s">
        <v>334</v>
      </c>
      <c r="C48" s="1144" t="s">
        <v>514</v>
      </c>
      <c r="D48" s="1145" t="s">
        <v>95</v>
      </c>
      <c r="E48" s="1196">
        <v>60</v>
      </c>
      <c r="F48" s="1146">
        <v>120</v>
      </c>
      <c r="G48" s="1147">
        <v>150</v>
      </c>
      <c r="H48" s="1151">
        <v>55</v>
      </c>
      <c r="I48" s="1459">
        <v>70</v>
      </c>
      <c r="J48" s="1148">
        <v>70</v>
      </c>
      <c r="K48" s="1420"/>
      <c r="L48" s="1149">
        <f t="shared" si="5"/>
        <v>0</v>
      </c>
      <c r="M48" s="1150">
        <f t="shared" si="6"/>
        <v>70</v>
      </c>
      <c r="N48" s="1193" t="s">
        <v>451</v>
      </c>
      <c r="O48" s="1194" t="s">
        <v>495</v>
      </c>
      <c r="P48" s="1377"/>
    </row>
    <row r="49" spans="1:16" ht="12" customHeight="1" x14ac:dyDescent="0.2">
      <c r="A49" s="1190">
        <f t="shared" si="7"/>
        <v>22</v>
      </c>
      <c r="B49" s="1191" t="s">
        <v>334</v>
      </c>
      <c r="C49" s="1144" t="s">
        <v>514</v>
      </c>
      <c r="D49" s="1145" t="s">
        <v>102</v>
      </c>
      <c r="E49" s="1196">
        <v>630</v>
      </c>
      <c r="F49" s="1146">
        <v>1000</v>
      </c>
      <c r="G49" s="1147">
        <v>1000</v>
      </c>
      <c r="H49" s="1151">
        <v>1000</v>
      </c>
      <c r="I49" s="1459">
        <v>960</v>
      </c>
      <c r="J49" s="1148">
        <v>1000</v>
      </c>
      <c r="K49" s="1420"/>
      <c r="L49" s="1149">
        <f t="shared" si="5"/>
        <v>0</v>
      </c>
      <c r="M49" s="1150">
        <f t="shared" si="6"/>
        <v>1000</v>
      </c>
      <c r="N49" s="1193" t="s">
        <v>452</v>
      </c>
      <c r="O49" s="1194" t="s">
        <v>211</v>
      </c>
      <c r="P49" s="1377"/>
    </row>
    <row r="50" spans="1:16" ht="12" customHeight="1" x14ac:dyDescent="0.2">
      <c r="A50" s="1190">
        <f t="shared" si="7"/>
        <v>23</v>
      </c>
      <c r="B50" s="1191" t="s">
        <v>334</v>
      </c>
      <c r="C50" s="1144" t="s">
        <v>514</v>
      </c>
      <c r="D50" s="1145" t="s">
        <v>148</v>
      </c>
      <c r="E50" s="1196">
        <v>3800</v>
      </c>
      <c r="F50" s="1146">
        <v>4500</v>
      </c>
      <c r="G50" s="1147">
        <v>1800</v>
      </c>
      <c r="H50" s="1151">
        <v>1800</v>
      </c>
      <c r="I50" s="1459">
        <v>500</v>
      </c>
      <c r="J50" s="1148">
        <v>1523</v>
      </c>
      <c r="K50" s="1417">
        <f>$K$5</f>
        <v>0.39</v>
      </c>
      <c r="L50" s="1149">
        <f t="shared" si="5"/>
        <v>593.97</v>
      </c>
      <c r="M50" s="1150">
        <f t="shared" si="6"/>
        <v>929.03</v>
      </c>
      <c r="N50" s="1193" t="s">
        <v>453</v>
      </c>
      <c r="O50" s="1194" t="s">
        <v>498</v>
      </c>
      <c r="P50" s="1376" t="s">
        <v>594</v>
      </c>
    </row>
    <row r="51" spans="1:16" ht="12" customHeight="1" x14ac:dyDescent="0.2">
      <c r="A51" s="1190">
        <f t="shared" si="7"/>
        <v>24</v>
      </c>
      <c r="B51" s="1191" t="s">
        <v>334</v>
      </c>
      <c r="C51" s="1144" t="s">
        <v>514</v>
      </c>
      <c r="D51" s="1145" t="s">
        <v>301</v>
      </c>
      <c r="E51" s="1196"/>
      <c r="F51" s="1146">
        <v>2000</v>
      </c>
      <c r="G51" s="1147">
        <v>1000</v>
      </c>
      <c r="H51" s="1151">
        <v>2000</v>
      </c>
      <c r="I51" s="1459">
        <v>2000</v>
      </c>
      <c r="J51" s="1148">
        <v>2000</v>
      </c>
      <c r="K51" s="1417">
        <v>1</v>
      </c>
      <c r="L51" s="1149">
        <f t="shared" si="5"/>
        <v>2000</v>
      </c>
      <c r="M51" s="1150">
        <f t="shared" si="6"/>
        <v>0</v>
      </c>
      <c r="N51" s="1193" t="s">
        <v>454</v>
      </c>
      <c r="O51" s="1194" t="s">
        <v>211</v>
      </c>
      <c r="P51" s="1377" t="s">
        <v>604</v>
      </c>
    </row>
    <row r="52" spans="1:16" ht="12" customHeight="1" x14ac:dyDescent="0.2">
      <c r="A52" s="1190">
        <f t="shared" si="7"/>
        <v>25</v>
      </c>
      <c r="B52" s="1191" t="s">
        <v>334</v>
      </c>
      <c r="C52" s="1144" t="s">
        <v>514</v>
      </c>
      <c r="D52" s="1145" t="s">
        <v>180</v>
      </c>
      <c r="E52" s="1196">
        <v>360</v>
      </c>
      <c r="F52" s="1146">
        <v>100</v>
      </c>
      <c r="G52" s="1147">
        <v>100</v>
      </c>
      <c r="H52" s="1151">
        <v>100</v>
      </c>
      <c r="I52" s="1459">
        <v>100</v>
      </c>
      <c r="J52" s="1148">
        <v>100</v>
      </c>
      <c r="K52" s="1417">
        <v>1</v>
      </c>
      <c r="L52" s="1149">
        <f t="shared" si="5"/>
        <v>100</v>
      </c>
      <c r="M52" s="1150">
        <f t="shared" si="6"/>
        <v>0</v>
      </c>
      <c r="N52" s="1193" t="s">
        <v>473</v>
      </c>
      <c r="O52" s="1194" t="s">
        <v>217</v>
      </c>
      <c r="P52" s="1379"/>
    </row>
    <row r="53" spans="1:16" ht="12" customHeight="1" x14ac:dyDescent="0.2">
      <c r="A53" s="1190">
        <f t="shared" si="7"/>
        <v>26</v>
      </c>
      <c r="B53" s="1191" t="s">
        <v>334</v>
      </c>
      <c r="C53" s="1144" t="s">
        <v>514</v>
      </c>
      <c r="D53" s="1145" t="s">
        <v>149</v>
      </c>
      <c r="E53" s="1196">
        <v>200</v>
      </c>
      <c r="F53" s="1146">
        <v>200</v>
      </c>
      <c r="G53" s="1147">
        <v>200</v>
      </c>
      <c r="H53" s="1151">
        <v>150</v>
      </c>
      <c r="I53" s="1459">
        <v>150</v>
      </c>
      <c r="J53" s="1148">
        <v>0</v>
      </c>
      <c r="K53" s="1420"/>
      <c r="L53" s="1149">
        <f t="shared" si="5"/>
        <v>0</v>
      </c>
      <c r="M53" s="1150">
        <f t="shared" si="6"/>
        <v>0</v>
      </c>
      <c r="N53" s="1193" t="s">
        <v>461</v>
      </c>
      <c r="O53" s="1194" t="s">
        <v>496</v>
      </c>
      <c r="P53" s="1378" t="s">
        <v>302</v>
      </c>
    </row>
    <row r="54" spans="1:16" ht="12" customHeight="1" x14ac:dyDescent="0.2">
      <c r="A54" s="1190">
        <f t="shared" si="7"/>
        <v>27</v>
      </c>
      <c r="B54" s="1191" t="s">
        <v>334</v>
      </c>
      <c r="C54" s="1144" t="s">
        <v>514</v>
      </c>
      <c r="D54" s="1197" t="s">
        <v>132</v>
      </c>
      <c r="E54" s="1196">
        <v>351</v>
      </c>
      <c r="F54" s="1146">
        <v>380</v>
      </c>
      <c r="G54" s="1147">
        <v>380</v>
      </c>
      <c r="H54" s="1151">
        <v>430</v>
      </c>
      <c r="I54" s="1459">
        <v>310</v>
      </c>
      <c r="J54" s="1148">
        <v>310</v>
      </c>
      <c r="K54" s="1420"/>
      <c r="L54" s="1149">
        <f t="shared" si="5"/>
        <v>0</v>
      </c>
      <c r="M54" s="1150">
        <f t="shared" si="6"/>
        <v>310</v>
      </c>
      <c r="N54" s="1193" t="s">
        <v>455</v>
      </c>
      <c r="O54" s="1194" t="s">
        <v>217</v>
      </c>
      <c r="P54" s="1377"/>
    </row>
    <row r="55" spans="1:16" s="1300" customFormat="1" ht="12" customHeight="1" x14ac:dyDescent="0.2">
      <c r="A55" s="1190">
        <f t="shared" si="7"/>
        <v>28</v>
      </c>
      <c r="B55" s="1191" t="s">
        <v>334</v>
      </c>
      <c r="C55" s="1144" t="s">
        <v>514</v>
      </c>
      <c r="D55" s="1195" t="s">
        <v>131</v>
      </c>
      <c r="E55" s="1196">
        <v>225</v>
      </c>
      <c r="F55" s="1196">
        <v>250</v>
      </c>
      <c r="G55" s="1155">
        <v>330</v>
      </c>
      <c r="H55" s="1151">
        <v>250</v>
      </c>
      <c r="I55" s="1459">
        <v>300</v>
      </c>
      <c r="J55" s="1148">
        <v>300</v>
      </c>
      <c r="K55" s="1420"/>
      <c r="L55" s="1149">
        <f t="shared" si="5"/>
        <v>0</v>
      </c>
      <c r="M55" s="1150">
        <f t="shared" si="6"/>
        <v>300</v>
      </c>
      <c r="N55" s="1193" t="s">
        <v>456</v>
      </c>
      <c r="O55" s="1194" t="s">
        <v>213</v>
      </c>
      <c r="P55" s="1377"/>
    </row>
    <row r="56" spans="1:16" ht="12" customHeight="1" x14ac:dyDescent="0.2">
      <c r="A56" s="1190">
        <f t="shared" si="7"/>
        <v>29</v>
      </c>
      <c r="B56" s="1191" t="s">
        <v>334</v>
      </c>
      <c r="C56" s="1144" t="s">
        <v>514</v>
      </c>
      <c r="D56" s="1195" t="s">
        <v>161</v>
      </c>
      <c r="E56" s="1196">
        <v>5500</v>
      </c>
      <c r="F56" s="1196">
        <v>6465</v>
      </c>
      <c r="G56" s="1155">
        <v>6465</v>
      </c>
      <c r="H56" s="1151">
        <v>6770</v>
      </c>
      <c r="I56" s="1459">
        <v>6770</v>
      </c>
      <c r="J56" s="1148">
        <v>0</v>
      </c>
      <c r="K56" s="1417"/>
      <c r="L56" s="1149">
        <f t="shared" si="5"/>
        <v>0</v>
      </c>
      <c r="M56" s="1150">
        <f t="shared" si="6"/>
        <v>0</v>
      </c>
      <c r="N56" s="1193" t="s">
        <v>457</v>
      </c>
      <c r="O56" s="1194" t="s">
        <v>215</v>
      </c>
      <c r="P56" s="1375"/>
    </row>
    <row r="57" spans="1:16" ht="12" customHeight="1" x14ac:dyDescent="0.2">
      <c r="A57" s="1190">
        <f t="shared" si="7"/>
        <v>30</v>
      </c>
      <c r="B57" s="1191" t="s">
        <v>334</v>
      </c>
      <c r="C57" s="1144" t="s">
        <v>514</v>
      </c>
      <c r="D57" s="1197" t="s">
        <v>303</v>
      </c>
      <c r="E57" s="1196">
        <v>9040</v>
      </c>
      <c r="F57" s="1146">
        <v>8820</v>
      </c>
      <c r="G57" s="1147">
        <v>8650</v>
      </c>
      <c r="H57" s="1151">
        <v>8850</v>
      </c>
      <c r="I57" s="1459">
        <v>9050</v>
      </c>
      <c r="J57" s="1148">
        <v>3895</v>
      </c>
      <c r="K57" s="1420"/>
      <c r="L57" s="1149">
        <f t="shared" si="5"/>
        <v>0</v>
      </c>
      <c r="M57" s="1150">
        <f t="shared" si="6"/>
        <v>3895</v>
      </c>
      <c r="N57" s="1193" t="s">
        <v>458</v>
      </c>
      <c r="O57" s="1194" t="s">
        <v>213</v>
      </c>
      <c r="P57" s="1375"/>
    </row>
    <row r="58" spans="1:16" ht="12" customHeight="1" x14ac:dyDescent="0.2">
      <c r="A58" s="1190">
        <f t="shared" si="7"/>
        <v>31</v>
      </c>
      <c r="B58" s="1191" t="s">
        <v>334</v>
      </c>
      <c r="C58" s="1144" t="s">
        <v>514</v>
      </c>
      <c r="D58" s="1197" t="s">
        <v>150</v>
      </c>
      <c r="E58" s="1196">
        <v>1900</v>
      </c>
      <c r="F58" s="1146">
        <v>1900</v>
      </c>
      <c r="G58" s="1147">
        <v>1900</v>
      </c>
      <c r="H58" s="1151">
        <v>1900</v>
      </c>
      <c r="I58" s="1459">
        <v>1500</v>
      </c>
      <c r="J58" s="1148">
        <v>1250</v>
      </c>
      <c r="K58" s="1420"/>
      <c r="L58" s="1149">
        <f t="shared" si="5"/>
        <v>0</v>
      </c>
      <c r="M58" s="1150">
        <f t="shared" si="6"/>
        <v>1250</v>
      </c>
      <c r="N58" s="1193" t="s">
        <v>459</v>
      </c>
      <c r="O58" s="1194" t="s">
        <v>213</v>
      </c>
      <c r="P58" s="1377"/>
    </row>
    <row r="59" spans="1:16" ht="12" customHeight="1" x14ac:dyDescent="0.2">
      <c r="A59" s="1190">
        <f t="shared" si="7"/>
        <v>32</v>
      </c>
      <c r="B59" s="1191" t="s">
        <v>334</v>
      </c>
      <c r="C59" s="1144" t="s">
        <v>514</v>
      </c>
      <c r="D59" s="1197" t="s">
        <v>616</v>
      </c>
      <c r="E59" s="1196"/>
      <c r="F59" s="1146"/>
      <c r="G59" s="1147"/>
      <c r="H59" s="1151"/>
      <c r="I59" s="1459">
        <v>220</v>
      </c>
      <c r="J59" s="1148">
        <v>160</v>
      </c>
      <c r="K59" s="1420"/>
      <c r="L59" s="1149">
        <f t="shared" si="5"/>
        <v>0</v>
      </c>
      <c r="M59" s="1150">
        <f t="shared" si="6"/>
        <v>160</v>
      </c>
      <c r="N59" s="1193" t="s">
        <v>617</v>
      </c>
      <c r="O59" s="1194" t="s">
        <v>213</v>
      </c>
      <c r="P59" s="1377"/>
    </row>
    <row r="60" spans="1:16" ht="12" customHeight="1" x14ac:dyDescent="0.2">
      <c r="A60" s="1190">
        <f t="shared" si="7"/>
        <v>33</v>
      </c>
      <c r="B60" s="1191" t="s">
        <v>334</v>
      </c>
      <c r="C60" s="1144" t="s">
        <v>514</v>
      </c>
      <c r="D60" s="1197" t="s">
        <v>181</v>
      </c>
      <c r="E60" s="1196">
        <v>1000</v>
      </c>
      <c r="F60" s="1146"/>
      <c r="G60" s="1147"/>
      <c r="H60" s="1151"/>
      <c r="I60" s="1459"/>
      <c r="J60" s="1148"/>
      <c r="K60" s="1420"/>
      <c r="L60" s="1149">
        <f t="shared" si="5"/>
        <v>0</v>
      </c>
      <c r="M60" s="1150">
        <f t="shared" si="6"/>
        <v>0</v>
      </c>
      <c r="N60" s="1193" t="s">
        <v>575</v>
      </c>
      <c r="O60" s="1194" t="s">
        <v>496</v>
      </c>
      <c r="P60" s="1378" t="s">
        <v>302</v>
      </c>
    </row>
    <row r="61" spans="1:16" ht="12" customHeight="1" x14ac:dyDescent="0.2">
      <c r="A61" s="1190">
        <f t="shared" si="7"/>
        <v>34</v>
      </c>
      <c r="B61" s="1191" t="s">
        <v>334</v>
      </c>
      <c r="C61" s="1144" t="s">
        <v>514</v>
      </c>
      <c r="D61" s="1145" t="s">
        <v>223</v>
      </c>
      <c r="E61" s="1196">
        <v>1080</v>
      </c>
      <c r="F61" s="1146">
        <v>1500</v>
      </c>
      <c r="G61" s="1147">
        <v>2600</v>
      </c>
      <c r="H61" s="1151">
        <v>1500</v>
      </c>
      <c r="I61" s="1459">
        <v>1500</v>
      </c>
      <c r="J61" s="1148">
        <v>1700</v>
      </c>
      <c r="K61" s="1420"/>
      <c r="L61" s="1149">
        <f t="shared" si="5"/>
        <v>0</v>
      </c>
      <c r="M61" s="1150">
        <f t="shared" si="6"/>
        <v>1700</v>
      </c>
      <c r="N61" s="1193" t="s">
        <v>460</v>
      </c>
      <c r="O61" s="1194" t="s">
        <v>213</v>
      </c>
      <c r="P61" s="1377"/>
    </row>
    <row r="62" spans="1:16" ht="12" customHeight="1" x14ac:dyDescent="0.2">
      <c r="A62" s="1190">
        <f t="shared" si="7"/>
        <v>35</v>
      </c>
      <c r="B62" s="1191" t="s">
        <v>334</v>
      </c>
      <c r="C62" s="1144" t="s">
        <v>514</v>
      </c>
      <c r="D62" s="1145" t="s">
        <v>561</v>
      </c>
      <c r="E62" s="1196">
        <v>1350</v>
      </c>
      <c r="F62" s="1146">
        <v>2165</v>
      </c>
      <c r="G62" s="1147">
        <v>2300</v>
      </c>
      <c r="H62" s="1151">
        <v>1354</v>
      </c>
      <c r="I62" s="1459">
        <v>1443</v>
      </c>
      <c r="J62" s="1148">
        <v>1158</v>
      </c>
      <c r="K62" s="1420"/>
      <c r="L62" s="1149">
        <f t="shared" si="5"/>
        <v>0</v>
      </c>
      <c r="M62" s="1150">
        <f t="shared" si="6"/>
        <v>1158</v>
      </c>
      <c r="N62" s="1193" t="s">
        <v>462</v>
      </c>
      <c r="O62" s="1194" t="s">
        <v>499</v>
      </c>
      <c r="P62" s="1377"/>
    </row>
    <row r="63" spans="1:16" s="1300" customFormat="1" ht="12" customHeight="1" x14ac:dyDescent="0.2">
      <c r="A63" s="1190">
        <f>A62+1</f>
        <v>36</v>
      </c>
      <c r="B63" s="1191" t="s">
        <v>334</v>
      </c>
      <c r="C63" s="1144" t="s">
        <v>514</v>
      </c>
      <c r="D63" s="1145" t="s">
        <v>220</v>
      </c>
      <c r="E63" s="1196">
        <v>140</v>
      </c>
      <c r="F63" s="1146">
        <v>140</v>
      </c>
      <c r="G63" s="1147">
        <v>140</v>
      </c>
      <c r="H63" s="1151">
        <v>140</v>
      </c>
      <c r="I63" s="1459">
        <v>140</v>
      </c>
      <c r="J63" s="1148">
        <v>140</v>
      </c>
      <c r="K63" s="1420"/>
      <c r="L63" s="1149">
        <f t="shared" si="5"/>
        <v>0</v>
      </c>
      <c r="M63" s="1150">
        <f t="shared" si="6"/>
        <v>140</v>
      </c>
      <c r="N63" s="1193" t="s">
        <v>463</v>
      </c>
      <c r="O63" s="1194" t="s">
        <v>218</v>
      </c>
      <c r="P63" s="1377"/>
    </row>
    <row r="64" spans="1:16" s="1300" customFormat="1" ht="12" customHeight="1" x14ac:dyDescent="0.2">
      <c r="A64" s="1190">
        <f>A63+1</f>
        <v>37</v>
      </c>
      <c r="B64" s="1191" t="s">
        <v>334</v>
      </c>
      <c r="C64" s="1144" t="s">
        <v>514</v>
      </c>
      <c r="D64" s="1145" t="s">
        <v>380</v>
      </c>
      <c r="E64" s="1146"/>
      <c r="F64" s="1146">
        <v>235</v>
      </c>
      <c r="G64" s="1147">
        <v>385</v>
      </c>
      <c r="H64" s="1151">
        <v>500</v>
      </c>
      <c r="I64" s="1459">
        <v>495</v>
      </c>
      <c r="J64" s="1148">
        <v>495</v>
      </c>
      <c r="K64" s="1417">
        <v>1</v>
      </c>
      <c r="L64" s="1149">
        <f t="shared" si="5"/>
        <v>495</v>
      </c>
      <c r="M64" s="1150">
        <f t="shared" si="6"/>
        <v>0</v>
      </c>
      <c r="N64" s="1193" t="s">
        <v>465</v>
      </c>
      <c r="O64" s="1194" t="s">
        <v>218</v>
      </c>
      <c r="P64" s="1376" t="s">
        <v>595</v>
      </c>
    </row>
    <row r="65" spans="1:16" s="1300" customFormat="1" ht="12" customHeight="1" x14ac:dyDescent="0.2">
      <c r="A65" s="1190">
        <f t="shared" ref="A65:A82" si="8">A64+1</f>
        <v>38</v>
      </c>
      <c r="B65" s="1191" t="s">
        <v>334</v>
      </c>
      <c r="C65" s="1144" t="s">
        <v>514</v>
      </c>
      <c r="D65" s="1145" t="s">
        <v>382</v>
      </c>
      <c r="E65" s="1146"/>
      <c r="F65" s="1146"/>
      <c r="G65" s="1147"/>
      <c r="H65" s="1151">
        <v>350</v>
      </c>
      <c r="I65" s="1459">
        <v>300</v>
      </c>
      <c r="J65" s="1148">
        <v>150</v>
      </c>
      <c r="K65" s="1420"/>
      <c r="L65" s="1149">
        <f t="shared" si="5"/>
        <v>0</v>
      </c>
      <c r="M65" s="1150">
        <f t="shared" si="6"/>
        <v>150</v>
      </c>
      <c r="N65" s="1193" t="s">
        <v>466</v>
      </c>
      <c r="O65" s="1194" t="s">
        <v>213</v>
      </c>
      <c r="P65" s="1377"/>
    </row>
    <row r="66" spans="1:16" s="1300" customFormat="1" ht="12" customHeight="1" x14ac:dyDescent="0.2">
      <c r="A66" s="1190">
        <f t="shared" si="8"/>
        <v>39</v>
      </c>
      <c r="B66" s="1191" t="s">
        <v>334</v>
      </c>
      <c r="C66" s="1144" t="s">
        <v>514</v>
      </c>
      <c r="D66" s="1197" t="s">
        <v>381</v>
      </c>
      <c r="E66" s="1196"/>
      <c r="F66" s="1146"/>
      <c r="G66" s="1147">
        <v>1000</v>
      </c>
      <c r="H66" s="1151">
        <v>1200</v>
      </c>
      <c r="I66" s="1459">
        <v>1000</v>
      </c>
      <c r="J66" s="1148">
        <v>1050</v>
      </c>
      <c r="K66" s="1420"/>
      <c r="L66" s="1149">
        <f t="shared" si="5"/>
        <v>0</v>
      </c>
      <c r="M66" s="1150">
        <f t="shared" si="6"/>
        <v>1050</v>
      </c>
      <c r="N66" s="1193" t="s">
        <v>467</v>
      </c>
      <c r="O66" s="1194" t="s">
        <v>213</v>
      </c>
      <c r="P66" s="1375"/>
    </row>
    <row r="67" spans="1:16" s="1300" customFormat="1" ht="12" customHeight="1" x14ac:dyDescent="0.2">
      <c r="A67" s="1190">
        <f t="shared" si="8"/>
        <v>40</v>
      </c>
      <c r="B67" s="1191" t="s">
        <v>334</v>
      </c>
      <c r="C67" s="1144" t="s">
        <v>514</v>
      </c>
      <c r="D67" s="1145" t="s">
        <v>383</v>
      </c>
      <c r="E67" s="1146"/>
      <c r="F67" s="1146"/>
      <c r="G67" s="1147">
        <v>230</v>
      </c>
      <c r="H67" s="1151">
        <v>230</v>
      </c>
      <c r="I67" s="1459">
        <v>210</v>
      </c>
      <c r="J67" s="1148">
        <v>250</v>
      </c>
      <c r="K67" s="1420"/>
      <c r="L67" s="1149">
        <f>J67*K67</f>
        <v>0</v>
      </c>
      <c r="M67" s="1150">
        <f>J67-L67</f>
        <v>250</v>
      </c>
      <c r="N67" s="1193" t="s">
        <v>469</v>
      </c>
      <c r="O67" s="1194" t="s">
        <v>496</v>
      </c>
      <c r="P67" s="1377"/>
    </row>
    <row r="68" spans="1:16" ht="12" customHeight="1" x14ac:dyDescent="0.2">
      <c r="A68" s="1190">
        <f t="shared" si="8"/>
        <v>41</v>
      </c>
      <c r="B68" s="1191" t="s">
        <v>334</v>
      </c>
      <c r="C68" s="1144" t="s">
        <v>514</v>
      </c>
      <c r="D68" s="1145" t="s">
        <v>500</v>
      </c>
      <c r="E68" s="1146"/>
      <c r="F68" s="1146"/>
      <c r="G68" s="1147"/>
      <c r="H68" s="1151">
        <v>450</v>
      </c>
      <c r="I68" s="1459">
        <v>500</v>
      </c>
      <c r="J68" s="1148">
        <v>750</v>
      </c>
      <c r="K68" s="1420"/>
      <c r="L68" s="1149">
        <f t="shared" si="5"/>
        <v>0</v>
      </c>
      <c r="M68" s="1150">
        <f t="shared" si="6"/>
        <v>750</v>
      </c>
      <c r="N68" s="1445" t="s">
        <v>567</v>
      </c>
      <c r="O68" s="1194" t="s">
        <v>216</v>
      </c>
      <c r="P68" s="1380"/>
    </row>
    <row r="69" spans="1:16" s="1300" customFormat="1" ht="12" customHeight="1" x14ac:dyDescent="0.2">
      <c r="A69" s="1190">
        <f t="shared" si="8"/>
        <v>42</v>
      </c>
      <c r="B69" s="1191" t="s">
        <v>334</v>
      </c>
      <c r="C69" s="1144" t="s">
        <v>514</v>
      </c>
      <c r="D69" s="1145" t="s">
        <v>304</v>
      </c>
      <c r="E69" s="1146"/>
      <c r="F69" s="1146">
        <v>1000</v>
      </c>
      <c r="G69" s="1147">
        <v>1500</v>
      </c>
      <c r="H69" s="1151">
        <v>1100</v>
      </c>
      <c r="I69" s="1459">
        <v>700</v>
      </c>
      <c r="J69" s="1148">
        <v>700</v>
      </c>
      <c r="K69" s="1420"/>
      <c r="L69" s="1149">
        <f t="shared" si="5"/>
        <v>0</v>
      </c>
      <c r="M69" s="1150">
        <f t="shared" si="6"/>
        <v>700</v>
      </c>
      <c r="N69" s="1445" t="s">
        <v>470</v>
      </c>
      <c r="O69" s="1194" t="s">
        <v>217</v>
      </c>
      <c r="P69" s="1377"/>
    </row>
    <row r="70" spans="1:16" s="1301" customFormat="1" ht="12" customHeight="1" x14ac:dyDescent="0.2">
      <c r="A70" s="1190">
        <f t="shared" si="8"/>
        <v>43</v>
      </c>
      <c r="B70" s="1209" t="s">
        <v>334</v>
      </c>
      <c r="C70" s="1144" t="s">
        <v>514</v>
      </c>
      <c r="D70" s="1436" t="s">
        <v>566</v>
      </c>
      <c r="E70" s="1210"/>
      <c r="F70" s="1210"/>
      <c r="G70" s="1211"/>
      <c r="H70" s="1461">
        <v>160</v>
      </c>
      <c r="I70" s="1462">
        <v>200</v>
      </c>
      <c r="J70" s="1212">
        <v>150</v>
      </c>
      <c r="K70" s="1420"/>
      <c r="L70" s="1149">
        <f t="shared" si="5"/>
        <v>0</v>
      </c>
      <c r="M70" s="1150">
        <f t="shared" si="6"/>
        <v>150</v>
      </c>
      <c r="N70" s="1445" t="s">
        <v>568</v>
      </c>
      <c r="O70" s="1194" t="s">
        <v>213</v>
      </c>
      <c r="P70" s="1380"/>
    </row>
    <row r="71" spans="1:16" s="1301" customFormat="1" ht="12" customHeight="1" x14ac:dyDescent="0.2">
      <c r="A71" s="1190">
        <f t="shared" si="8"/>
        <v>44</v>
      </c>
      <c r="B71" s="1209" t="s">
        <v>334</v>
      </c>
      <c r="C71" s="1144" t="s">
        <v>514</v>
      </c>
      <c r="D71" s="1436" t="s">
        <v>618</v>
      </c>
      <c r="E71" s="1210"/>
      <c r="F71" s="1210"/>
      <c r="G71" s="1211"/>
      <c r="H71" s="1461">
        <v>2000</v>
      </c>
      <c r="I71" s="1462">
        <v>3800</v>
      </c>
      <c r="J71" s="1212">
        <v>0</v>
      </c>
      <c r="K71" s="1420"/>
      <c r="L71" s="1149">
        <f t="shared" si="5"/>
        <v>0</v>
      </c>
      <c r="M71" s="1150">
        <f t="shared" si="6"/>
        <v>0</v>
      </c>
      <c r="N71" s="1445" t="s">
        <v>619</v>
      </c>
      <c r="O71" s="1194" t="s">
        <v>620</v>
      </c>
      <c r="P71" s="1380"/>
    </row>
    <row r="72" spans="1:16" s="1301" customFormat="1" ht="12" customHeight="1" x14ac:dyDescent="0.2">
      <c r="A72" s="1190">
        <f t="shared" si="8"/>
        <v>45</v>
      </c>
      <c r="B72" s="1209" t="s">
        <v>334</v>
      </c>
      <c r="C72" s="1144" t="s">
        <v>514</v>
      </c>
      <c r="D72" s="1436" t="s">
        <v>622</v>
      </c>
      <c r="E72" s="1210"/>
      <c r="F72" s="1210"/>
      <c r="G72" s="1211"/>
      <c r="H72" s="1461"/>
      <c r="I72" s="1462">
        <v>100</v>
      </c>
      <c r="J72" s="1212">
        <v>100</v>
      </c>
      <c r="K72" s="1420"/>
      <c r="L72" s="1149">
        <f t="shared" si="5"/>
        <v>0</v>
      </c>
      <c r="M72" s="1150">
        <f t="shared" si="6"/>
        <v>100</v>
      </c>
      <c r="N72" s="1445" t="s">
        <v>621</v>
      </c>
      <c r="O72" s="1194" t="s">
        <v>213</v>
      </c>
      <c r="P72" s="1380"/>
    </row>
    <row r="73" spans="1:16" s="1300" customFormat="1" ht="12" customHeight="1" x14ac:dyDescent="0.2">
      <c r="A73" s="1190">
        <f t="shared" si="8"/>
        <v>46</v>
      </c>
      <c r="B73" s="1191" t="s">
        <v>334</v>
      </c>
      <c r="C73" s="1144" t="s">
        <v>514</v>
      </c>
      <c r="D73" s="1145" t="s">
        <v>219</v>
      </c>
      <c r="E73" s="1196">
        <v>891</v>
      </c>
      <c r="F73" s="1146">
        <v>891</v>
      </c>
      <c r="G73" s="1147">
        <v>891</v>
      </c>
      <c r="H73" s="1151">
        <v>350</v>
      </c>
      <c r="I73" s="1459">
        <v>350</v>
      </c>
      <c r="J73" s="1148">
        <v>350</v>
      </c>
      <c r="K73" s="1420"/>
      <c r="L73" s="1149">
        <f t="shared" si="5"/>
        <v>0</v>
      </c>
      <c r="M73" s="1150">
        <f t="shared" si="6"/>
        <v>350</v>
      </c>
      <c r="N73" s="1193" t="s">
        <v>471</v>
      </c>
      <c r="O73" s="1194" t="s">
        <v>218</v>
      </c>
      <c r="P73" s="1377"/>
    </row>
    <row r="74" spans="1:16" s="1300" customFormat="1" ht="12" customHeight="1" x14ac:dyDescent="0.2">
      <c r="A74" s="1190">
        <f t="shared" si="8"/>
        <v>47</v>
      </c>
      <c r="B74" s="1191" t="s">
        <v>334</v>
      </c>
      <c r="C74" s="1144" t="s">
        <v>514</v>
      </c>
      <c r="D74" s="1145" t="s">
        <v>133</v>
      </c>
      <c r="E74" s="1196">
        <v>1366</v>
      </c>
      <c r="F74" s="1196">
        <v>1366</v>
      </c>
      <c r="G74" s="1155">
        <v>1700</v>
      </c>
      <c r="H74" s="1151">
        <v>1900</v>
      </c>
      <c r="I74" s="1459">
        <v>2000</v>
      </c>
      <c r="J74" s="1148">
        <v>2500</v>
      </c>
      <c r="K74" s="1420"/>
      <c r="L74" s="1149">
        <f t="shared" si="5"/>
        <v>0</v>
      </c>
      <c r="M74" s="1150">
        <f t="shared" si="6"/>
        <v>2500</v>
      </c>
      <c r="N74" s="1193" t="s">
        <v>472</v>
      </c>
      <c r="O74" s="1194" t="s">
        <v>222</v>
      </c>
      <c r="P74" s="1380"/>
    </row>
    <row r="75" spans="1:16" ht="12" customHeight="1" x14ac:dyDescent="0.2">
      <c r="A75" s="1190">
        <f t="shared" si="8"/>
        <v>48</v>
      </c>
      <c r="B75" s="1209" t="s">
        <v>334</v>
      </c>
      <c r="C75" s="1144" t="s">
        <v>514</v>
      </c>
      <c r="D75" s="1436" t="s">
        <v>624</v>
      </c>
      <c r="E75" s="1210"/>
      <c r="F75" s="1210"/>
      <c r="G75" s="1211"/>
      <c r="H75" s="1461"/>
      <c r="I75" s="1462">
        <v>2000</v>
      </c>
      <c r="J75" s="1212">
        <v>1391</v>
      </c>
      <c r="K75" s="1420"/>
      <c r="L75" s="1149">
        <f t="shared" si="5"/>
        <v>0</v>
      </c>
      <c r="M75" s="1150">
        <f t="shared" si="6"/>
        <v>1391</v>
      </c>
      <c r="N75" s="1193" t="s">
        <v>625</v>
      </c>
      <c r="O75" s="1213" t="s">
        <v>499</v>
      </c>
      <c r="P75" s="1380"/>
    </row>
    <row r="76" spans="1:16" ht="12" customHeight="1" x14ac:dyDescent="0.2">
      <c r="A76" s="1190">
        <f t="shared" si="8"/>
        <v>49</v>
      </c>
      <c r="B76" s="1191" t="s">
        <v>334</v>
      </c>
      <c r="C76" s="1144" t="s">
        <v>514</v>
      </c>
      <c r="D76" s="1145" t="s">
        <v>562</v>
      </c>
      <c r="E76" s="1146"/>
      <c r="F76" s="1146"/>
      <c r="G76" s="1147"/>
      <c r="H76" s="1151">
        <v>200</v>
      </c>
      <c r="I76" s="1459">
        <v>180</v>
      </c>
      <c r="J76" s="1148">
        <v>180</v>
      </c>
      <c r="K76" s="1420"/>
      <c r="L76" s="1149">
        <f t="shared" si="5"/>
        <v>0</v>
      </c>
      <c r="M76" s="1150">
        <f t="shared" si="6"/>
        <v>180</v>
      </c>
      <c r="N76" s="1193" t="s">
        <v>623</v>
      </c>
      <c r="O76" s="1194" t="s">
        <v>496</v>
      </c>
      <c r="P76" s="1380"/>
    </row>
    <row r="77" spans="1:16" ht="12" customHeight="1" x14ac:dyDescent="0.2">
      <c r="A77" s="1190">
        <f t="shared" si="8"/>
        <v>50</v>
      </c>
      <c r="B77" s="1191" t="s">
        <v>334</v>
      </c>
      <c r="C77" s="1144" t="s">
        <v>514</v>
      </c>
      <c r="D77" s="1145" t="s">
        <v>710</v>
      </c>
      <c r="E77" s="1146"/>
      <c r="F77" s="1146"/>
      <c r="G77" s="1147"/>
      <c r="H77" s="1151"/>
      <c r="I77" s="1459">
        <v>0</v>
      </c>
      <c r="J77" s="1148">
        <v>2621</v>
      </c>
      <c r="K77" s="1420"/>
      <c r="L77" s="1149">
        <f>J77*K77</f>
        <v>0</v>
      </c>
      <c r="M77" s="1150">
        <f>J77-L77</f>
        <v>2621</v>
      </c>
      <c r="N77" s="1193" t="s">
        <v>221</v>
      </c>
      <c r="O77" s="1194" t="s">
        <v>496</v>
      </c>
      <c r="P77" s="1380" t="s">
        <v>468</v>
      </c>
    </row>
    <row r="78" spans="1:16" ht="12" customHeight="1" x14ac:dyDescent="0.2">
      <c r="A78" s="1190">
        <f t="shared" si="8"/>
        <v>51</v>
      </c>
      <c r="B78" s="1191" t="s">
        <v>334</v>
      </c>
      <c r="C78" s="1144" t="s">
        <v>514</v>
      </c>
      <c r="D78" s="1145" t="s">
        <v>695</v>
      </c>
      <c r="E78" s="1146"/>
      <c r="F78" s="1146"/>
      <c r="G78" s="1147"/>
      <c r="H78" s="1151"/>
      <c r="I78" s="1459">
        <v>0</v>
      </c>
      <c r="J78" s="1148">
        <v>3368</v>
      </c>
      <c r="K78" s="1420"/>
      <c r="L78" s="1149">
        <f t="shared" si="5"/>
        <v>0</v>
      </c>
      <c r="M78" s="1150">
        <f t="shared" si="6"/>
        <v>3368</v>
      </c>
      <c r="N78" s="1193" t="s">
        <v>221</v>
      </c>
      <c r="O78" s="1194" t="s">
        <v>654</v>
      </c>
      <c r="P78" s="1380" t="s">
        <v>468</v>
      </c>
    </row>
    <row r="79" spans="1:16" ht="12" customHeight="1" x14ac:dyDescent="0.2">
      <c r="A79" s="1190">
        <f t="shared" si="8"/>
        <v>52</v>
      </c>
      <c r="B79" s="1191" t="s">
        <v>334</v>
      </c>
      <c r="C79" s="1144" t="s">
        <v>514</v>
      </c>
      <c r="D79" s="1145" t="s">
        <v>655</v>
      </c>
      <c r="E79" s="1146"/>
      <c r="F79" s="1146"/>
      <c r="G79" s="1147"/>
      <c r="H79" s="1151"/>
      <c r="I79" s="1459">
        <v>0</v>
      </c>
      <c r="J79" s="1148">
        <v>400</v>
      </c>
      <c r="K79" s="1420"/>
      <c r="L79" s="1149">
        <f t="shared" si="5"/>
        <v>0</v>
      </c>
      <c r="M79" s="1150">
        <f t="shared" si="6"/>
        <v>400</v>
      </c>
      <c r="N79" s="1193" t="s">
        <v>221</v>
      </c>
      <c r="O79" s="1194" t="s">
        <v>217</v>
      </c>
      <c r="P79" s="1380" t="s">
        <v>468</v>
      </c>
    </row>
    <row r="80" spans="1:16" ht="12" customHeight="1" x14ac:dyDescent="0.2">
      <c r="A80" s="1190">
        <f t="shared" si="8"/>
        <v>53</v>
      </c>
      <c r="B80" s="1191" t="s">
        <v>334</v>
      </c>
      <c r="C80" s="1144" t="s">
        <v>514</v>
      </c>
      <c r="D80" s="1145" t="s">
        <v>656</v>
      </c>
      <c r="E80" s="1146"/>
      <c r="F80" s="1146"/>
      <c r="G80" s="1147"/>
      <c r="H80" s="1151"/>
      <c r="I80" s="1459">
        <v>0</v>
      </c>
      <c r="J80" s="1148">
        <v>2000</v>
      </c>
      <c r="K80" s="1420">
        <v>0.39</v>
      </c>
      <c r="L80" s="1149">
        <f t="shared" si="5"/>
        <v>780</v>
      </c>
      <c r="M80" s="1150">
        <f t="shared" si="6"/>
        <v>1220</v>
      </c>
      <c r="N80" s="1193" t="s">
        <v>221</v>
      </c>
      <c r="O80" s="1194" t="s">
        <v>213</v>
      </c>
      <c r="P80" s="1380" t="s">
        <v>468</v>
      </c>
    </row>
    <row r="81" spans="1:16" ht="12" customHeight="1" thickBot="1" x14ac:dyDescent="0.25">
      <c r="A81" s="1190">
        <f t="shared" si="8"/>
        <v>54</v>
      </c>
      <c r="B81" s="1191" t="s">
        <v>334</v>
      </c>
      <c r="C81" s="1144" t="s">
        <v>514</v>
      </c>
      <c r="D81" s="1439" t="s">
        <v>657</v>
      </c>
      <c r="E81" s="1440"/>
      <c r="F81" s="1440"/>
      <c r="G81" s="1441"/>
      <c r="H81" s="1463"/>
      <c r="I81" s="1464">
        <v>0</v>
      </c>
      <c r="J81" s="1294">
        <v>1200</v>
      </c>
      <c r="K81" s="1442"/>
      <c r="L81" s="1295">
        <f t="shared" si="5"/>
        <v>0</v>
      </c>
      <c r="M81" s="1296">
        <f>J81-L81</f>
        <v>1200</v>
      </c>
      <c r="N81" s="1443" t="s">
        <v>221</v>
      </c>
      <c r="O81" s="1444" t="s">
        <v>213</v>
      </c>
      <c r="P81" s="1380" t="s">
        <v>468</v>
      </c>
    </row>
    <row r="82" spans="1:16" ht="12" customHeight="1" thickBot="1" x14ac:dyDescent="0.25">
      <c r="A82" s="1215">
        <f t="shared" si="8"/>
        <v>55</v>
      </c>
      <c r="B82" s="1385" t="s">
        <v>334</v>
      </c>
      <c r="C82" s="1386" t="s">
        <v>514</v>
      </c>
      <c r="D82" s="1387" t="s">
        <v>607</v>
      </c>
      <c r="E82" s="1388">
        <v>16000</v>
      </c>
      <c r="F82" s="1388">
        <v>17500</v>
      </c>
      <c r="G82" s="1214">
        <v>17500</v>
      </c>
      <c r="H82" s="1389">
        <v>17500</v>
      </c>
      <c r="I82" s="1411">
        <v>17500</v>
      </c>
      <c r="J82" s="1390">
        <v>19000</v>
      </c>
      <c r="K82" s="1424"/>
      <c r="L82" s="1391">
        <f>J82*K82</f>
        <v>0</v>
      </c>
      <c r="M82" s="1390">
        <f>J82-L82</f>
        <v>19000</v>
      </c>
      <c r="N82" s="1438">
        <v>1000</v>
      </c>
      <c r="O82" s="1437" t="s">
        <v>496</v>
      </c>
      <c r="P82" s="1498" t="s">
        <v>626</v>
      </c>
    </row>
    <row r="83" spans="1:16" ht="12" customHeight="1" x14ac:dyDescent="0.2">
      <c r="A83" s="1216"/>
      <c r="B83" s="1217"/>
      <c r="C83" s="1218"/>
      <c r="D83" s="1219" t="s">
        <v>29</v>
      </c>
      <c r="E83" s="1220">
        <f t="shared" ref="E83:J83" si="9">SUM(E28:E82)</f>
        <v>111987</v>
      </c>
      <c r="F83" s="1220">
        <f t="shared" si="9"/>
        <v>97892</v>
      </c>
      <c r="G83" s="1221">
        <f t="shared" si="9"/>
        <v>99859</v>
      </c>
      <c r="H83" s="1222">
        <f t="shared" si="9"/>
        <v>95266</v>
      </c>
      <c r="I83" s="1412">
        <f t="shared" si="9"/>
        <v>96349</v>
      </c>
      <c r="J83" s="1221">
        <f t="shared" si="9"/>
        <v>99372</v>
      </c>
      <c r="K83" s="1425"/>
      <c r="L83" s="1223">
        <f>SUM(L28:L82)</f>
        <v>7342.47</v>
      </c>
      <c r="M83" s="1224">
        <f>SUM(M28:M82)</f>
        <v>92029.53</v>
      </c>
      <c r="N83" s="1216"/>
      <c r="O83" s="1225"/>
      <c r="P83" s="1377"/>
    </row>
    <row r="84" spans="1:16" ht="12" customHeight="1" x14ac:dyDescent="0.2">
      <c r="A84" s="1190">
        <f>A82+1</f>
        <v>56</v>
      </c>
      <c r="B84" s="1191" t="s">
        <v>334</v>
      </c>
      <c r="C84" s="1226" t="s">
        <v>532</v>
      </c>
      <c r="D84" s="1195" t="s">
        <v>627</v>
      </c>
      <c r="E84" s="1227"/>
      <c r="F84" s="1227"/>
      <c r="G84" s="1228"/>
      <c r="H84" s="1469"/>
      <c r="I84" s="1470">
        <v>380</v>
      </c>
      <c r="J84" s="1229">
        <v>520</v>
      </c>
      <c r="K84" s="1426"/>
      <c r="L84" s="1149">
        <f>J84*K84</f>
        <v>0</v>
      </c>
      <c r="M84" s="1150">
        <f>J84-L84</f>
        <v>520</v>
      </c>
      <c r="N84" s="1190"/>
      <c r="O84" s="1194"/>
      <c r="P84" s="1377"/>
    </row>
    <row r="85" spans="1:16" ht="12" customHeight="1" x14ac:dyDescent="0.2">
      <c r="A85" s="1190">
        <f>A84+1</f>
        <v>57</v>
      </c>
      <c r="B85" s="1191" t="s">
        <v>334</v>
      </c>
      <c r="C85" s="1226" t="s">
        <v>532</v>
      </c>
      <c r="D85" s="1195" t="s">
        <v>659</v>
      </c>
      <c r="E85" s="1227"/>
      <c r="F85" s="1227"/>
      <c r="G85" s="1228">
        <v>100</v>
      </c>
      <c r="H85" s="1469">
        <v>100</v>
      </c>
      <c r="I85" s="1470">
        <v>100</v>
      </c>
      <c r="J85" s="1229">
        <v>100</v>
      </c>
      <c r="K85" s="1426"/>
      <c r="L85" s="1149">
        <f>J85*K85</f>
        <v>0</v>
      </c>
      <c r="M85" s="1150">
        <f>J85-L85</f>
        <v>100</v>
      </c>
      <c r="N85" s="1190"/>
      <c r="O85" s="1194"/>
      <c r="P85" s="1375"/>
    </row>
    <row r="86" spans="1:16" ht="12" customHeight="1" x14ac:dyDescent="0.2">
      <c r="A86" s="1190">
        <f>A85+1</f>
        <v>58</v>
      </c>
      <c r="B86" s="1191" t="s">
        <v>334</v>
      </c>
      <c r="C86" s="1226" t="s">
        <v>532</v>
      </c>
      <c r="D86" s="1195" t="s">
        <v>658</v>
      </c>
      <c r="E86" s="1227"/>
      <c r="F86" s="1227"/>
      <c r="G86" s="1228"/>
      <c r="H86" s="1469"/>
      <c r="I86" s="1470">
        <v>0</v>
      </c>
      <c r="J86" s="1229">
        <v>126</v>
      </c>
      <c r="K86" s="1426"/>
      <c r="L86" s="1149">
        <f>J86*K86</f>
        <v>0</v>
      </c>
      <c r="M86" s="1150">
        <f>J86-L86</f>
        <v>126</v>
      </c>
      <c r="N86" s="1190"/>
      <c r="O86" s="1194"/>
      <c r="P86" s="1380" t="s">
        <v>474</v>
      </c>
    </row>
    <row r="87" spans="1:16" ht="12" customHeight="1" x14ac:dyDescent="0.2">
      <c r="A87" s="1230"/>
      <c r="B87" s="1231"/>
      <c r="C87" s="1232"/>
      <c r="D87" s="1233" t="s">
        <v>395</v>
      </c>
      <c r="E87" s="1234">
        <f>SUM(E85:E85)</f>
        <v>0</v>
      </c>
      <c r="F87" s="1234">
        <f>SUM(F85:F85)</f>
        <v>0</v>
      </c>
      <c r="G87" s="1235">
        <f>SUM(G85:G85)</f>
        <v>100</v>
      </c>
      <c r="H87" s="1236">
        <f>SUM(H85:H85)</f>
        <v>100</v>
      </c>
      <c r="I87" s="1413">
        <f>SUM(I84:I86)</f>
        <v>480</v>
      </c>
      <c r="J87" s="1235">
        <f>SUM(J84:J86)</f>
        <v>746</v>
      </c>
      <c r="K87" s="1425"/>
      <c r="L87" s="1237">
        <f>SUM(L84:L86)</f>
        <v>0</v>
      </c>
      <c r="M87" s="1238">
        <f>SUM(M84:M86)</f>
        <v>746</v>
      </c>
      <c r="N87" s="1239"/>
      <c r="O87" s="1240"/>
      <c r="P87" s="1377"/>
    </row>
    <row r="88" spans="1:16" ht="12" customHeight="1" x14ac:dyDescent="0.2">
      <c r="A88" s="1241">
        <f>A86+1</f>
        <v>59</v>
      </c>
      <c r="B88" s="1242" t="s">
        <v>334</v>
      </c>
      <c r="C88" s="1243" t="s">
        <v>528</v>
      </c>
      <c r="D88" s="1244" t="s">
        <v>225</v>
      </c>
      <c r="E88" s="1245">
        <v>95</v>
      </c>
      <c r="F88" s="1245"/>
      <c r="G88" s="1246"/>
      <c r="H88" s="1465"/>
      <c r="I88" s="1466"/>
      <c r="J88" s="1247"/>
      <c r="K88" s="1427"/>
      <c r="L88" s="1149">
        <f>J88*K88</f>
        <v>0</v>
      </c>
      <c r="M88" s="1150">
        <f>J88-L88</f>
        <v>0</v>
      </c>
      <c r="N88" s="1241"/>
      <c r="O88" s="1248"/>
      <c r="P88" s="1380"/>
    </row>
    <row r="89" spans="1:16" ht="12" customHeight="1" x14ac:dyDescent="0.2">
      <c r="A89" s="1241">
        <f>A88+1</f>
        <v>60</v>
      </c>
      <c r="B89" s="1242" t="s">
        <v>334</v>
      </c>
      <c r="C89" s="1243" t="s">
        <v>528</v>
      </c>
      <c r="D89" s="1244" t="s">
        <v>476</v>
      </c>
      <c r="E89" s="1245"/>
      <c r="F89" s="1245"/>
      <c r="G89" s="1246"/>
      <c r="H89" s="1465">
        <v>200</v>
      </c>
      <c r="I89" s="1466">
        <v>200</v>
      </c>
      <c r="J89" s="1247">
        <v>200</v>
      </c>
      <c r="K89" s="1427"/>
      <c r="L89" s="1149">
        <f>J89*K89</f>
        <v>0</v>
      </c>
      <c r="M89" s="1150">
        <f>J89-L89</f>
        <v>200</v>
      </c>
      <c r="N89" s="1241"/>
      <c r="O89" s="1248"/>
      <c r="P89" s="1380"/>
    </row>
    <row r="90" spans="1:16" ht="12" customHeight="1" x14ac:dyDescent="0.2">
      <c r="A90" s="1230"/>
      <c r="B90" s="1231"/>
      <c r="C90" s="1232"/>
      <c r="D90" s="1233" t="s">
        <v>475</v>
      </c>
      <c r="E90" s="1220">
        <f>SUM(E88:E89)</f>
        <v>95</v>
      </c>
      <c r="F90" s="1220">
        <f t="shared" ref="F90:L90" si="10">SUM(F88:F89)</f>
        <v>0</v>
      </c>
      <c r="G90" s="1249">
        <f t="shared" si="10"/>
        <v>0</v>
      </c>
      <c r="H90" s="1222">
        <f t="shared" si="10"/>
        <v>200</v>
      </c>
      <c r="I90" s="1414">
        <f t="shared" si="10"/>
        <v>200</v>
      </c>
      <c r="J90" s="1249">
        <f t="shared" si="10"/>
        <v>200</v>
      </c>
      <c r="K90" s="1425">
        <f t="shared" si="10"/>
        <v>0</v>
      </c>
      <c r="L90" s="1250">
        <f t="shared" si="10"/>
        <v>0</v>
      </c>
      <c r="M90" s="1224">
        <f>SUM(M88:M89)</f>
        <v>200</v>
      </c>
      <c r="N90" s="1239"/>
      <c r="O90" s="1251"/>
      <c r="P90" s="1377"/>
    </row>
    <row r="91" spans="1:16" ht="11.25" customHeight="1" x14ac:dyDescent="0.2">
      <c r="A91" s="1190">
        <f>A89+1</f>
        <v>61</v>
      </c>
      <c r="B91" s="1191" t="s">
        <v>334</v>
      </c>
      <c r="C91" s="1226" t="s">
        <v>529</v>
      </c>
      <c r="D91" s="1145" t="s">
        <v>162</v>
      </c>
      <c r="E91" s="1146">
        <v>2430</v>
      </c>
      <c r="F91" s="1146">
        <v>2700</v>
      </c>
      <c r="G91" s="1147">
        <v>2700</v>
      </c>
      <c r="H91" s="1151">
        <v>2700</v>
      </c>
      <c r="I91" s="1459">
        <v>2700</v>
      </c>
      <c r="J91" s="1148">
        <v>2200</v>
      </c>
      <c r="K91" s="1420"/>
      <c r="L91" s="1149">
        <f>J91*K91</f>
        <v>0</v>
      </c>
      <c r="M91" s="1150">
        <f>J91-L91</f>
        <v>2200</v>
      </c>
      <c r="N91" s="1190"/>
      <c r="O91" s="1194"/>
      <c r="P91" s="1377"/>
    </row>
    <row r="92" spans="1:16" ht="12" customHeight="1" x14ac:dyDescent="0.2">
      <c r="A92" s="1190">
        <f>A91+1</f>
        <v>62</v>
      </c>
      <c r="B92" s="1191" t="s">
        <v>334</v>
      </c>
      <c r="C92" s="1226" t="s">
        <v>529</v>
      </c>
      <c r="D92" s="1145" t="s">
        <v>386</v>
      </c>
      <c r="E92" s="1146"/>
      <c r="F92" s="1146"/>
      <c r="G92" s="1147">
        <v>1500</v>
      </c>
      <c r="H92" s="1151"/>
      <c r="I92" s="1459"/>
      <c r="J92" s="1148"/>
      <c r="K92" s="1420"/>
      <c r="L92" s="1149">
        <f>J92*K92</f>
        <v>0</v>
      </c>
      <c r="M92" s="1150">
        <f>J92-L92</f>
        <v>0</v>
      </c>
      <c r="N92" s="1190"/>
      <c r="O92" s="1194"/>
      <c r="P92" s="1377"/>
    </row>
    <row r="93" spans="1:16" ht="12" customHeight="1" x14ac:dyDescent="0.2">
      <c r="A93" s="1190">
        <f>A92+1</f>
        <v>63</v>
      </c>
      <c r="B93" s="1191" t="s">
        <v>334</v>
      </c>
      <c r="C93" s="1226" t="s">
        <v>529</v>
      </c>
      <c r="D93" s="1145" t="s">
        <v>181</v>
      </c>
      <c r="E93" s="1252"/>
      <c r="F93" s="1252">
        <v>1000</v>
      </c>
      <c r="G93" s="1147">
        <v>1000</v>
      </c>
      <c r="H93" s="1151">
        <v>1000</v>
      </c>
      <c r="I93" s="1459">
        <v>1000</v>
      </c>
      <c r="J93" s="1148">
        <v>0</v>
      </c>
      <c r="K93" s="1420"/>
      <c r="L93" s="1149">
        <f>J93*K93</f>
        <v>0</v>
      </c>
      <c r="M93" s="1150">
        <f>J93-L93</f>
        <v>0</v>
      </c>
      <c r="N93" s="1190">
        <v>1073</v>
      </c>
      <c r="O93" s="1194"/>
      <c r="P93" s="1377"/>
    </row>
    <row r="94" spans="1:16" ht="12" customHeight="1" x14ac:dyDescent="0.2">
      <c r="A94" s="1239"/>
      <c r="B94" s="1231"/>
      <c r="C94" s="1232"/>
      <c r="D94" s="1233" t="s">
        <v>175</v>
      </c>
      <c r="E94" s="1220">
        <f t="shared" ref="E94:J94" si="11">SUM(E91:E93)</f>
        <v>2430</v>
      </c>
      <c r="F94" s="1220">
        <f t="shared" si="11"/>
        <v>3700</v>
      </c>
      <c r="G94" s="1221">
        <f t="shared" si="11"/>
        <v>5200</v>
      </c>
      <c r="H94" s="1222">
        <f t="shared" si="11"/>
        <v>3700</v>
      </c>
      <c r="I94" s="1412">
        <f t="shared" si="11"/>
        <v>3700</v>
      </c>
      <c r="J94" s="1221">
        <f t="shared" si="11"/>
        <v>2200</v>
      </c>
      <c r="K94" s="1425"/>
      <c r="L94" s="1250">
        <f>SUM(L91:L93)</f>
        <v>0</v>
      </c>
      <c r="M94" s="1224">
        <f>SUM(M91:M93)</f>
        <v>2200</v>
      </c>
      <c r="N94" s="1239"/>
      <c r="O94" s="1251"/>
      <c r="P94" s="1253"/>
    </row>
    <row r="95" spans="1:16" ht="12" customHeight="1" x14ac:dyDescent="0.2">
      <c r="A95" s="1190">
        <f>A93+1</f>
        <v>64</v>
      </c>
      <c r="B95" s="1191" t="s">
        <v>334</v>
      </c>
      <c r="C95" s="1226" t="s">
        <v>530</v>
      </c>
      <c r="D95" s="1195" t="s">
        <v>151</v>
      </c>
      <c r="E95" s="1146">
        <v>5400</v>
      </c>
      <c r="F95" s="1146">
        <v>5400</v>
      </c>
      <c r="G95" s="1147">
        <v>1400</v>
      </c>
      <c r="H95" s="1151">
        <v>36000</v>
      </c>
      <c r="I95" s="1459">
        <v>36000</v>
      </c>
      <c r="J95" s="1148">
        <v>39500</v>
      </c>
      <c r="K95" s="1420"/>
      <c r="L95" s="1149">
        <f>J95*K95</f>
        <v>0</v>
      </c>
      <c r="M95" s="1150">
        <f>J95-L95</f>
        <v>39500</v>
      </c>
      <c r="N95" s="1190"/>
      <c r="O95" s="1194"/>
      <c r="P95" s="1253"/>
    </row>
    <row r="96" spans="1:16" ht="12" customHeight="1" x14ac:dyDescent="0.2">
      <c r="A96" s="1190">
        <f>A95+1</f>
        <v>65</v>
      </c>
      <c r="B96" s="1191" t="s">
        <v>334</v>
      </c>
      <c r="C96" s="1226" t="s">
        <v>530</v>
      </c>
      <c r="D96" s="1195" t="s">
        <v>224</v>
      </c>
      <c r="E96" s="1252"/>
      <c r="F96" s="1252">
        <v>5000</v>
      </c>
      <c r="G96" s="1147">
        <v>3000</v>
      </c>
      <c r="H96" s="1151"/>
      <c r="I96" s="1459"/>
      <c r="J96" s="1148"/>
      <c r="K96" s="1420"/>
      <c r="L96" s="1149">
        <f>J96*K96</f>
        <v>0</v>
      </c>
      <c r="M96" s="1150">
        <f>J96-L96</f>
        <v>0</v>
      </c>
      <c r="N96" s="1190"/>
      <c r="O96" s="1194"/>
      <c r="P96" s="1377"/>
    </row>
    <row r="97" spans="1:16" ht="12" customHeight="1" x14ac:dyDescent="0.2">
      <c r="A97" s="1230"/>
      <c r="B97" s="1231"/>
      <c r="C97" s="1232"/>
      <c r="D97" s="1233" t="s">
        <v>30</v>
      </c>
      <c r="E97" s="1220">
        <f t="shared" ref="E97:J97" si="12">SUM(E95:E96)</f>
        <v>5400</v>
      </c>
      <c r="F97" s="1220">
        <f t="shared" si="12"/>
        <v>10400</v>
      </c>
      <c r="G97" s="1249">
        <f t="shared" si="12"/>
        <v>4400</v>
      </c>
      <c r="H97" s="1222">
        <f t="shared" si="12"/>
        <v>36000</v>
      </c>
      <c r="I97" s="1414">
        <f t="shared" si="12"/>
        <v>36000</v>
      </c>
      <c r="J97" s="1249">
        <f t="shared" si="12"/>
        <v>39500</v>
      </c>
      <c r="K97" s="1425"/>
      <c r="L97" s="1250">
        <f>SUM(L95:L96)</f>
        <v>0</v>
      </c>
      <c r="M97" s="1224">
        <f>SUM(M95:M96)</f>
        <v>39500</v>
      </c>
      <c r="N97" s="1239"/>
      <c r="O97" s="1251"/>
      <c r="P97" s="1377"/>
    </row>
    <row r="98" spans="1:16" ht="12" customHeight="1" x14ac:dyDescent="0.2">
      <c r="A98" s="1190">
        <f>A96+1</f>
        <v>66</v>
      </c>
      <c r="B98" s="1191" t="s">
        <v>334</v>
      </c>
      <c r="C98" s="1226" t="s">
        <v>527</v>
      </c>
      <c r="D98" s="1145" t="s">
        <v>93</v>
      </c>
      <c r="E98" s="1196">
        <v>250</v>
      </c>
      <c r="F98" s="1196">
        <v>250</v>
      </c>
      <c r="G98" s="1155">
        <v>250</v>
      </c>
      <c r="H98" s="1151">
        <v>250</v>
      </c>
      <c r="I98" s="1459">
        <v>250</v>
      </c>
      <c r="J98" s="1148">
        <v>250</v>
      </c>
      <c r="K98" s="1420"/>
      <c r="L98" s="1149">
        <f>J98*K98</f>
        <v>0</v>
      </c>
      <c r="M98" s="1150">
        <f>J98-L98</f>
        <v>250</v>
      </c>
      <c r="N98" s="1190"/>
      <c r="O98" s="1194"/>
      <c r="P98" s="1377"/>
    </row>
    <row r="99" spans="1:16" ht="12" customHeight="1" x14ac:dyDescent="0.2">
      <c r="A99" s="1190">
        <f>A98+1</f>
        <v>67</v>
      </c>
      <c r="B99" s="1191" t="s">
        <v>334</v>
      </c>
      <c r="C99" s="1226" t="s">
        <v>527</v>
      </c>
      <c r="D99" s="1145" t="s">
        <v>603</v>
      </c>
      <c r="E99" s="1196"/>
      <c r="F99" s="1196"/>
      <c r="G99" s="1155"/>
      <c r="H99" s="1151">
        <v>300</v>
      </c>
      <c r="I99" s="1459">
        <v>300</v>
      </c>
      <c r="J99" s="1148">
        <v>300</v>
      </c>
      <c r="K99" s="1420"/>
      <c r="L99" s="1149">
        <f>J99*K99</f>
        <v>0</v>
      </c>
      <c r="M99" s="1150">
        <f>J99-L99</f>
        <v>300</v>
      </c>
      <c r="N99" s="1190"/>
      <c r="O99" s="1194"/>
      <c r="P99" s="1380"/>
    </row>
    <row r="100" spans="1:16" ht="12" customHeight="1" x14ac:dyDescent="0.2">
      <c r="A100" s="1190">
        <f>A99+1</f>
        <v>68</v>
      </c>
      <c r="B100" s="1191" t="s">
        <v>334</v>
      </c>
      <c r="C100" s="1226" t="s">
        <v>527</v>
      </c>
      <c r="D100" s="1145" t="s">
        <v>385</v>
      </c>
      <c r="E100" s="1146"/>
      <c r="F100" s="1146"/>
      <c r="G100" s="1147">
        <v>250</v>
      </c>
      <c r="H100" s="1151">
        <v>250</v>
      </c>
      <c r="I100" s="1459">
        <v>250</v>
      </c>
      <c r="J100" s="1148">
        <v>150</v>
      </c>
      <c r="K100" s="1420"/>
      <c r="L100" s="1149">
        <f>J100*K100</f>
        <v>0</v>
      </c>
      <c r="M100" s="1150">
        <f>J100-L100</f>
        <v>150</v>
      </c>
      <c r="N100" s="1190"/>
      <c r="O100" s="1194"/>
      <c r="P100" s="1377"/>
    </row>
    <row r="101" spans="1:16" ht="12" customHeight="1" x14ac:dyDescent="0.2">
      <c r="A101" s="1230"/>
      <c r="B101" s="1231"/>
      <c r="C101" s="1232"/>
      <c r="D101" s="1233" t="s">
        <v>174</v>
      </c>
      <c r="E101" s="1220">
        <f t="shared" ref="E101:J101" si="13">SUM(E98:E100)</f>
        <v>250</v>
      </c>
      <c r="F101" s="1220">
        <f t="shared" si="13"/>
        <v>250</v>
      </c>
      <c r="G101" s="1221">
        <f t="shared" si="13"/>
        <v>500</v>
      </c>
      <c r="H101" s="1222">
        <f t="shared" si="13"/>
        <v>800</v>
      </c>
      <c r="I101" s="1412">
        <f t="shared" si="13"/>
        <v>800</v>
      </c>
      <c r="J101" s="1221">
        <f t="shared" si="13"/>
        <v>700</v>
      </c>
      <c r="K101" s="1425"/>
      <c r="L101" s="1250">
        <f>SUM(L98:L100)</f>
        <v>0</v>
      </c>
      <c r="M101" s="1224">
        <f>SUM(M98:M100)</f>
        <v>700</v>
      </c>
      <c r="N101" s="1239"/>
      <c r="O101" s="1251"/>
      <c r="P101" s="1377"/>
    </row>
    <row r="102" spans="1:16" ht="12" customHeight="1" x14ac:dyDescent="0.2">
      <c r="A102" s="1190">
        <f>A100+1</f>
        <v>69</v>
      </c>
      <c r="B102" s="1191" t="s">
        <v>334</v>
      </c>
      <c r="C102" s="1226" t="s">
        <v>531</v>
      </c>
      <c r="D102" s="1195" t="s">
        <v>152</v>
      </c>
      <c r="E102" s="1162">
        <v>270</v>
      </c>
      <c r="F102" s="1162">
        <v>300</v>
      </c>
      <c r="G102" s="1163">
        <v>300</v>
      </c>
      <c r="H102" s="1165">
        <v>300</v>
      </c>
      <c r="I102" s="1460">
        <v>300</v>
      </c>
      <c r="J102" s="1164">
        <v>300</v>
      </c>
      <c r="K102" s="1420"/>
      <c r="L102" s="1149">
        <f>J102*K102</f>
        <v>0</v>
      </c>
      <c r="M102" s="1150">
        <f>J102-L102</f>
        <v>300</v>
      </c>
      <c r="N102" s="1190"/>
      <c r="O102" s="1194"/>
      <c r="P102" s="1377"/>
    </row>
    <row r="103" spans="1:16" ht="12" customHeight="1" x14ac:dyDescent="0.2">
      <c r="A103" s="1230"/>
      <c r="B103" s="1231"/>
      <c r="C103" s="1232"/>
      <c r="D103" s="1233" t="s">
        <v>96</v>
      </c>
      <c r="E103" s="1220">
        <f>SUM(E102)</f>
        <v>270</v>
      </c>
      <c r="F103" s="1220">
        <f>SUM(F102)</f>
        <v>300</v>
      </c>
      <c r="G103" s="1249">
        <f>SUM(G102:G102)</f>
        <v>300</v>
      </c>
      <c r="H103" s="1222">
        <f>SUM(H102:H102)</f>
        <v>300</v>
      </c>
      <c r="I103" s="1414">
        <f>SUM(I102:I102)</f>
        <v>300</v>
      </c>
      <c r="J103" s="1249">
        <f>SUM(J102:J102)</f>
        <v>300</v>
      </c>
      <c r="K103" s="1425"/>
      <c r="L103" s="1250">
        <f>SUM(L102:L102)</f>
        <v>0</v>
      </c>
      <c r="M103" s="1224">
        <f>SUM(M102:M102)</f>
        <v>300</v>
      </c>
      <c r="N103" s="1239"/>
      <c r="O103" s="1251"/>
      <c r="P103" s="1377"/>
    </row>
    <row r="104" spans="1:16" ht="12" customHeight="1" x14ac:dyDescent="0.2">
      <c r="A104" s="1190">
        <f>A102+1</f>
        <v>70</v>
      </c>
      <c r="B104" s="1191" t="s">
        <v>334</v>
      </c>
      <c r="C104" s="1226" t="s">
        <v>516</v>
      </c>
      <c r="D104" s="1145" t="s">
        <v>478</v>
      </c>
      <c r="E104" s="1146"/>
      <c r="F104" s="1146"/>
      <c r="G104" s="1147"/>
      <c r="H104" s="1151">
        <v>2000</v>
      </c>
      <c r="I104" s="1459">
        <v>2000</v>
      </c>
      <c r="J104" s="1148">
        <v>2000</v>
      </c>
      <c r="K104" s="1420"/>
      <c r="L104" s="1149">
        <f>J104*K104</f>
        <v>0</v>
      </c>
      <c r="M104" s="1150">
        <f>J104-L104</f>
        <v>2000</v>
      </c>
      <c r="N104" s="1190"/>
      <c r="O104" s="1194"/>
      <c r="P104" s="1298" t="s">
        <v>599</v>
      </c>
    </row>
    <row r="105" spans="1:16" ht="12" customHeight="1" x14ac:dyDescent="0.2">
      <c r="A105" s="1190">
        <f>A104+1</f>
        <v>71</v>
      </c>
      <c r="B105" s="1191" t="s">
        <v>334</v>
      </c>
      <c r="C105" s="1226" t="s">
        <v>516</v>
      </c>
      <c r="D105" s="1195" t="s">
        <v>479</v>
      </c>
      <c r="E105" s="1169"/>
      <c r="F105" s="1169"/>
      <c r="G105" s="1170"/>
      <c r="H105" s="1165"/>
      <c r="I105" s="1460"/>
      <c r="J105" s="1164"/>
      <c r="K105" s="1420"/>
      <c r="L105" s="1149">
        <f>J105*K105</f>
        <v>0</v>
      </c>
      <c r="M105" s="1150">
        <f>J105-L105</f>
        <v>0</v>
      </c>
      <c r="N105" s="1190"/>
      <c r="O105" s="1194"/>
      <c r="P105" s="1381"/>
    </row>
    <row r="106" spans="1:16" ht="12" customHeight="1" x14ac:dyDescent="0.2">
      <c r="A106" s="1230"/>
      <c r="B106" s="1231"/>
      <c r="C106" s="1232"/>
      <c r="D106" s="1233" t="s">
        <v>477</v>
      </c>
      <c r="E106" s="1249">
        <f t="shared" ref="E106:J106" si="14">SUM(E104:E105)</f>
        <v>0</v>
      </c>
      <c r="F106" s="1249">
        <f t="shared" si="14"/>
        <v>0</v>
      </c>
      <c r="G106" s="1249">
        <f t="shared" si="14"/>
        <v>0</v>
      </c>
      <c r="H106" s="1236">
        <f t="shared" si="14"/>
        <v>2000</v>
      </c>
      <c r="I106" s="1413">
        <f t="shared" si="14"/>
        <v>2000</v>
      </c>
      <c r="J106" s="1235">
        <f t="shared" si="14"/>
        <v>2000</v>
      </c>
      <c r="K106" s="1425"/>
      <c r="L106" s="1237">
        <f>SUM(L104:L105)</f>
        <v>0</v>
      </c>
      <c r="M106" s="1238">
        <f>SUM(M104:M105)</f>
        <v>2000</v>
      </c>
      <c r="N106" s="1239"/>
      <c r="O106" s="1251"/>
      <c r="P106" s="1381"/>
    </row>
    <row r="107" spans="1:16" ht="12" customHeight="1" x14ac:dyDescent="0.2">
      <c r="A107" s="1190">
        <f>A105+1</f>
        <v>72</v>
      </c>
      <c r="B107" s="1191" t="s">
        <v>334</v>
      </c>
      <c r="C107" s="1226" t="s">
        <v>525</v>
      </c>
      <c r="D107" s="1145" t="s">
        <v>227</v>
      </c>
      <c r="E107" s="1146"/>
      <c r="F107" s="1146"/>
      <c r="G107" s="1147">
        <v>1500</v>
      </c>
      <c r="H107" s="1151">
        <v>1800</v>
      </c>
      <c r="I107" s="1459">
        <v>1800</v>
      </c>
      <c r="J107" s="1148"/>
      <c r="K107" s="1420"/>
      <c r="L107" s="1149">
        <f>J107*K107</f>
        <v>0</v>
      </c>
      <c r="M107" s="1150">
        <f>J107-L107</f>
        <v>0</v>
      </c>
      <c r="N107" s="1190"/>
      <c r="O107" s="1194"/>
      <c r="P107" s="1377"/>
    </row>
    <row r="108" spans="1:16" ht="12" customHeight="1" x14ac:dyDescent="0.2">
      <c r="A108" s="1190">
        <f>A107+1</f>
        <v>73</v>
      </c>
      <c r="B108" s="1191" t="s">
        <v>334</v>
      </c>
      <c r="C108" s="1226" t="s">
        <v>525</v>
      </c>
      <c r="D108" s="1145" t="s">
        <v>660</v>
      </c>
      <c r="E108" s="1446"/>
      <c r="F108" s="1446"/>
      <c r="G108" s="1147"/>
      <c r="H108" s="1151"/>
      <c r="I108" s="1459"/>
      <c r="J108" s="1148">
        <v>5340</v>
      </c>
      <c r="K108" s="1420"/>
      <c r="L108" s="1149">
        <f>J108*K108</f>
        <v>0</v>
      </c>
      <c r="M108" s="1150">
        <f>J108-L108</f>
        <v>5340</v>
      </c>
      <c r="N108" s="1190"/>
      <c r="O108" s="1194"/>
      <c r="P108" s="1377"/>
    </row>
    <row r="109" spans="1:16" ht="12" customHeight="1" x14ac:dyDescent="0.2">
      <c r="A109" s="1230"/>
      <c r="B109" s="1231"/>
      <c r="C109" s="1232"/>
      <c r="D109" s="1233" t="s">
        <v>392</v>
      </c>
      <c r="E109" s="1249">
        <f>SUM(E107)</f>
        <v>0</v>
      </c>
      <c r="F109" s="1249">
        <f>SUM(F107)</f>
        <v>0</v>
      </c>
      <c r="G109" s="1249">
        <f>SUM(G107)</f>
        <v>1500</v>
      </c>
      <c r="H109" s="1222">
        <f>SUM(H107)</f>
        <v>1800</v>
      </c>
      <c r="I109" s="1414">
        <f>SUM(I107:I108)</f>
        <v>1800</v>
      </c>
      <c r="J109" s="1249">
        <f>SUM(J107:J108)</f>
        <v>5340</v>
      </c>
      <c r="K109" s="1425"/>
      <c r="L109" s="1250">
        <f>SUM(L107:L108)</f>
        <v>0</v>
      </c>
      <c r="M109" s="1224">
        <f>SUM(M107:M108)</f>
        <v>5340</v>
      </c>
      <c r="N109" s="1239"/>
      <c r="O109" s="1251"/>
      <c r="P109" s="1377"/>
    </row>
    <row r="110" spans="1:16" ht="12" customHeight="1" x14ac:dyDescent="0.2">
      <c r="A110" s="1190">
        <f>A108+1</f>
        <v>74</v>
      </c>
      <c r="B110" s="1191" t="s">
        <v>334</v>
      </c>
      <c r="C110" s="1226" t="s">
        <v>517</v>
      </c>
      <c r="D110" s="1145"/>
      <c r="E110" s="1146"/>
      <c r="F110" s="1146"/>
      <c r="G110" s="1147"/>
      <c r="H110" s="1151"/>
      <c r="I110" s="1459"/>
      <c r="J110" s="1148"/>
      <c r="K110" s="1420"/>
      <c r="L110" s="1149">
        <f>J110*K110</f>
        <v>0</v>
      </c>
      <c r="M110" s="1150">
        <f>J110-L110</f>
        <v>0</v>
      </c>
      <c r="N110" s="1190"/>
      <c r="O110" s="1194"/>
      <c r="P110" s="1375"/>
    </row>
    <row r="111" spans="1:16" ht="12" customHeight="1" x14ac:dyDescent="0.2">
      <c r="A111" s="1230"/>
      <c r="B111" s="1231"/>
      <c r="C111" s="1232"/>
      <c r="D111" s="1233" t="s">
        <v>480</v>
      </c>
      <c r="E111" s="1249">
        <f t="shared" ref="E111:J111" si="15">SUM(E110)</f>
        <v>0</v>
      </c>
      <c r="F111" s="1249">
        <f t="shared" si="15"/>
        <v>0</v>
      </c>
      <c r="G111" s="1249">
        <f t="shared" si="15"/>
        <v>0</v>
      </c>
      <c r="H111" s="1222">
        <f t="shared" si="15"/>
        <v>0</v>
      </c>
      <c r="I111" s="1414">
        <f t="shared" si="15"/>
        <v>0</v>
      </c>
      <c r="J111" s="1249">
        <f t="shared" si="15"/>
        <v>0</v>
      </c>
      <c r="K111" s="1425"/>
      <c r="L111" s="1250">
        <f>SUM(L110)</f>
        <v>0</v>
      </c>
      <c r="M111" s="1224">
        <f>SUM(M110)</f>
        <v>0</v>
      </c>
      <c r="N111" s="1239"/>
      <c r="O111" s="1251"/>
      <c r="P111" s="1377"/>
    </row>
    <row r="112" spans="1:16" ht="12" customHeight="1" x14ac:dyDescent="0.2">
      <c r="A112" s="1190">
        <f>A110+1</f>
        <v>75</v>
      </c>
      <c r="B112" s="1191" t="s">
        <v>334</v>
      </c>
      <c r="C112" s="1226" t="s">
        <v>526</v>
      </c>
      <c r="D112" s="1145" t="s">
        <v>318</v>
      </c>
      <c r="E112" s="1196"/>
      <c r="F112" s="1196"/>
      <c r="G112" s="1155">
        <v>7516</v>
      </c>
      <c r="H112" s="1151">
        <v>9598</v>
      </c>
      <c r="I112" s="1459">
        <v>9598</v>
      </c>
      <c r="J112" s="1148">
        <v>9848</v>
      </c>
      <c r="K112" s="1420"/>
      <c r="L112" s="1149">
        <f t="shared" ref="L112:L117" si="16">J112*K112</f>
        <v>0</v>
      </c>
      <c r="M112" s="1150">
        <f t="shared" ref="M112:M117" si="17">J112-L112</f>
        <v>9848</v>
      </c>
      <c r="N112" s="1190"/>
      <c r="O112" s="1194"/>
      <c r="P112" s="1377"/>
    </row>
    <row r="113" spans="1:16" ht="12" customHeight="1" x14ac:dyDescent="0.2">
      <c r="A113" s="1190">
        <f>A112+1</f>
        <v>76</v>
      </c>
      <c r="B113" s="1191" t="s">
        <v>334</v>
      </c>
      <c r="C113" s="1226" t="s">
        <v>526</v>
      </c>
      <c r="D113" s="1145" t="s">
        <v>388</v>
      </c>
      <c r="E113" s="1196"/>
      <c r="F113" s="1196"/>
      <c r="G113" s="1155">
        <v>500</v>
      </c>
      <c r="H113" s="1151">
        <v>250</v>
      </c>
      <c r="I113" s="1459">
        <v>250</v>
      </c>
      <c r="J113" s="1148">
        <v>0</v>
      </c>
      <c r="K113" s="1420"/>
      <c r="L113" s="1149">
        <f t="shared" si="16"/>
        <v>0</v>
      </c>
      <c r="M113" s="1150">
        <f t="shared" si="17"/>
        <v>0</v>
      </c>
      <c r="N113" s="1190"/>
      <c r="O113" s="1194"/>
      <c r="P113" s="1377"/>
    </row>
    <row r="114" spans="1:16" ht="12" customHeight="1" x14ac:dyDescent="0.2">
      <c r="A114" s="1190">
        <f>A113+1</f>
        <v>77</v>
      </c>
      <c r="B114" s="1191" t="s">
        <v>334</v>
      </c>
      <c r="C114" s="1226" t="s">
        <v>526</v>
      </c>
      <c r="D114" s="1145" t="s">
        <v>389</v>
      </c>
      <c r="E114" s="1196"/>
      <c r="F114" s="1196"/>
      <c r="G114" s="1155">
        <v>1100</v>
      </c>
      <c r="H114" s="1151">
        <v>800</v>
      </c>
      <c r="I114" s="1459">
        <v>800</v>
      </c>
      <c r="J114" s="1148">
        <v>500</v>
      </c>
      <c r="K114" s="1420"/>
      <c r="L114" s="1149">
        <f t="shared" si="16"/>
        <v>0</v>
      </c>
      <c r="M114" s="1150">
        <f t="shared" si="17"/>
        <v>500</v>
      </c>
      <c r="N114" s="1190"/>
      <c r="O114" s="1194"/>
      <c r="P114" s="1377"/>
    </row>
    <row r="115" spans="1:16" ht="12" customHeight="1" x14ac:dyDescent="0.2">
      <c r="A115" s="1190">
        <f>A114+1</f>
        <v>78</v>
      </c>
      <c r="B115" s="1191" t="s">
        <v>334</v>
      </c>
      <c r="C115" s="1226" t="s">
        <v>526</v>
      </c>
      <c r="D115" s="1145" t="s">
        <v>106</v>
      </c>
      <c r="E115" s="1196"/>
      <c r="F115" s="1196"/>
      <c r="G115" s="1155">
        <v>1000</v>
      </c>
      <c r="H115" s="1151"/>
      <c r="I115" s="1459"/>
      <c r="J115" s="1148"/>
      <c r="K115" s="1420"/>
      <c r="L115" s="1149">
        <f t="shared" si="16"/>
        <v>0</v>
      </c>
      <c r="M115" s="1150">
        <f t="shared" si="17"/>
        <v>0</v>
      </c>
      <c r="N115" s="1190"/>
      <c r="O115" s="1194"/>
      <c r="P115" s="1377"/>
    </row>
    <row r="116" spans="1:16" ht="12" customHeight="1" x14ac:dyDescent="0.2">
      <c r="A116" s="1190">
        <f>A115+1</f>
        <v>79</v>
      </c>
      <c r="B116" s="1191" t="s">
        <v>334</v>
      </c>
      <c r="C116" s="1226" t="s">
        <v>526</v>
      </c>
      <c r="D116" s="1145" t="s">
        <v>390</v>
      </c>
      <c r="E116" s="1196"/>
      <c r="F116" s="1196"/>
      <c r="G116" s="1155">
        <v>600</v>
      </c>
      <c r="H116" s="1151"/>
      <c r="I116" s="1459"/>
      <c r="J116" s="1148"/>
      <c r="K116" s="1420"/>
      <c r="L116" s="1149">
        <f t="shared" si="16"/>
        <v>0</v>
      </c>
      <c r="M116" s="1150">
        <f t="shared" si="17"/>
        <v>0</v>
      </c>
      <c r="N116" s="1190"/>
      <c r="O116" s="1194"/>
      <c r="P116" s="1377"/>
    </row>
    <row r="117" spans="1:16" ht="12" customHeight="1" x14ac:dyDescent="0.2">
      <c r="A117" s="1190">
        <f>A116+1</f>
        <v>80</v>
      </c>
      <c r="B117" s="1191" t="s">
        <v>334</v>
      </c>
      <c r="C117" s="1254" t="s">
        <v>526</v>
      </c>
      <c r="D117" s="1255" t="s">
        <v>391</v>
      </c>
      <c r="E117" s="1196"/>
      <c r="F117" s="1196"/>
      <c r="G117" s="1155">
        <v>250</v>
      </c>
      <c r="H117" s="1151"/>
      <c r="I117" s="1459"/>
      <c r="J117" s="1148"/>
      <c r="K117" s="1420"/>
      <c r="L117" s="1149">
        <f t="shared" si="16"/>
        <v>0</v>
      </c>
      <c r="M117" s="1150">
        <f t="shared" si="17"/>
        <v>0</v>
      </c>
      <c r="N117" s="1256"/>
      <c r="O117" s="1213"/>
      <c r="P117" s="1377"/>
    </row>
    <row r="118" spans="1:16" ht="12" customHeight="1" x14ac:dyDescent="0.2">
      <c r="A118" s="1230"/>
      <c r="B118" s="1231"/>
      <c r="C118" s="1232"/>
      <c r="D118" s="1233" t="s">
        <v>319</v>
      </c>
      <c r="E118" s="1220">
        <v>0</v>
      </c>
      <c r="F118" s="1220">
        <v>11366</v>
      </c>
      <c r="G118" s="1249">
        <f>SUM(G112:G117)</f>
        <v>10966</v>
      </c>
      <c r="H118" s="1222">
        <f>SUM(H112:H117)</f>
        <v>10648</v>
      </c>
      <c r="I118" s="1414">
        <f>SUM(I112:I117)</f>
        <v>10648</v>
      </c>
      <c r="J118" s="1249">
        <f>SUM(J112:J117)</f>
        <v>10348</v>
      </c>
      <c r="K118" s="1425"/>
      <c r="L118" s="1250">
        <f>SUM(L112:L117)</f>
        <v>0</v>
      </c>
      <c r="M118" s="1224">
        <f>SUM(M112:M117)</f>
        <v>10348</v>
      </c>
      <c r="N118" s="1239"/>
      <c r="O118" s="1251"/>
      <c r="P118" s="1377"/>
    </row>
    <row r="119" spans="1:16" ht="12" customHeight="1" x14ac:dyDescent="0.2">
      <c r="A119" s="1190">
        <f>A117+1</f>
        <v>81</v>
      </c>
      <c r="B119" s="1191" t="s">
        <v>334</v>
      </c>
      <c r="C119" s="1226" t="s">
        <v>518</v>
      </c>
      <c r="D119" s="1145" t="s">
        <v>396</v>
      </c>
      <c r="E119" s="1196">
        <v>1400</v>
      </c>
      <c r="F119" s="1196">
        <v>1400</v>
      </c>
      <c r="G119" s="1155">
        <v>1400</v>
      </c>
      <c r="H119" s="1151">
        <v>1400</v>
      </c>
      <c r="I119" s="1459">
        <v>1400</v>
      </c>
      <c r="J119" s="1148">
        <v>1400</v>
      </c>
      <c r="K119" s="1428"/>
      <c r="L119" s="1149">
        <f>J119*K119</f>
        <v>0</v>
      </c>
      <c r="M119" s="1150">
        <f>J119-L119</f>
        <v>1400</v>
      </c>
      <c r="N119" s="1190"/>
      <c r="O119" s="1194"/>
      <c r="P119" s="1375"/>
    </row>
    <row r="120" spans="1:16" ht="12" customHeight="1" x14ac:dyDescent="0.2">
      <c r="A120" s="1230"/>
      <c r="B120" s="1231"/>
      <c r="C120" s="1232"/>
      <c r="D120" s="1233" t="s">
        <v>226</v>
      </c>
      <c r="E120" s="1220">
        <f t="shared" ref="E120:J120" si="18">SUM(E119)</f>
        <v>1400</v>
      </c>
      <c r="F120" s="1220">
        <f t="shared" si="18"/>
        <v>1400</v>
      </c>
      <c r="G120" s="1249">
        <f t="shared" si="18"/>
        <v>1400</v>
      </c>
      <c r="H120" s="1222">
        <f t="shared" si="18"/>
        <v>1400</v>
      </c>
      <c r="I120" s="1414">
        <f t="shared" si="18"/>
        <v>1400</v>
      </c>
      <c r="J120" s="1249">
        <f t="shared" si="18"/>
        <v>1400</v>
      </c>
      <c r="K120" s="1425"/>
      <c r="L120" s="1250">
        <f>SUM(L119)</f>
        <v>0</v>
      </c>
      <c r="M120" s="1224">
        <f>SUM(M119)</f>
        <v>1400</v>
      </c>
      <c r="N120" s="1239"/>
      <c r="O120" s="1251"/>
      <c r="P120" s="1377"/>
    </row>
    <row r="121" spans="1:16" ht="12" customHeight="1" x14ac:dyDescent="0.2">
      <c r="A121" s="1190">
        <f>A119+1</f>
        <v>82</v>
      </c>
      <c r="B121" s="1191" t="s">
        <v>334</v>
      </c>
      <c r="C121" s="1226" t="s">
        <v>519</v>
      </c>
      <c r="D121" s="1195" t="s">
        <v>103</v>
      </c>
      <c r="E121" s="1169">
        <v>1250</v>
      </c>
      <c r="F121" s="1169">
        <v>1000</v>
      </c>
      <c r="G121" s="1170">
        <v>1000</v>
      </c>
      <c r="H121" s="1165">
        <v>0</v>
      </c>
      <c r="I121" s="1460">
        <v>0</v>
      </c>
      <c r="J121" s="1164">
        <v>0</v>
      </c>
      <c r="K121" s="1420"/>
      <c r="L121" s="1149">
        <f>J121*K121</f>
        <v>0</v>
      </c>
      <c r="M121" s="1150">
        <f>J121-L121</f>
        <v>0</v>
      </c>
      <c r="N121" s="1190"/>
      <c r="O121" s="1194"/>
      <c r="P121" s="1377"/>
    </row>
    <row r="122" spans="1:16" ht="12" customHeight="1" x14ac:dyDescent="0.2">
      <c r="A122" s="1230"/>
      <c r="B122" s="1231"/>
      <c r="C122" s="1232"/>
      <c r="D122" s="1233" t="s">
        <v>104</v>
      </c>
      <c r="E122" s="1234">
        <f>SUM(E121)</f>
        <v>1250</v>
      </c>
      <c r="F122" s="1234">
        <f>SUM(F121)</f>
        <v>1000</v>
      </c>
      <c r="G122" s="1235">
        <f>SUM(G121)</f>
        <v>1000</v>
      </c>
      <c r="H122" s="1236">
        <f>SUM(H121:H121)</f>
        <v>0</v>
      </c>
      <c r="I122" s="1413">
        <f>SUM(I121:I121)</f>
        <v>0</v>
      </c>
      <c r="J122" s="1235">
        <f>SUM(J121:J121)</f>
        <v>0</v>
      </c>
      <c r="K122" s="1425"/>
      <c r="L122" s="1250">
        <f>SUM(L121)</f>
        <v>0</v>
      </c>
      <c r="M122" s="1238">
        <f>SUM(M121:M121)</f>
        <v>0</v>
      </c>
      <c r="N122" s="1239"/>
      <c r="O122" s="1251"/>
      <c r="P122" s="1377"/>
    </row>
    <row r="123" spans="1:16" ht="12" customHeight="1" x14ac:dyDescent="0.2">
      <c r="A123" s="1190">
        <f>A121+1</f>
        <v>83</v>
      </c>
      <c r="B123" s="1191" t="s">
        <v>334</v>
      </c>
      <c r="C123" s="1144" t="s">
        <v>521</v>
      </c>
      <c r="D123" s="1145" t="s">
        <v>384</v>
      </c>
      <c r="E123" s="1257">
        <v>450</v>
      </c>
      <c r="F123" s="1257">
        <v>300</v>
      </c>
      <c r="G123" s="1258">
        <v>1100</v>
      </c>
      <c r="H123" s="1467">
        <v>1270</v>
      </c>
      <c r="I123" s="1468">
        <v>1270</v>
      </c>
      <c r="J123" s="1259">
        <v>650</v>
      </c>
      <c r="K123" s="1417">
        <v>1</v>
      </c>
      <c r="L123" s="1149">
        <f>J123*K123</f>
        <v>650</v>
      </c>
      <c r="M123" s="1150">
        <f>J123-L123</f>
        <v>0</v>
      </c>
      <c r="N123" s="1190"/>
      <c r="O123" s="1194"/>
      <c r="P123" s="1298" t="s">
        <v>600</v>
      </c>
    </row>
    <row r="124" spans="1:16" ht="12" customHeight="1" x14ac:dyDescent="0.2">
      <c r="A124" s="1239"/>
      <c r="B124" s="1231"/>
      <c r="C124" s="1232"/>
      <c r="D124" s="1233" t="s">
        <v>135</v>
      </c>
      <c r="E124" s="1220">
        <f>SUM(E123)</f>
        <v>450</v>
      </c>
      <c r="F124" s="1220">
        <f>SUM(F123)</f>
        <v>300</v>
      </c>
      <c r="G124" s="1221">
        <f>SUM(G123:G123)</f>
        <v>1100</v>
      </c>
      <c r="H124" s="1222">
        <f>SUM(H123:H123)</f>
        <v>1270</v>
      </c>
      <c r="I124" s="1412">
        <f>SUM(I123:I123)</f>
        <v>1270</v>
      </c>
      <c r="J124" s="1221">
        <f>SUM(J123:J123)</f>
        <v>650</v>
      </c>
      <c r="K124" s="1425"/>
      <c r="L124" s="1250">
        <f>SUM(L123:L123)</f>
        <v>650</v>
      </c>
      <c r="M124" s="1224">
        <f>SUM(M123:M123)</f>
        <v>0</v>
      </c>
      <c r="N124" s="1239"/>
      <c r="O124" s="1251"/>
      <c r="P124" s="1377"/>
    </row>
    <row r="125" spans="1:16" ht="12" customHeight="1" x14ac:dyDescent="0.2">
      <c r="A125" s="1190">
        <f>A123+1</f>
        <v>84</v>
      </c>
      <c r="B125" s="1191" t="s">
        <v>334</v>
      </c>
      <c r="C125" s="1226" t="s">
        <v>522</v>
      </c>
      <c r="D125" s="1145" t="s">
        <v>69</v>
      </c>
      <c r="E125" s="1169"/>
      <c r="F125" s="1169">
        <v>7250</v>
      </c>
      <c r="G125" s="1170">
        <v>7250</v>
      </c>
      <c r="H125" s="1165">
        <v>7250</v>
      </c>
      <c r="I125" s="1460">
        <v>7250</v>
      </c>
      <c r="J125" s="1164">
        <v>7250</v>
      </c>
      <c r="K125" s="1417">
        <f>$K$5</f>
        <v>0.39</v>
      </c>
      <c r="L125" s="1149">
        <f>J125*K125</f>
        <v>2827.5</v>
      </c>
      <c r="M125" s="1150">
        <f>J125-L125</f>
        <v>4422.5</v>
      </c>
      <c r="N125" s="1190"/>
      <c r="O125" s="1194"/>
      <c r="P125" s="1377"/>
    </row>
    <row r="126" spans="1:16" ht="12" customHeight="1" x14ac:dyDescent="0.2">
      <c r="A126" s="1190">
        <f>A125+1</f>
        <v>85</v>
      </c>
      <c r="B126" s="1191" t="s">
        <v>334</v>
      </c>
      <c r="C126" s="1226" t="s">
        <v>522</v>
      </c>
      <c r="D126" s="1145" t="s">
        <v>305</v>
      </c>
      <c r="E126" s="1162"/>
      <c r="F126" s="1162">
        <v>1000</v>
      </c>
      <c r="G126" s="1163">
        <v>1000</v>
      </c>
      <c r="H126" s="1165">
        <v>1000</v>
      </c>
      <c r="I126" s="1460">
        <v>1150</v>
      </c>
      <c r="J126" s="1164">
        <v>820</v>
      </c>
      <c r="K126" s="1417">
        <f>$K$5</f>
        <v>0.39</v>
      </c>
      <c r="L126" s="1149">
        <f t="shared" ref="L126:L145" si="19">J126*K126</f>
        <v>319.8</v>
      </c>
      <c r="M126" s="1150">
        <f t="shared" ref="M126:M145" si="20">J126-L126</f>
        <v>500.2</v>
      </c>
      <c r="N126" s="1190"/>
      <c r="O126" s="1194"/>
      <c r="P126" s="1377"/>
    </row>
    <row r="127" spans="1:16" ht="12" customHeight="1" x14ac:dyDescent="0.2">
      <c r="A127" s="1190">
        <f t="shared" ref="A127:A145" si="21">A126+1</f>
        <v>86</v>
      </c>
      <c r="B127" s="1191" t="s">
        <v>334</v>
      </c>
      <c r="C127" s="1226" t="s">
        <v>522</v>
      </c>
      <c r="D127" s="1145" t="s">
        <v>306</v>
      </c>
      <c r="E127" s="1260"/>
      <c r="F127" s="1260">
        <v>200</v>
      </c>
      <c r="G127" s="1261">
        <v>650</v>
      </c>
      <c r="H127" s="1471">
        <v>650</v>
      </c>
      <c r="I127" s="1472">
        <v>650</v>
      </c>
      <c r="J127" s="1262">
        <v>650</v>
      </c>
      <c r="K127" s="1417">
        <f>$K$5</f>
        <v>0.39</v>
      </c>
      <c r="L127" s="1149">
        <f t="shared" si="19"/>
        <v>253.5</v>
      </c>
      <c r="M127" s="1150">
        <f t="shared" si="20"/>
        <v>396.5</v>
      </c>
      <c r="N127" s="1190"/>
      <c r="O127" s="1194"/>
      <c r="P127" s="1377"/>
    </row>
    <row r="128" spans="1:16" ht="12" customHeight="1" x14ac:dyDescent="0.2">
      <c r="A128" s="1190">
        <f t="shared" si="21"/>
        <v>87</v>
      </c>
      <c r="B128" s="1191" t="s">
        <v>334</v>
      </c>
      <c r="C128" s="1226" t="s">
        <v>522</v>
      </c>
      <c r="D128" s="1145" t="s">
        <v>661</v>
      </c>
      <c r="E128" s="1263"/>
      <c r="F128" s="1263">
        <v>570</v>
      </c>
      <c r="G128" s="1264">
        <v>570</v>
      </c>
      <c r="H128" s="1471">
        <v>570</v>
      </c>
      <c r="I128" s="1472">
        <v>300</v>
      </c>
      <c r="J128" s="1262">
        <v>300</v>
      </c>
      <c r="K128" s="1420"/>
      <c r="L128" s="1149">
        <f t="shared" si="19"/>
        <v>0</v>
      </c>
      <c r="M128" s="1150">
        <f t="shared" si="20"/>
        <v>300</v>
      </c>
      <c r="N128" s="1190"/>
      <c r="O128" s="1194"/>
      <c r="P128" s="1377"/>
    </row>
    <row r="129" spans="1:16" ht="12" customHeight="1" x14ac:dyDescent="0.2">
      <c r="A129" s="1190">
        <f t="shared" si="21"/>
        <v>88</v>
      </c>
      <c r="B129" s="1191" t="s">
        <v>334</v>
      </c>
      <c r="C129" s="1226" t="s">
        <v>522</v>
      </c>
      <c r="D129" s="1145" t="s">
        <v>307</v>
      </c>
      <c r="E129" s="1162"/>
      <c r="F129" s="1162">
        <v>700</v>
      </c>
      <c r="G129" s="1163">
        <v>700</v>
      </c>
      <c r="H129" s="1165">
        <v>700</v>
      </c>
      <c r="I129" s="1460">
        <v>600</v>
      </c>
      <c r="J129" s="1164">
        <v>0</v>
      </c>
      <c r="K129" s="1417">
        <f>$K$5</f>
        <v>0.39</v>
      </c>
      <c r="L129" s="1149">
        <f t="shared" si="19"/>
        <v>0</v>
      </c>
      <c r="M129" s="1150">
        <f t="shared" si="20"/>
        <v>0</v>
      </c>
      <c r="N129" s="1190"/>
      <c r="O129" s="1194"/>
      <c r="P129" s="1377"/>
    </row>
    <row r="130" spans="1:16" ht="12" customHeight="1" x14ac:dyDescent="0.2">
      <c r="A130" s="1190">
        <f t="shared" si="21"/>
        <v>89</v>
      </c>
      <c r="B130" s="1191" t="s">
        <v>334</v>
      </c>
      <c r="C130" s="1226" t="s">
        <v>522</v>
      </c>
      <c r="D130" s="1145" t="s">
        <v>308</v>
      </c>
      <c r="E130" s="1162"/>
      <c r="F130" s="1162">
        <v>750</v>
      </c>
      <c r="G130" s="1163">
        <v>780</v>
      </c>
      <c r="H130" s="1165">
        <v>830</v>
      </c>
      <c r="I130" s="1460">
        <v>845</v>
      </c>
      <c r="J130" s="1164">
        <v>840</v>
      </c>
      <c r="K130" s="1417">
        <f>$K$5</f>
        <v>0.39</v>
      </c>
      <c r="L130" s="1149">
        <f t="shared" si="19"/>
        <v>327.60000000000002</v>
      </c>
      <c r="M130" s="1150">
        <f t="shared" si="20"/>
        <v>512.4</v>
      </c>
      <c r="N130" s="1190"/>
      <c r="O130" s="1194"/>
      <c r="P130" s="1377"/>
    </row>
    <row r="131" spans="1:16" ht="12" customHeight="1" x14ac:dyDescent="0.2">
      <c r="A131" s="1190">
        <f t="shared" si="21"/>
        <v>90</v>
      </c>
      <c r="B131" s="1191" t="s">
        <v>334</v>
      </c>
      <c r="C131" s="1226" t="s">
        <v>522</v>
      </c>
      <c r="D131" s="1145" t="s">
        <v>309</v>
      </c>
      <c r="E131" s="1162"/>
      <c r="F131" s="1162">
        <v>2900</v>
      </c>
      <c r="G131" s="1163">
        <v>1500</v>
      </c>
      <c r="H131" s="1165">
        <v>2270</v>
      </c>
      <c r="I131" s="1460">
        <v>250</v>
      </c>
      <c r="J131" s="1164">
        <v>1100</v>
      </c>
      <c r="K131" s="1420"/>
      <c r="L131" s="1149">
        <f t="shared" si="19"/>
        <v>0</v>
      </c>
      <c r="M131" s="1150">
        <f t="shared" si="20"/>
        <v>1100</v>
      </c>
      <c r="N131" s="1190"/>
      <c r="O131" s="1194"/>
      <c r="P131" s="1377"/>
    </row>
    <row r="132" spans="1:16" ht="12" customHeight="1" x14ac:dyDescent="0.2">
      <c r="A132" s="1190">
        <f t="shared" si="21"/>
        <v>91</v>
      </c>
      <c r="B132" s="1191" t="s">
        <v>334</v>
      </c>
      <c r="C132" s="1226" t="s">
        <v>522</v>
      </c>
      <c r="D132" s="1145" t="s">
        <v>310</v>
      </c>
      <c r="E132" s="1162"/>
      <c r="F132" s="1162">
        <v>1750</v>
      </c>
      <c r="G132" s="1163">
        <v>6035</v>
      </c>
      <c r="H132" s="1165">
        <v>6800</v>
      </c>
      <c r="I132" s="1460">
        <v>7300</v>
      </c>
      <c r="J132" s="1164">
        <v>7940</v>
      </c>
      <c r="K132" s="1417">
        <f>$K$5</f>
        <v>0.39</v>
      </c>
      <c r="L132" s="1149">
        <f t="shared" si="19"/>
        <v>3096.6</v>
      </c>
      <c r="M132" s="1150">
        <f t="shared" si="20"/>
        <v>4843.3999999999996</v>
      </c>
      <c r="N132" s="1190"/>
      <c r="O132" s="1194"/>
      <c r="P132" s="1377"/>
    </row>
    <row r="133" spans="1:16" ht="12" customHeight="1" x14ac:dyDescent="0.2">
      <c r="A133" s="1190">
        <f t="shared" si="21"/>
        <v>92</v>
      </c>
      <c r="B133" s="1191" t="s">
        <v>334</v>
      </c>
      <c r="C133" s="1226" t="s">
        <v>522</v>
      </c>
      <c r="D133" s="1265" t="s">
        <v>311</v>
      </c>
      <c r="E133" s="1162"/>
      <c r="F133" s="1162">
        <v>7500</v>
      </c>
      <c r="G133" s="1163">
        <v>8520</v>
      </c>
      <c r="H133" s="1165">
        <v>9070</v>
      </c>
      <c r="I133" s="1460">
        <v>9600</v>
      </c>
      <c r="J133" s="1164">
        <v>10220</v>
      </c>
      <c r="K133" s="1417">
        <f>$K$5</f>
        <v>0.39</v>
      </c>
      <c r="L133" s="1149">
        <f t="shared" si="19"/>
        <v>3985.8</v>
      </c>
      <c r="M133" s="1150">
        <f t="shared" si="20"/>
        <v>6234.2</v>
      </c>
      <c r="N133" s="1190"/>
      <c r="O133" s="1194"/>
      <c r="P133" s="1377"/>
    </row>
    <row r="134" spans="1:16" ht="12" customHeight="1" x14ac:dyDescent="0.2">
      <c r="A134" s="1190">
        <f t="shared" si="21"/>
        <v>93</v>
      </c>
      <c r="B134" s="1191" t="s">
        <v>334</v>
      </c>
      <c r="C134" s="1226" t="s">
        <v>522</v>
      </c>
      <c r="D134" s="1195" t="s">
        <v>312</v>
      </c>
      <c r="E134" s="1162"/>
      <c r="F134" s="1162">
        <v>2250</v>
      </c>
      <c r="G134" s="1163">
        <v>900</v>
      </c>
      <c r="H134" s="1165">
        <v>225</v>
      </c>
      <c r="I134" s="1460">
        <v>0</v>
      </c>
      <c r="J134" s="1164"/>
      <c r="K134" s="1417">
        <f>$K$5</f>
        <v>0.39</v>
      </c>
      <c r="L134" s="1149">
        <f t="shared" si="19"/>
        <v>0</v>
      </c>
      <c r="M134" s="1150">
        <f t="shared" si="20"/>
        <v>0</v>
      </c>
      <c r="N134" s="1190"/>
      <c r="O134" s="1194"/>
      <c r="P134" s="1377"/>
    </row>
    <row r="135" spans="1:16" ht="12" customHeight="1" x14ac:dyDescent="0.2">
      <c r="A135" s="1190">
        <f t="shared" si="21"/>
        <v>94</v>
      </c>
      <c r="B135" s="1191" t="s">
        <v>334</v>
      </c>
      <c r="C135" s="1226" t="s">
        <v>522</v>
      </c>
      <c r="D135" s="1195" t="s">
        <v>313</v>
      </c>
      <c r="E135" s="1162"/>
      <c r="F135" s="1162">
        <v>2430</v>
      </c>
      <c r="G135" s="1163">
        <v>3500</v>
      </c>
      <c r="H135" s="1165">
        <v>3200</v>
      </c>
      <c r="I135" s="1460">
        <v>3200</v>
      </c>
      <c r="J135" s="1164">
        <v>3200</v>
      </c>
      <c r="K135" s="1420"/>
      <c r="L135" s="1149">
        <f t="shared" si="19"/>
        <v>0</v>
      </c>
      <c r="M135" s="1150">
        <f t="shared" si="20"/>
        <v>3200</v>
      </c>
      <c r="N135" s="1190"/>
      <c r="O135" s="1194"/>
      <c r="P135" s="1377"/>
    </row>
    <row r="136" spans="1:16" ht="12" customHeight="1" x14ac:dyDescent="0.2">
      <c r="A136" s="1190">
        <f t="shared" si="21"/>
        <v>95</v>
      </c>
      <c r="B136" s="1191" t="s">
        <v>334</v>
      </c>
      <c r="C136" s="1226" t="s">
        <v>522</v>
      </c>
      <c r="D136" s="1195" t="s">
        <v>314</v>
      </c>
      <c r="E136" s="1162"/>
      <c r="F136" s="1162">
        <v>250</v>
      </c>
      <c r="G136" s="1163">
        <v>250</v>
      </c>
      <c r="H136" s="1165">
        <v>150</v>
      </c>
      <c r="I136" s="1460">
        <v>150</v>
      </c>
      <c r="J136" s="1164">
        <v>0</v>
      </c>
      <c r="K136" s="1420"/>
      <c r="L136" s="1149">
        <f t="shared" si="19"/>
        <v>0</v>
      </c>
      <c r="M136" s="1150">
        <f t="shared" si="20"/>
        <v>0</v>
      </c>
      <c r="N136" s="1190"/>
      <c r="O136" s="1194"/>
      <c r="P136" s="1377"/>
    </row>
    <row r="137" spans="1:16" ht="12" customHeight="1" x14ac:dyDescent="0.2">
      <c r="A137" s="1190">
        <f t="shared" si="21"/>
        <v>96</v>
      </c>
      <c r="B137" s="1191" t="s">
        <v>334</v>
      </c>
      <c r="C137" s="1226" t="s">
        <v>522</v>
      </c>
      <c r="D137" s="1195" t="s">
        <v>315</v>
      </c>
      <c r="E137" s="1162"/>
      <c r="F137" s="1162">
        <v>1000</v>
      </c>
      <c r="G137" s="1163">
        <v>1000</v>
      </c>
      <c r="H137" s="1165">
        <v>1000</v>
      </c>
      <c r="I137" s="1460">
        <v>800</v>
      </c>
      <c r="J137" s="1164">
        <v>500</v>
      </c>
      <c r="K137" s="1417">
        <f>$K$5</f>
        <v>0.39</v>
      </c>
      <c r="L137" s="1149">
        <f t="shared" si="19"/>
        <v>195</v>
      </c>
      <c r="M137" s="1150">
        <f t="shared" si="20"/>
        <v>305</v>
      </c>
      <c r="N137" s="1190"/>
      <c r="O137" s="1194"/>
      <c r="P137" s="1377"/>
    </row>
    <row r="138" spans="1:16" ht="12" customHeight="1" x14ac:dyDescent="0.2">
      <c r="A138" s="1190">
        <f t="shared" si="21"/>
        <v>97</v>
      </c>
      <c r="B138" s="1191" t="s">
        <v>334</v>
      </c>
      <c r="C138" s="1226" t="s">
        <v>522</v>
      </c>
      <c r="D138" s="1195" t="s">
        <v>316</v>
      </c>
      <c r="E138" s="1162"/>
      <c r="F138" s="1162">
        <v>250</v>
      </c>
      <c r="G138" s="1163">
        <v>50</v>
      </c>
      <c r="H138" s="1165">
        <v>50</v>
      </c>
      <c r="I138" s="1460">
        <v>50</v>
      </c>
      <c r="J138" s="1164">
        <v>0</v>
      </c>
      <c r="K138" s="1420"/>
      <c r="L138" s="1149">
        <f t="shared" si="19"/>
        <v>0</v>
      </c>
      <c r="M138" s="1150">
        <f t="shared" si="20"/>
        <v>0</v>
      </c>
      <c r="N138" s="1190"/>
      <c r="O138" s="1194"/>
      <c r="P138" s="1377"/>
    </row>
    <row r="139" spans="1:16" ht="12" customHeight="1" x14ac:dyDescent="0.2">
      <c r="A139" s="1190">
        <f t="shared" si="21"/>
        <v>98</v>
      </c>
      <c r="B139" s="1191" t="s">
        <v>334</v>
      </c>
      <c r="C139" s="1226" t="s">
        <v>522</v>
      </c>
      <c r="D139" s="1195" t="s">
        <v>317</v>
      </c>
      <c r="E139" s="1162"/>
      <c r="F139" s="1162">
        <v>1130</v>
      </c>
      <c r="G139" s="1163">
        <v>1000</v>
      </c>
      <c r="H139" s="1165">
        <v>500</v>
      </c>
      <c r="I139" s="1460">
        <v>650</v>
      </c>
      <c r="J139" s="1164">
        <v>650</v>
      </c>
      <c r="K139" s="1420"/>
      <c r="L139" s="1149">
        <f t="shared" si="19"/>
        <v>0</v>
      </c>
      <c r="M139" s="1150">
        <f t="shared" si="20"/>
        <v>650</v>
      </c>
      <c r="N139" s="1190"/>
      <c r="O139" s="1194"/>
      <c r="P139" s="1377"/>
    </row>
    <row r="140" spans="1:16" ht="12" customHeight="1" x14ac:dyDescent="0.2">
      <c r="A140" s="1190">
        <f t="shared" si="21"/>
        <v>99</v>
      </c>
      <c r="B140" s="1191" t="s">
        <v>334</v>
      </c>
      <c r="C140" s="1226" t="s">
        <v>522</v>
      </c>
      <c r="D140" s="1195" t="s">
        <v>387</v>
      </c>
      <c r="E140" s="1162"/>
      <c r="F140" s="1162"/>
      <c r="G140" s="1163">
        <v>-1300</v>
      </c>
      <c r="H140" s="1165"/>
      <c r="I140" s="1460"/>
      <c r="J140" s="1164"/>
      <c r="K140" s="1420"/>
      <c r="L140" s="1149">
        <f t="shared" si="19"/>
        <v>0</v>
      </c>
      <c r="M140" s="1150">
        <f t="shared" si="20"/>
        <v>0</v>
      </c>
      <c r="N140" s="1190"/>
      <c r="O140" s="1194"/>
      <c r="P140" s="1377"/>
    </row>
    <row r="141" spans="1:16" ht="12" customHeight="1" x14ac:dyDescent="0.2">
      <c r="A141" s="1190">
        <f t="shared" si="21"/>
        <v>100</v>
      </c>
      <c r="B141" s="1191" t="s">
        <v>297</v>
      </c>
      <c r="C141" s="1226" t="s">
        <v>628</v>
      </c>
      <c r="D141" s="1195" t="s">
        <v>635</v>
      </c>
      <c r="E141" s="1162"/>
      <c r="F141" s="1162"/>
      <c r="G141" s="1163"/>
      <c r="H141" s="1165"/>
      <c r="I141" s="1460">
        <v>200</v>
      </c>
      <c r="J141" s="1164">
        <v>0</v>
      </c>
      <c r="K141" s="1420"/>
      <c r="L141" s="1149">
        <f t="shared" si="19"/>
        <v>0</v>
      </c>
      <c r="M141" s="1150">
        <f t="shared" si="20"/>
        <v>0</v>
      </c>
      <c r="N141" s="1190"/>
      <c r="O141" s="1194"/>
      <c r="P141" s="1377"/>
    </row>
    <row r="142" spans="1:16" ht="12" customHeight="1" x14ac:dyDescent="0.2">
      <c r="A142" s="1190">
        <f t="shared" si="21"/>
        <v>101</v>
      </c>
      <c r="B142" s="1191" t="s">
        <v>629</v>
      </c>
      <c r="C142" s="1226" t="s">
        <v>630</v>
      </c>
      <c r="D142" s="1195" t="s">
        <v>636</v>
      </c>
      <c r="E142" s="1162"/>
      <c r="F142" s="1162"/>
      <c r="G142" s="1163"/>
      <c r="H142" s="1165"/>
      <c r="I142" s="1460">
        <v>160</v>
      </c>
      <c r="J142" s="1164">
        <v>0</v>
      </c>
      <c r="K142" s="1420"/>
      <c r="L142" s="1149">
        <f t="shared" si="19"/>
        <v>0</v>
      </c>
      <c r="M142" s="1150">
        <f t="shared" si="20"/>
        <v>0</v>
      </c>
      <c r="N142" s="1190"/>
      <c r="O142" s="1194"/>
      <c r="P142" s="1377"/>
    </row>
    <row r="143" spans="1:16" ht="12" customHeight="1" x14ac:dyDescent="0.2">
      <c r="A143" s="1190">
        <f t="shared" si="21"/>
        <v>102</v>
      </c>
      <c r="B143" s="1191" t="s">
        <v>631</v>
      </c>
      <c r="C143" s="1226" t="s">
        <v>632</v>
      </c>
      <c r="D143" s="1195" t="s">
        <v>637</v>
      </c>
      <c r="E143" s="1162"/>
      <c r="F143" s="1162"/>
      <c r="G143" s="1163"/>
      <c r="H143" s="1165"/>
      <c r="I143" s="1460">
        <v>1000</v>
      </c>
      <c r="J143" s="1164">
        <v>600</v>
      </c>
      <c r="K143" s="1420"/>
      <c r="L143" s="1149">
        <f t="shared" si="19"/>
        <v>0</v>
      </c>
      <c r="M143" s="1150">
        <f t="shared" si="20"/>
        <v>600</v>
      </c>
      <c r="N143" s="1190"/>
      <c r="O143" s="1194"/>
      <c r="P143" s="1377"/>
    </row>
    <row r="144" spans="1:16" ht="12" customHeight="1" x14ac:dyDescent="0.2">
      <c r="A144" s="1190">
        <f t="shared" si="21"/>
        <v>103</v>
      </c>
      <c r="B144" s="1191" t="s">
        <v>633</v>
      </c>
      <c r="C144" s="1226" t="s">
        <v>634</v>
      </c>
      <c r="D144" s="1195" t="s">
        <v>638</v>
      </c>
      <c r="E144" s="1162"/>
      <c r="F144" s="1162"/>
      <c r="G144" s="1163"/>
      <c r="H144" s="1165"/>
      <c r="I144" s="1460">
        <v>0</v>
      </c>
      <c r="J144" s="1164">
        <v>1500</v>
      </c>
      <c r="K144" s="1420"/>
      <c r="L144" s="1149">
        <f t="shared" si="19"/>
        <v>0</v>
      </c>
      <c r="M144" s="1150">
        <f t="shared" si="20"/>
        <v>1500</v>
      </c>
      <c r="N144" s="1190"/>
      <c r="O144" s="1194"/>
      <c r="P144" s="1377"/>
    </row>
    <row r="145" spans="1:16" ht="12" customHeight="1" x14ac:dyDescent="0.2">
      <c r="A145" s="1190">
        <f t="shared" si="21"/>
        <v>104</v>
      </c>
      <c r="B145" s="1191" t="s">
        <v>334</v>
      </c>
      <c r="C145" s="1226" t="s">
        <v>522</v>
      </c>
      <c r="D145" s="1195" t="s">
        <v>464</v>
      </c>
      <c r="E145" s="1162"/>
      <c r="F145" s="1162"/>
      <c r="G145" s="1163"/>
      <c r="H145" s="1165">
        <v>3400</v>
      </c>
      <c r="I145" s="1460">
        <v>3500</v>
      </c>
      <c r="J145" s="1164">
        <v>3500</v>
      </c>
      <c r="K145" s="1420"/>
      <c r="L145" s="1149">
        <f t="shared" si="19"/>
        <v>0</v>
      </c>
      <c r="M145" s="1150">
        <f t="shared" si="20"/>
        <v>3500</v>
      </c>
      <c r="N145" s="1190"/>
      <c r="O145" s="1194"/>
      <c r="P145" s="1298" t="s">
        <v>601</v>
      </c>
    </row>
    <row r="146" spans="1:16" ht="12" customHeight="1" x14ac:dyDescent="0.2">
      <c r="A146" s="1230"/>
      <c r="B146" s="1231"/>
      <c r="C146" s="1232"/>
      <c r="D146" s="1233" t="s">
        <v>80</v>
      </c>
      <c r="E146" s="1220">
        <v>13383</v>
      </c>
      <c r="F146" s="1220">
        <f>SUM(F125:F145)</f>
        <v>29930</v>
      </c>
      <c r="G146" s="1249">
        <f>SUM(G125:G145)</f>
        <v>32405</v>
      </c>
      <c r="H146" s="1222">
        <f>SUM(H125:H145)</f>
        <v>37665</v>
      </c>
      <c r="I146" s="1414">
        <f>SUM(I125:I145)</f>
        <v>37655</v>
      </c>
      <c r="J146" s="1249">
        <f>SUM(J125:J145)</f>
        <v>39070</v>
      </c>
      <c r="K146" s="1425"/>
      <c r="L146" s="1250">
        <f>SUM(L125:L145)</f>
        <v>11005.8</v>
      </c>
      <c r="M146" s="1224">
        <f>SUM(M125:M145)</f>
        <v>28064.2</v>
      </c>
      <c r="N146" s="1239"/>
      <c r="O146" s="1251"/>
      <c r="P146" s="1377"/>
    </row>
    <row r="147" spans="1:16" ht="12" customHeight="1" x14ac:dyDescent="0.2">
      <c r="A147" s="1190">
        <f>A145+1</f>
        <v>105</v>
      </c>
      <c r="B147" s="1191" t="s">
        <v>334</v>
      </c>
      <c r="C147" s="1226" t="s">
        <v>524</v>
      </c>
      <c r="D147" s="1145" t="s">
        <v>393</v>
      </c>
      <c r="E147" s="1252">
        <v>0</v>
      </c>
      <c r="F147" s="1252">
        <v>300</v>
      </c>
      <c r="G147" s="1147">
        <v>200</v>
      </c>
      <c r="H147" s="1165">
        <v>200</v>
      </c>
      <c r="I147" s="1460">
        <v>230</v>
      </c>
      <c r="J147" s="1164">
        <v>0</v>
      </c>
      <c r="K147" s="1420"/>
      <c r="L147" s="1149">
        <f>J147*K147</f>
        <v>0</v>
      </c>
      <c r="M147" s="1150">
        <f>J147-L147</f>
        <v>0</v>
      </c>
      <c r="N147" s="1190"/>
      <c r="O147" s="1194"/>
      <c r="P147" s="1375"/>
    </row>
    <row r="148" spans="1:16" s="1300" customFormat="1" ht="12" customHeight="1" thickBot="1" x14ac:dyDescent="0.25">
      <c r="A148" s="1230"/>
      <c r="B148" s="1231"/>
      <c r="C148" s="1232"/>
      <c r="D148" s="1233" t="s">
        <v>394</v>
      </c>
      <c r="E148" s="1220">
        <f t="shared" ref="E148:J148" si="22">E147</f>
        <v>0</v>
      </c>
      <c r="F148" s="1220">
        <f t="shared" si="22"/>
        <v>300</v>
      </c>
      <c r="G148" s="1249">
        <f t="shared" si="22"/>
        <v>200</v>
      </c>
      <c r="H148" s="1222">
        <f t="shared" si="22"/>
        <v>200</v>
      </c>
      <c r="I148" s="1414">
        <f t="shared" si="22"/>
        <v>230</v>
      </c>
      <c r="J148" s="1249">
        <f t="shared" si="22"/>
        <v>0</v>
      </c>
      <c r="K148" s="1425"/>
      <c r="L148" s="1250">
        <f>SUM(L147)</f>
        <v>0</v>
      </c>
      <c r="M148" s="1224">
        <f>M147</f>
        <v>0</v>
      </c>
      <c r="N148" s="1239"/>
      <c r="O148" s="1251"/>
      <c r="P148" s="1377"/>
    </row>
    <row r="149" spans="1:16" ht="12" customHeight="1" thickBot="1" x14ac:dyDescent="0.25">
      <c r="A149" s="1179" t="s">
        <v>515</v>
      </c>
      <c r="B149" s="1180" t="s">
        <v>297</v>
      </c>
      <c r="C149" s="1181" t="s">
        <v>16</v>
      </c>
      <c r="D149" s="1266" t="s">
        <v>598</v>
      </c>
      <c r="E149" s="1267">
        <f t="shared" ref="E149:J149" si="23">SUM(E150:E161)</f>
        <v>185221</v>
      </c>
      <c r="F149" s="1267">
        <f t="shared" si="23"/>
        <v>189078</v>
      </c>
      <c r="G149" s="1268">
        <f t="shared" si="23"/>
        <v>202047</v>
      </c>
      <c r="H149" s="1269">
        <f t="shared" si="23"/>
        <v>211471</v>
      </c>
      <c r="I149" s="1415">
        <f t="shared" si="23"/>
        <v>210974</v>
      </c>
      <c r="J149" s="1268">
        <f t="shared" si="23"/>
        <v>215300</v>
      </c>
      <c r="K149" s="1429"/>
      <c r="L149" s="1270">
        <f>SUM(L150:L161)</f>
        <v>80345.850000000006</v>
      </c>
      <c r="M149" s="1271">
        <f>SUM(M150:M161)</f>
        <v>134954.15</v>
      </c>
      <c r="N149" s="1272"/>
      <c r="O149" s="1271"/>
      <c r="P149" s="1393">
        <v>1</v>
      </c>
    </row>
    <row r="150" spans="1:16" ht="12" customHeight="1" x14ac:dyDescent="0.2">
      <c r="A150" s="1190">
        <f>A147+1</f>
        <v>106</v>
      </c>
      <c r="B150" s="1273" t="s">
        <v>297</v>
      </c>
      <c r="C150" s="1274" t="s">
        <v>516</v>
      </c>
      <c r="D150" s="1244" t="s">
        <v>535</v>
      </c>
      <c r="E150" s="1275"/>
      <c r="F150" s="1275"/>
      <c r="G150" s="1276"/>
      <c r="H150" s="1473"/>
      <c r="I150" s="1474"/>
      <c r="J150" s="1277"/>
      <c r="K150" s="1420"/>
      <c r="L150" s="1149">
        <f>J150*K150</f>
        <v>0</v>
      </c>
      <c r="M150" s="1150">
        <f>J150-L150</f>
        <v>0</v>
      </c>
      <c r="N150" s="1278"/>
      <c r="O150" s="1150"/>
      <c r="P150" s="1394"/>
    </row>
    <row r="151" spans="1:16" ht="12" customHeight="1" x14ac:dyDescent="0.2">
      <c r="A151" s="1279">
        <f>A150+1</f>
        <v>107</v>
      </c>
      <c r="B151" s="1273" t="s">
        <v>297</v>
      </c>
      <c r="C151" s="1226" t="s">
        <v>525</v>
      </c>
      <c r="D151" s="1244" t="s">
        <v>536</v>
      </c>
      <c r="E151" s="1275"/>
      <c r="F151" s="1275"/>
      <c r="G151" s="1276"/>
      <c r="H151" s="1473"/>
      <c r="I151" s="1474"/>
      <c r="J151" s="1277"/>
      <c r="K151" s="1420"/>
      <c r="L151" s="1149">
        <f t="shared" ref="L151:L160" si="24">J151*K151</f>
        <v>0</v>
      </c>
      <c r="M151" s="1150">
        <f t="shared" ref="M151:M161" si="25">J151-L151</f>
        <v>0</v>
      </c>
      <c r="N151" s="1278"/>
      <c r="O151" s="1150"/>
      <c r="P151" s="1394"/>
    </row>
    <row r="152" spans="1:16" ht="12" customHeight="1" x14ac:dyDescent="0.2">
      <c r="A152" s="1279">
        <f t="shared" ref="A152:A161" si="26">A151+1</f>
        <v>108</v>
      </c>
      <c r="B152" s="1273" t="s">
        <v>297</v>
      </c>
      <c r="C152" s="1226" t="s">
        <v>517</v>
      </c>
      <c r="D152" s="1244" t="s">
        <v>537</v>
      </c>
      <c r="E152" s="1275"/>
      <c r="F152" s="1275"/>
      <c r="G152" s="1276"/>
      <c r="H152" s="1473"/>
      <c r="I152" s="1474"/>
      <c r="J152" s="1277"/>
      <c r="K152" s="1420"/>
      <c r="L152" s="1149">
        <f t="shared" si="24"/>
        <v>0</v>
      </c>
      <c r="M152" s="1150">
        <f t="shared" si="25"/>
        <v>0</v>
      </c>
      <c r="N152" s="1278"/>
      <c r="O152" s="1150"/>
      <c r="P152" s="1394"/>
    </row>
    <row r="153" spans="1:16" ht="12" customHeight="1" x14ac:dyDescent="0.2">
      <c r="A153" s="1279">
        <f t="shared" si="26"/>
        <v>109</v>
      </c>
      <c r="B153" s="1280" t="s">
        <v>297</v>
      </c>
      <c r="C153" s="1254" t="s">
        <v>526</v>
      </c>
      <c r="D153" s="1195" t="s">
        <v>538</v>
      </c>
      <c r="E153" s="1281"/>
      <c r="F153" s="1281"/>
      <c r="G153" s="1282"/>
      <c r="H153" s="1151"/>
      <c r="I153" s="1459"/>
      <c r="J153" s="1283"/>
      <c r="K153" s="1420"/>
      <c r="L153" s="1149">
        <f t="shared" si="24"/>
        <v>0</v>
      </c>
      <c r="M153" s="1150">
        <f t="shared" si="25"/>
        <v>0</v>
      </c>
      <c r="N153" s="1284"/>
      <c r="O153" s="1150"/>
      <c r="P153" s="1394"/>
    </row>
    <row r="154" spans="1:16" ht="12" customHeight="1" x14ac:dyDescent="0.2">
      <c r="A154" s="1279">
        <f t="shared" si="26"/>
        <v>110</v>
      </c>
      <c r="B154" s="1280" t="s">
        <v>297</v>
      </c>
      <c r="C154" s="1285" t="s">
        <v>518</v>
      </c>
      <c r="D154" s="1195" t="s">
        <v>534</v>
      </c>
      <c r="E154" s="1154">
        <v>7340</v>
      </c>
      <c r="F154" s="1154">
        <v>8006</v>
      </c>
      <c r="G154" s="1155">
        <v>6700</v>
      </c>
      <c r="H154" s="1151">
        <v>6700</v>
      </c>
      <c r="I154" s="1459">
        <v>6700</v>
      </c>
      <c r="J154" s="1148">
        <v>4559</v>
      </c>
      <c r="K154" s="1420"/>
      <c r="L154" s="1149">
        <f t="shared" si="24"/>
        <v>0</v>
      </c>
      <c r="M154" s="1150">
        <f t="shared" si="25"/>
        <v>4559</v>
      </c>
      <c r="N154" s="1287"/>
      <c r="O154" s="1150"/>
      <c r="P154" s="1393">
        <f>I154/G154-1</f>
        <v>0</v>
      </c>
    </row>
    <row r="155" spans="1:16" ht="12" customHeight="1" x14ac:dyDescent="0.2">
      <c r="A155" s="1279">
        <f t="shared" si="26"/>
        <v>111</v>
      </c>
      <c r="B155" s="1280" t="s">
        <v>297</v>
      </c>
      <c r="C155" s="1226" t="s">
        <v>519</v>
      </c>
      <c r="D155" s="1195" t="s">
        <v>539</v>
      </c>
      <c r="E155" s="1154">
        <v>1687</v>
      </c>
      <c r="F155" s="1154">
        <v>1300</v>
      </c>
      <c r="G155" s="1147">
        <v>1300</v>
      </c>
      <c r="H155" s="1151">
        <v>3000</v>
      </c>
      <c r="I155" s="1459">
        <v>3000</v>
      </c>
      <c r="J155" s="1148">
        <v>3000</v>
      </c>
      <c r="K155" s="1420"/>
      <c r="L155" s="1149">
        <f t="shared" si="24"/>
        <v>0</v>
      </c>
      <c r="M155" s="1150">
        <f t="shared" si="25"/>
        <v>3000</v>
      </c>
      <c r="N155" s="1287"/>
      <c r="O155" s="1150"/>
      <c r="P155" s="1393">
        <f>I155/G155-1</f>
        <v>1.3076923076923075</v>
      </c>
    </row>
    <row r="156" spans="1:16" ht="12" customHeight="1" x14ac:dyDescent="0.2">
      <c r="A156" s="1279">
        <f t="shared" si="26"/>
        <v>112</v>
      </c>
      <c r="B156" s="1280" t="s">
        <v>297</v>
      </c>
      <c r="C156" s="1285" t="s">
        <v>520</v>
      </c>
      <c r="D156" s="1195" t="s">
        <v>540</v>
      </c>
      <c r="E156" s="1154"/>
      <c r="F156" s="1154"/>
      <c r="G156" s="1155"/>
      <c r="H156" s="1151"/>
      <c r="I156" s="1459"/>
      <c r="J156" s="1148"/>
      <c r="K156" s="1420"/>
      <c r="L156" s="1149">
        <f t="shared" si="24"/>
        <v>0</v>
      </c>
      <c r="M156" s="1150">
        <f t="shared" si="25"/>
        <v>0</v>
      </c>
      <c r="N156" s="1284"/>
      <c r="O156" s="1150"/>
      <c r="P156" s="1394"/>
    </row>
    <row r="157" spans="1:16" ht="12" customHeight="1" x14ac:dyDescent="0.2">
      <c r="A157" s="1279">
        <f t="shared" si="26"/>
        <v>113</v>
      </c>
      <c r="B157" s="1280" t="s">
        <v>297</v>
      </c>
      <c r="C157" s="1285" t="s">
        <v>521</v>
      </c>
      <c r="D157" s="1195" t="s">
        <v>541</v>
      </c>
      <c r="E157" s="1154">
        <v>2700</v>
      </c>
      <c r="F157" s="1154">
        <v>800</v>
      </c>
      <c r="G157" s="1155">
        <v>800</v>
      </c>
      <c r="H157" s="1151">
        <f>7724</f>
        <v>7724</v>
      </c>
      <c r="I157" s="1459">
        <f>7724</f>
        <v>7724</v>
      </c>
      <c r="J157" s="1148">
        <v>7724</v>
      </c>
      <c r="K157" s="1417">
        <f>$K$5*2</f>
        <v>0.78</v>
      </c>
      <c r="L157" s="1149">
        <f t="shared" si="24"/>
        <v>6024.72</v>
      </c>
      <c r="M157" s="1150">
        <f t="shared" si="25"/>
        <v>1699.2799999999997</v>
      </c>
      <c r="N157" s="1284"/>
      <c r="O157" s="1150"/>
      <c r="P157" s="1393">
        <f>I157/G157-1</f>
        <v>8.6549999999999994</v>
      </c>
    </row>
    <row r="158" spans="1:16" ht="12" customHeight="1" x14ac:dyDescent="0.2">
      <c r="A158" s="1279">
        <f t="shared" si="26"/>
        <v>114</v>
      </c>
      <c r="B158" s="1280" t="s">
        <v>297</v>
      </c>
      <c r="C158" s="1226" t="s">
        <v>522</v>
      </c>
      <c r="D158" s="1195" t="s">
        <v>542</v>
      </c>
      <c r="E158" s="1154">
        <v>93350</v>
      </c>
      <c r="F158" s="1154">
        <v>96197</v>
      </c>
      <c r="G158" s="1147">
        <v>96197</v>
      </c>
      <c r="H158" s="1151">
        <v>96997</v>
      </c>
      <c r="I158" s="1459">
        <v>96500</v>
      </c>
      <c r="J158" s="1148">
        <v>96197</v>
      </c>
      <c r="K158" s="1417">
        <f>$K$5</f>
        <v>0.39</v>
      </c>
      <c r="L158" s="1149">
        <f t="shared" si="24"/>
        <v>37516.83</v>
      </c>
      <c r="M158" s="1150">
        <f t="shared" si="25"/>
        <v>58680.17</v>
      </c>
      <c r="N158" s="1284"/>
      <c r="O158" s="1150"/>
      <c r="P158" s="1393">
        <f>I158/G158-1</f>
        <v>3.149786375874486E-3</v>
      </c>
    </row>
    <row r="159" spans="1:16" ht="12" customHeight="1" x14ac:dyDescent="0.2">
      <c r="A159" s="1279">
        <f t="shared" si="26"/>
        <v>115</v>
      </c>
      <c r="B159" s="1280" t="s">
        <v>297</v>
      </c>
      <c r="C159" s="1285" t="s">
        <v>523</v>
      </c>
      <c r="D159" s="1195" t="s">
        <v>543</v>
      </c>
      <c r="E159" s="1154"/>
      <c r="F159" s="1154"/>
      <c r="G159" s="1155"/>
      <c r="H159" s="1151"/>
      <c r="I159" s="1459"/>
      <c r="J159" s="1286"/>
      <c r="K159" s="1420"/>
      <c r="L159" s="1149">
        <f t="shared" si="24"/>
        <v>0</v>
      </c>
      <c r="M159" s="1150">
        <f t="shared" si="25"/>
        <v>0</v>
      </c>
      <c r="N159" s="1284"/>
      <c r="O159" s="1150"/>
      <c r="P159" s="1394"/>
    </row>
    <row r="160" spans="1:16" ht="12" customHeight="1" x14ac:dyDescent="0.2">
      <c r="A160" s="1279">
        <f t="shared" si="26"/>
        <v>116</v>
      </c>
      <c r="B160" s="1280" t="s">
        <v>297</v>
      </c>
      <c r="C160" s="1226" t="s">
        <v>524</v>
      </c>
      <c r="D160" s="1195" t="s">
        <v>544</v>
      </c>
      <c r="E160" s="1154">
        <v>7278</v>
      </c>
      <c r="F160" s="1154">
        <v>8000</v>
      </c>
      <c r="G160" s="1147">
        <v>9450</v>
      </c>
      <c r="H160" s="1151">
        <f>G160*$P$149</f>
        <v>9450</v>
      </c>
      <c r="I160" s="1459">
        <f>H160*$P$149</f>
        <v>9450</v>
      </c>
      <c r="J160" s="1148">
        <v>9450</v>
      </c>
      <c r="K160" s="1420"/>
      <c r="L160" s="1149">
        <f t="shared" si="24"/>
        <v>0</v>
      </c>
      <c r="M160" s="1150">
        <f t="shared" si="25"/>
        <v>9450</v>
      </c>
      <c r="N160" s="1287"/>
      <c r="O160" s="1150"/>
      <c r="P160" s="1393">
        <f>I160/G160-1</f>
        <v>0</v>
      </c>
    </row>
    <row r="161" spans="1:16" ht="12" customHeight="1" thickBot="1" x14ac:dyDescent="0.25">
      <c r="A161" s="1279">
        <f t="shared" si="26"/>
        <v>117</v>
      </c>
      <c r="B161" s="1289" t="s">
        <v>297</v>
      </c>
      <c r="C161" s="1290" t="s">
        <v>514</v>
      </c>
      <c r="D161" s="1291" t="s">
        <v>545</v>
      </c>
      <c r="E161" s="1292">
        <v>72866</v>
      </c>
      <c r="F161" s="1292">
        <v>74775</v>
      </c>
      <c r="G161" s="1293">
        <v>87600</v>
      </c>
      <c r="H161" s="1463">
        <f>G161*$P$149</f>
        <v>87600</v>
      </c>
      <c r="I161" s="1464">
        <v>87600</v>
      </c>
      <c r="J161" s="1294">
        <v>94370</v>
      </c>
      <c r="K161" s="1417">
        <f>$K$5</f>
        <v>0.39</v>
      </c>
      <c r="L161" s="1295">
        <f>J161*K161</f>
        <v>36804.300000000003</v>
      </c>
      <c r="M161" s="1296">
        <f t="shared" si="25"/>
        <v>57565.7</v>
      </c>
      <c r="N161" s="1297"/>
      <c r="O161" s="1296"/>
      <c r="P161" s="1393">
        <f>I161/G161-1</f>
        <v>0</v>
      </c>
    </row>
    <row r="162" spans="1:16" ht="12" customHeight="1" thickBot="1" x14ac:dyDescent="0.25">
      <c r="A162" s="1302"/>
      <c r="B162" s="1302"/>
      <c r="C162" s="1303"/>
      <c r="D162" s="1304"/>
      <c r="E162" s="1305"/>
      <c r="F162" s="1305"/>
      <c r="G162" s="1305"/>
      <c r="H162" s="1305"/>
      <c r="I162" s="1305"/>
      <c r="J162" s="1305"/>
      <c r="K162" s="1306"/>
      <c r="L162" s="1307"/>
      <c r="M162" s="1307"/>
      <c r="N162" s="1308"/>
      <c r="O162" s="1309"/>
      <c r="P162" s="1288"/>
    </row>
    <row r="163" spans="1:16" ht="12" customHeight="1" thickBot="1" x14ac:dyDescent="0.25">
      <c r="A163" s="1382"/>
      <c r="B163" s="1383"/>
      <c r="C163" s="1384" t="s">
        <v>16</v>
      </c>
      <c r="D163" s="1384" t="s">
        <v>578</v>
      </c>
      <c r="E163" s="1365">
        <f t="shared" ref="E163:J163" si="27">E27+E6</f>
        <v>382602</v>
      </c>
      <c r="F163" s="1365">
        <f t="shared" si="27"/>
        <v>365803</v>
      </c>
      <c r="G163" s="1365">
        <f t="shared" si="27"/>
        <v>343940</v>
      </c>
      <c r="H163" s="1365">
        <f t="shared" si="27"/>
        <v>344243</v>
      </c>
      <c r="I163" s="1365">
        <f t="shared" si="27"/>
        <v>287888</v>
      </c>
      <c r="J163" s="1433">
        <f t="shared" si="27"/>
        <v>293158</v>
      </c>
      <c r="K163" s="1432"/>
      <c r="L163" s="1365">
        <f>L27+L6</f>
        <v>19115.27</v>
      </c>
      <c r="M163" s="1365">
        <f>M27+M6</f>
        <v>274042.73</v>
      </c>
      <c r="N163" s="1311"/>
      <c r="O163" s="1090"/>
      <c r="P163" s="1090"/>
    </row>
    <row r="164" spans="1:16" ht="12" customHeight="1" thickBot="1" x14ac:dyDescent="0.25">
      <c r="A164" s="1313"/>
      <c r="B164" s="1313"/>
      <c r="C164" s="1314"/>
      <c r="D164" s="1315"/>
      <c r="E164" s="1316"/>
      <c r="F164" s="1316"/>
      <c r="G164" s="1316"/>
      <c r="H164" s="1316"/>
      <c r="I164" s="1316"/>
      <c r="J164" s="1316"/>
      <c r="K164" s="1317"/>
      <c r="L164" s="1318"/>
      <c r="M164" s="1318"/>
      <c r="N164" s="1311"/>
      <c r="O164" s="1090"/>
      <c r="P164" s="1090"/>
    </row>
    <row r="165" spans="1:16" ht="12" customHeight="1" thickBot="1" x14ac:dyDescent="0.25">
      <c r="A165" s="1382"/>
      <c r="B165" s="1383"/>
      <c r="C165" s="1384" t="s">
        <v>16</v>
      </c>
      <c r="D165" s="1384" t="s">
        <v>191</v>
      </c>
      <c r="E165" s="1310">
        <f t="shared" ref="E165:J165" si="28">E149+E27</f>
        <v>322136</v>
      </c>
      <c r="F165" s="1310">
        <f t="shared" si="28"/>
        <v>345916</v>
      </c>
      <c r="G165" s="1310">
        <f t="shared" si="28"/>
        <v>360977</v>
      </c>
      <c r="H165" s="1310">
        <f t="shared" si="28"/>
        <v>402820</v>
      </c>
      <c r="I165" s="1365">
        <f t="shared" si="28"/>
        <v>403806</v>
      </c>
      <c r="J165" s="1433">
        <f t="shared" si="28"/>
        <v>417126</v>
      </c>
      <c r="K165" s="1432"/>
      <c r="L165" s="1365">
        <f>L149+L27</f>
        <v>99344.12000000001</v>
      </c>
      <c r="M165" s="1365">
        <f>M149+M27</f>
        <v>317781.88</v>
      </c>
      <c r="N165" s="1311"/>
      <c r="O165" s="1090"/>
      <c r="P165" s="1090"/>
    </row>
    <row r="166" spans="1:16" ht="12" customHeight="1" thickBot="1" x14ac:dyDescent="0.25">
      <c r="A166" s="1313"/>
      <c r="B166" s="1313"/>
      <c r="C166" s="1314"/>
      <c r="D166" s="1315"/>
      <c r="E166" s="1316"/>
      <c r="F166" s="1316"/>
      <c r="G166" s="1316"/>
      <c r="H166" s="1316"/>
      <c r="I166" s="1316"/>
      <c r="J166" s="1316"/>
      <c r="K166" s="1317"/>
      <c r="L166" s="1318"/>
      <c r="M166" s="1318"/>
      <c r="N166" s="1311"/>
      <c r="O166" s="1090"/>
      <c r="P166" s="1090"/>
    </row>
    <row r="167" spans="1:16" ht="12" customHeight="1" thickBot="1" x14ac:dyDescent="0.25">
      <c r="A167" s="1382"/>
      <c r="B167" s="1383"/>
      <c r="C167" s="1384" t="s">
        <v>16</v>
      </c>
      <c r="D167" s="1384" t="s">
        <v>192</v>
      </c>
      <c r="E167" s="1310">
        <f t="shared" ref="E167:J167" si="29">E6+E27+E149</f>
        <v>567823</v>
      </c>
      <c r="F167" s="1310">
        <f t="shared" si="29"/>
        <v>554881</v>
      </c>
      <c r="G167" s="1310">
        <f t="shared" si="29"/>
        <v>545987</v>
      </c>
      <c r="H167" s="1310">
        <f t="shared" si="29"/>
        <v>555714</v>
      </c>
      <c r="I167" s="1365">
        <f t="shared" si="29"/>
        <v>498862</v>
      </c>
      <c r="J167" s="1433">
        <f t="shared" si="29"/>
        <v>508458</v>
      </c>
      <c r="K167" s="1432"/>
      <c r="L167" s="1365">
        <f>L6+L27+L149</f>
        <v>99461.12000000001</v>
      </c>
      <c r="M167" s="1365">
        <f>M6+M27+M149</f>
        <v>408996.88</v>
      </c>
      <c r="N167" s="1311"/>
      <c r="O167" s="1090"/>
      <c r="P167" s="1090"/>
    </row>
    <row r="168" spans="1:16" ht="12" customHeight="1" x14ac:dyDescent="0.2">
      <c r="A168" s="1319"/>
      <c r="B168" s="1319"/>
      <c r="C168" s="1320"/>
      <c r="D168" s="1321" t="s">
        <v>510</v>
      </c>
      <c r="E168" s="1322"/>
      <c r="F168" s="1322">
        <f>F167/E167-100%</f>
        <v>-2.2792313802012298E-2</v>
      </c>
      <c r="G168" s="1322">
        <f>G167/F167-100%</f>
        <v>-1.6028662001402072E-2</v>
      </c>
      <c r="I168" s="1322">
        <f>I167/H167-100%</f>
        <v>-0.1023044227786235</v>
      </c>
      <c r="J168" s="1322">
        <f>J167/I167-100%</f>
        <v>1.923578063672915E-2</v>
      </c>
      <c r="K168" s="1324"/>
      <c r="L168" s="1325"/>
      <c r="M168" s="1325">
        <f>J167-L167-M167</f>
        <v>0</v>
      </c>
      <c r="N168" s="1311"/>
      <c r="O168" s="1312"/>
    </row>
    <row r="169" spans="1:16" s="1104" customFormat="1" ht="12" customHeight="1" x14ac:dyDescent="0.2">
      <c r="A169" s="1319"/>
      <c r="B169" s="1319"/>
      <c r="C169" s="1320"/>
      <c r="D169" s="1326"/>
      <c r="E169" s="1327"/>
      <c r="F169" s="1327">
        <f>F167-E167</f>
        <v>-12942</v>
      </c>
      <c r="G169" s="1327">
        <f>G167-F167</f>
        <v>-8894</v>
      </c>
      <c r="H169" s="1328"/>
      <c r="I169" s="1327">
        <f>I167-H167</f>
        <v>-56852</v>
      </c>
      <c r="J169" s="1327">
        <f>J167-I167</f>
        <v>9596</v>
      </c>
      <c r="K169" s="1317"/>
      <c r="M169" s="1318"/>
      <c r="N169" s="1319"/>
      <c r="O169" s="1329"/>
      <c r="P169" s="1096"/>
    </row>
    <row r="170" spans="1:16" ht="12" customHeight="1" thickBot="1" x14ac:dyDescent="0.25">
      <c r="A170" s="1319"/>
      <c r="B170" s="1330" t="s">
        <v>564</v>
      </c>
      <c r="C170" s="1320"/>
      <c r="D170" s="1331"/>
      <c r="H170" s="1316"/>
      <c r="I170" s="1316"/>
      <c r="J170" s="1316"/>
      <c r="K170" s="1317"/>
      <c r="L170" s="1318"/>
      <c r="M170" s="1318"/>
      <c r="N170" s="1319"/>
      <c r="O170" s="1329"/>
    </row>
    <row r="171" spans="1:16" ht="12" customHeight="1" thickBot="1" x14ac:dyDescent="0.25">
      <c r="A171" s="1332"/>
      <c r="B171" s="1333"/>
      <c r="C171" s="1334"/>
      <c r="D171" s="1335" t="s">
        <v>549</v>
      </c>
      <c r="E171" s="1336">
        <f t="shared" ref="E171:J171" si="30">SUBTOTAL(9,E8:E11,E12,E14:E25)</f>
        <v>244687</v>
      </c>
      <c r="F171" s="1336">
        <f t="shared" si="30"/>
        <v>208965</v>
      </c>
      <c r="G171" s="1336">
        <f t="shared" si="30"/>
        <v>185010</v>
      </c>
      <c r="H171" s="1337">
        <f t="shared" si="30"/>
        <v>149294</v>
      </c>
      <c r="I171" s="1434">
        <f t="shared" si="30"/>
        <v>95056</v>
      </c>
      <c r="J171" s="1338">
        <f t="shared" si="30"/>
        <v>91332</v>
      </c>
      <c r="K171" s="1339"/>
      <c r="L171" s="1340">
        <f>SUBTOTAL(9,L8:L11,L12,L14:L25)</f>
        <v>117</v>
      </c>
      <c r="M171" s="1341">
        <f>SUBTOTAL(9,M8:M11,M12,M14:M25)</f>
        <v>91215</v>
      </c>
      <c r="N171" s="1311"/>
      <c r="O171" s="1312"/>
      <c r="P171" s="1288"/>
    </row>
    <row r="172" spans="1:16" ht="12" customHeight="1" thickBot="1" x14ac:dyDescent="0.25">
      <c r="A172" s="1332"/>
      <c r="B172" s="1333"/>
      <c r="C172" s="1334"/>
      <c r="D172" s="1335" t="s">
        <v>546</v>
      </c>
      <c r="E172" s="1336">
        <f t="shared" ref="E172:J172" si="31">SUBTOTAL(9,E28:E82,E84:E86,E88:E89,E91:E93,E95:E96,E98:E100,E102,E104:E105,E107:E108,E110,E112:E117,E119,E121,E123,E125:E145,E147)</f>
        <v>123532</v>
      </c>
      <c r="F172" s="1336">
        <f t="shared" si="31"/>
        <v>145472</v>
      </c>
      <c r="G172" s="1336">
        <f t="shared" si="31"/>
        <v>158930</v>
      </c>
      <c r="H172" s="1337">
        <f t="shared" si="31"/>
        <v>191349</v>
      </c>
      <c r="I172" s="1447">
        <f t="shared" si="31"/>
        <v>192832</v>
      </c>
      <c r="J172" s="1338">
        <f t="shared" si="31"/>
        <v>201826</v>
      </c>
      <c r="K172" s="1339"/>
      <c r="L172" s="1340">
        <f>SUBTOTAL(9,L28:L148)</f>
        <v>37996.539999999994</v>
      </c>
      <c r="M172" s="1341">
        <f>SUBTOTAL(9,M28:M148)</f>
        <v>365655.46000000008</v>
      </c>
      <c r="N172" s="1311"/>
      <c r="O172" s="1312"/>
      <c r="P172" s="1288"/>
    </row>
    <row r="173" spans="1:16" ht="12" customHeight="1" thickBot="1" x14ac:dyDescent="0.25">
      <c r="A173" s="1332"/>
      <c r="B173" s="1333"/>
      <c r="C173" s="1334"/>
      <c r="D173" s="1335" t="s">
        <v>547</v>
      </c>
      <c r="E173" s="1336">
        <f t="shared" ref="E173:J173" si="32">SUBTOTAL(9,E150:E161)</f>
        <v>185221</v>
      </c>
      <c r="F173" s="1336">
        <f t="shared" si="32"/>
        <v>189078</v>
      </c>
      <c r="G173" s="1336">
        <f t="shared" si="32"/>
        <v>202047</v>
      </c>
      <c r="H173" s="1337">
        <f t="shared" si="32"/>
        <v>211471</v>
      </c>
      <c r="I173" s="1434">
        <f t="shared" si="32"/>
        <v>210974</v>
      </c>
      <c r="J173" s="1338">
        <f t="shared" si="32"/>
        <v>215300</v>
      </c>
      <c r="K173" s="1339"/>
      <c r="L173" s="1340">
        <f>SUBTOTAL(9,L150:L161)</f>
        <v>80345.850000000006</v>
      </c>
      <c r="M173" s="1341">
        <f>SUBTOTAL(9,M150:M161)</f>
        <v>134954.15</v>
      </c>
      <c r="N173" s="1311"/>
      <c r="O173" s="1312"/>
      <c r="P173" s="1288"/>
    </row>
    <row r="174" spans="1:16" ht="12" customHeight="1" thickBot="1" x14ac:dyDescent="0.25">
      <c r="A174" s="1342"/>
      <c r="B174" s="1343"/>
      <c r="C174" s="1344"/>
      <c r="D174" s="1345" t="s">
        <v>563</v>
      </c>
      <c r="E174" s="1346">
        <f t="shared" ref="E174:J174" si="33">E171+E172+E173</f>
        <v>553440</v>
      </c>
      <c r="F174" s="1346">
        <f t="shared" si="33"/>
        <v>543515</v>
      </c>
      <c r="G174" s="1346">
        <f t="shared" si="33"/>
        <v>545987</v>
      </c>
      <c r="H174" s="1347">
        <f t="shared" si="33"/>
        <v>552114</v>
      </c>
      <c r="I174" s="1435">
        <f t="shared" si="33"/>
        <v>498862</v>
      </c>
      <c r="J174" s="1348">
        <f t="shared" si="33"/>
        <v>508458</v>
      </c>
      <c r="K174" s="1349"/>
      <c r="L174" s="1350">
        <f>L171+L172+L173</f>
        <v>118459.39</v>
      </c>
      <c r="M174" s="1348">
        <f>M171+M172+M173</f>
        <v>591824.6100000001</v>
      </c>
      <c r="N174" s="1319"/>
      <c r="O174" s="1329"/>
    </row>
    <row r="175" spans="1:16" ht="12" customHeight="1" x14ac:dyDescent="0.2">
      <c r="A175" s="1319"/>
      <c r="B175" s="1319"/>
      <c r="C175" s="1320"/>
      <c r="E175" s="1351"/>
      <c r="F175" s="1351" t="s">
        <v>297</v>
      </c>
      <c r="G175" s="1316">
        <v>74775</v>
      </c>
      <c r="H175" s="1316">
        <v>74775</v>
      </c>
      <c r="I175" s="1316"/>
      <c r="J175" s="1316"/>
      <c r="K175" s="1352"/>
      <c r="L175" s="1353"/>
      <c r="M175" s="1353"/>
      <c r="N175" s="1319"/>
      <c r="O175" s="1329"/>
    </row>
    <row r="176" spans="1:16" ht="12" customHeight="1" x14ac:dyDescent="0.2">
      <c r="A176" s="1319"/>
      <c r="B176" s="1319"/>
      <c r="C176" s="1320"/>
      <c r="E176" s="1351"/>
      <c r="F176" s="1351" t="s">
        <v>399</v>
      </c>
      <c r="G176" s="1316">
        <v>12825</v>
      </c>
      <c r="H176" s="1316">
        <v>21100</v>
      </c>
      <c r="I176" s="1316"/>
      <c r="J176" s="1316"/>
      <c r="K176" s="1352"/>
      <c r="L176" s="1353"/>
      <c r="M176" s="1353"/>
      <c r="N176" s="1319"/>
      <c r="O176" s="1329"/>
    </row>
    <row r="177" spans="1:16" ht="12" customHeight="1" x14ac:dyDescent="0.2">
      <c r="A177" s="1319"/>
      <c r="B177" s="1319"/>
      <c r="C177" s="1320"/>
      <c r="D177" s="1331"/>
      <c r="E177" s="1331"/>
      <c r="F177" s="1331"/>
      <c r="G177" s="1354">
        <f>SUM(G175:G176)</f>
        <v>87600</v>
      </c>
      <c r="H177" s="1354">
        <f>SUM(H175:H176)</f>
        <v>95875</v>
      </c>
      <c r="I177" s="1316"/>
      <c r="J177" s="1316"/>
      <c r="K177" s="1352"/>
      <c r="L177" s="1353"/>
      <c r="M177" s="1353"/>
      <c r="N177" s="1319"/>
      <c r="O177" s="1329"/>
    </row>
    <row r="178" spans="1:16" ht="12" customHeight="1" x14ac:dyDescent="0.2">
      <c r="A178" s="1319"/>
      <c r="B178" s="1319"/>
      <c r="C178" s="1320"/>
      <c r="D178" s="1355"/>
      <c r="E178" s="1353"/>
      <c r="F178" s="1353"/>
      <c r="G178" s="1353"/>
      <c r="H178" s="1353"/>
      <c r="I178" s="1316"/>
      <c r="J178" s="1316"/>
      <c r="K178" s="1352"/>
      <c r="L178" s="1353"/>
      <c r="M178" s="1353"/>
      <c r="N178" s="1319"/>
      <c r="O178" s="1329"/>
    </row>
    <row r="179" spans="1:16" ht="12" customHeight="1" x14ac:dyDescent="0.2">
      <c r="A179" s="1319"/>
      <c r="B179" s="1319"/>
      <c r="C179" s="1320"/>
      <c r="D179" s="1331"/>
      <c r="E179" s="1353"/>
      <c r="F179" s="1353"/>
      <c r="G179" s="1353"/>
      <c r="H179" s="1353"/>
      <c r="I179" s="1353"/>
      <c r="J179" s="1353"/>
      <c r="K179" s="1352"/>
      <c r="L179" s="1353"/>
      <c r="M179" s="1353"/>
      <c r="N179" s="1319"/>
      <c r="O179" s="1329"/>
    </row>
    <row r="180" spans="1:16" ht="12" customHeight="1" x14ac:dyDescent="0.2">
      <c r="A180" s="1355"/>
      <c r="B180" s="1355"/>
      <c r="C180" s="1356"/>
      <c r="D180" s="1357"/>
      <c r="E180" s="1353"/>
      <c r="F180" s="1353"/>
      <c r="G180" s="1353"/>
      <c r="H180" s="1353"/>
      <c r="I180" s="1353"/>
      <c r="J180" s="1353"/>
      <c r="K180" s="1352"/>
      <c r="L180" s="1353"/>
      <c r="M180" s="1353"/>
      <c r="N180" s="1319"/>
      <c r="O180" s="1358"/>
    </row>
    <row r="181" spans="1:16" ht="12" customHeight="1" x14ac:dyDescent="0.2">
      <c r="A181" s="1319"/>
      <c r="B181" s="1319"/>
      <c r="C181" s="1320"/>
      <c r="D181" s="1331"/>
      <c r="E181" s="1353"/>
      <c r="F181" s="1353"/>
      <c r="G181" s="1353"/>
      <c r="H181" s="1353"/>
      <c r="I181" s="1353"/>
      <c r="J181" s="1353"/>
      <c r="K181" s="1352"/>
      <c r="L181" s="1353"/>
      <c r="M181" s="1353"/>
      <c r="N181" s="1319"/>
      <c r="O181" s="1329"/>
    </row>
    <row r="182" spans="1:16" ht="12" customHeight="1" x14ac:dyDescent="0.2">
      <c r="A182" s="1319"/>
      <c r="B182" s="1319"/>
      <c r="C182" s="1320"/>
      <c r="D182" s="1331"/>
      <c r="E182" s="1353"/>
      <c r="F182" s="1353"/>
      <c r="G182" s="1353"/>
      <c r="H182" s="1353"/>
      <c r="I182" s="1353"/>
      <c r="J182" s="1353"/>
      <c r="K182" s="1352"/>
      <c r="L182" s="1353"/>
      <c r="M182" s="1353"/>
      <c r="N182" s="1319"/>
      <c r="O182" s="1329"/>
    </row>
    <row r="183" spans="1:16" ht="12" customHeight="1" x14ac:dyDescent="0.2">
      <c r="A183" s="1319"/>
      <c r="B183" s="1319"/>
      <c r="C183" s="1320"/>
      <c r="D183" s="1331"/>
      <c r="E183" s="1353"/>
      <c r="F183" s="1353"/>
      <c r="G183" s="1353"/>
      <c r="H183" s="1353"/>
      <c r="I183" s="1353"/>
      <c r="J183" s="1353"/>
      <c r="K183" s="1352"/>
      <c r="L183" s="1353"/>
      <c r="M183" s="1353"/>
      <c r="N183" s="1319"/>
      <c r="O183" s="1329"/>
      <c r="P183" s="1359"/>
    </row>
    <row r="184" spans="1:16" ht="12" customHeight="1" x14ac:dyDescent="0.2">
      <c r="A184" s="1319"/>
      <c r="B184" s="1319"/>
      <c r="C184" s="1320"/>
      <c r="D184" s="1331"/>
      <c r="E184" s="1353"/>
      <c r="F184" s="1353"/>
      <c r="G184" s="1353"/>
      <c r="H184" s="1353"/>
      <c r="I184" s="1353"/>
      <c r="J184" s="1353"/>
      <c r="K184" s="1352"/>
      <c r="L184" s="1353"/>
      <c r="M184" s="1353"/>
      <c r="N184" s="1319"/>
      <c r="O184" s="1329"/>
      <c r="P184" s="1359"/>
    </row>
    <row r="185" spans="1:16" ht="12" customHeight="1" x14ac:dyDescent="0.2">
      <c r="E185" s="1360"/>
      <c r="F185" s="1360"/>
      <c r="G185" s="1360"/>
      <c r="H185" s="1360"/>
      <c r="I185" s="1360"/>
      <c r="J185" s="1360"/>
      <c r="K185" s="1361"/>
      <c r="L185" s="1091"/>
      <c r="M185" s="1091"/>
      <c r="P185" s="1359"/>
    </row>
    <row r="186" spans="1:16" ht="12" customHeight="1" x14ac:dyDescent="0.2">
      <c r="E186" s="1360"/>
      <c r="F186" s="1360"/>
      <c r="G186" s="1360"/>
      <c r="H186" s="1360"/>
      <c r="I186" s="1360"/>
      <c r="J186" s="1360"/>
      <c r="K186" s="1361"/>
      <c r="L186" s="1091"/>
      <c r="M186" s="1091"/>
      <c r="P186" s="1359"/>
    </row>
    <row r="187" spans="1:16" ht="12" customHeight="1" x14ac:dyDescent="0.2">
      <c r="E187" s="1360"/>
      <c r="F187" s="1360"/>
      <c r="G187" s="1360"/>
      <c r="H187" s="1360"/>
      <c r="I187" s="1360"/>
      <c r="J187" s="1360"/>
      <c r="K187" s="1361"/>
      <c r="L187" s="1091"/>
      <c r="M187" s="1091"/>
      <c r="P187" s="1359"/>
    </row>
    <row r="188" spans="1:16" s="1104" customFormat="1" ht="12" customHeight="1" x14ac:dyDescent="0.2">
      <c r="A188" s="1102"/>
      <c r="B188" s="1102"/>
      <c r="C188" s="1103"/>
      <c r="D188" s="1090"/>
      <c r="E188" s="1360"/>
      <c r="F188" s="1360"/>
      <c r="G188" s="1360"/>
      <c r="H188" s="1360"/>
      <c r="I188" s="1360"/>
      <c r="J188" s="1360"/>
      <c r="K188" s="1361"/>
      <c r="L188" s="1091"/>
      <c r="M188" s="1091"/>
      <c r="N188" s="1102"/>
      <c r="O188" s="1362"/>
      <c r="P188" s="1359"/>
    </row>
    <row r="189" spans="1:16" ht="12" customHeight="1" x14ac:dyDescent="0.2">
      <c r="P189" s="1359"/>
    </row>
    <row r="190" spans="1:16" ht="12" customHeight="1" x14ac:dyDescent="0.2">
      <c r="A190" s="1090"/>
      <c r="B190" s="1090"/>
      <c r="C190" s="1090"/>
      <c r="E190" s="1090"/>
      <c r="F190" s="1090"/>
      <c r="G190" s="1090"/>
      <c r="H190" s="1090"/>
      <c r="I190" s="1090"/>
      <c r="J190" s="1090"/>
      <c r="K190" s="1102"/>
      <c r="L190" s="1090"/>
      <c r="M190" s="1090"/>
      <c r="N190" s="1090"/>
      <c r="O190" s="1090"/>
      <c r="P190" s="1359"/>
    </row>
    <row r="191" spans="1:16" ht="12" customHeight="1" x14ac:dyDescent="0.2">
      <c r="A191" s="1090"/>
      <c r="B191" s="1090"/>
      <c r="C191" s="1090"/>
      <c r="E191" s="1090"/>
      <c r="F191" s="1090"/>
      <c r="G191" s="1090"/>
      <c r="H191" s="1090"/>
      <c r="I191" s="1090"/>
      <c r="J191" s="1090"/>
      <c r="K191" s="1102"/>
      <c r="L191" s="1090"/>
      <c r="M191" s="1090"/>
      <c r="N191" s="1090"/>
      <c r="O191" s="1090"/>
      <c r="P191" s="1359"/>
    </row>
    <row r="192" spans="1:16" ht="12" customHeight="1" x14ac:dyDescent="0.2">
      <c r="A192" s="1090"/>
      <c r="B192" s="1090"/>
      <c r="C192" s="1090"/>
      <c r="E192" s="1090"/>
      <c r="F192" s="1090"/>
      <c r="G192" s="1090"/>
      <c r="H192" s="1090"/>
      <c r="I192" s="1090"/>
      <c r="J192" s="1090"/>
      <c r="K192" s="1102"/>
      <c r="L192" s="1090"/>
      <c r="M192" s="1090"/>
      <c r="N192" s="1090"/>
      <c r="O192" s="1090"/>
      <c r="P192" s="1359"/>
    </row>
  </sheetData>
  <autoFilter ref="A5:O161"/>
  <dataConsolidate/>
  <phoneticPr fontId="1" type="noConversion"/>
  <printOptions horizontalCentered="1"/>
  <pageMargins left="0.39370078740157483" right="0.27559055118110237" top="0.31496062992125984" bottom="0.23622047244094491" header="0.19685039370078741" footer="0.11811023622047245"/>
  <pageSetup paperSize="8" scale="80" orientation="portrait" r:id="rId1"/>
  <headerFooter alignWithMargins="0">
    <oddFooter>&amp;A&amp;RStránka &amp;P</oddFooter>
  </headerFooter>
  <rowBreaks count="1" manualBreakCount="1">
    <brk id="111" max="1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1:R57"/>
  <sheetViews>
    <sheetView showGridLines="0" zoomScale="75" zoomScaleNormal="75" zoomScaleSheetLayoutView="75" workbookViewId="0"/>
  </sheetViews>
  <sheetFormatPr defaultColWidth="11.42578125" defaultRowHeight="33" customHeight="1" outlineLevelRow="1" outlineLevelCol="1" x14ac:dyDescent="0.25"/>
  <cols>
    <col min="1" max="1" width="4.5703125" style="1" customWidth="1"/>
    <col min="2" max="2" width="91.140625" style="823" customWidth="1"/>
    <col min="3" max="7" width="15.7109375" style="823" hidden="1" customWidth="1" outlineLevel="1"/>
    <col min="8" max="8" width="15.7109375" style="823" customWidth="1" collapsed="1"/>
    <col min="9" max="9" width="30.42578125" style="975" customWidth="1"/>
    <col min="10" max="18" width="11.42578125" style="2" customWidth="1"/>
    <col min="19" max="16384" width="11.42578125" style="1"/>
  </cols>
  <sheetData>
    <row r="1" spans="1:18" s="24" customFormat="1" ht="21.75" customHeight="1" x14ac:dyDescent="0.35">
      <c r="B1" s="804"/>
      <c r="C1" s="805"/>
      <c r="D1" s="805"/>
      <c r="E1" s="805"/>
      <c r="F1" s="806"/>
      <c r="G1" s="806"/>
      <c r="H1" s="806"/>
      <c r="I1" s="974"/>
    </row>
    <row r="2" spans="1:18" s="5" customFormat="1" ht="18.75" customHeight="1" x14ac:dyDescent="0.35">
      <c r="A2" s="11"/>
      <c r="B2" s="805"/>
      <c r="C2" s="805"/>
      <c r="D2" s="805"/>
      <c r="E2" s="805"/>
      <c r="F2" s="807"/>
      <c r="G2" s="807"/>
      <c r="H2" s="807"/>
      <c r="I2" s="974"/>
      <c r="J2" s="4"/>
      <c r="K2" s="4"/>
      <c r="L2" s="4"/>
      <c r="M2" s="4"/>
      <c r="N2" s="4"/>
      <c r="O2" s="4"/>
      <c r="P2" s="4"/>
      <c r="Q2" s="4"/>
      <c r="R2" s="4"/>
    </row>
    <row r="3" spans="1:18" s="7" customFormat="1" ht="27.75" customHeight="1" x14ac:dyDescent="0.35">
      <c r="A3" s="6"/>
      <c r="B3" s="808" t="s">
        <v>406</v>
      </c>
      <c r="C3" s="810">
        <v>2012</v>
      </c>
      <c r="D3" s="810">
        <v>2013</v>
      </c>
      <c r="E3" s="810">
        <v>2014</v>
      </c>
      <c r="F3" s="810">
        <v>2015</v>
      </c>
      <c r="G3" s="809">
        <v>2016</v>
      </c>
      <c r="H3" s="809">
        <v>2017</v>
      </c>
      <c r="I3" s="974"/>
    </row>
    <row r="4" spans="1:18" s="8" customFormat="1" ht="23.25" customHeight="1" x14ac:dyDescent="0.2">
      <c r="A4" s="729"/>
      <c r="B4" s="811" t="s">
        <v>201</v>
      </c>
      <c r="C4" s="812">
        <f>SUM(C32,C29,C13,C34,C19,C27,C17,C21,C24,C11,C8,C5)</f>
        <v>7800</v>
      </c>
      <c r="D4" s="812">
        <f>SUM(D32,D29,D13,D34,D19,D27,D17,D21,D24,D11,D8,D5)</f>
        <v>7000</v>
      </c>
      <c r="E4" s="812">
        <f>SUM(E32,E29,E13,E34,E19,E27,E17,E21,E24,E11,E8,E5)</f>
        <v>10120</v>
      </c>
      <c r="F4" s="812">
        <f>SUM(F32,F29,F13,F34,F19,F27,F17,F21,F24,F11,F8,F5)</f>
        <v>6400</v>
      </c>
      <c r="G4" s="812">
        <f>SUM(G32,G29,G13,G34,G19,G27,G17,G21,G24,G11,G8,G5)</f>
        <v>6000</v>
      </c>
      <c r="H4" s="812">
        <f>SUM(H32,H29,H13,H34,H19,H27,H17,H21,H24,H11,H8,H5,H46)</f>
        <v>10300</v>
      </c>
      <c r="I4" s="1475"/>
      <c r="J4" s="3"/>
      <c r="K4" s="3"/>
      <c r="L4" s="3"/>
      <c r="M4" s="3"/>
      <c r="N4" s="3"/>
      <c r="O4" s="3"/>
      <c r="P4" s="3"/>
      <c r="Q4" s="3"/>
      <c r="R4" s="3"/>
    </row>
    <row r="5" spans="1:18" s="9" customFormat="1" ht="18.75" customHeight="1" x14ac:dyDescent="0.35">
      <c r="A5" s="730"/>
      <c r="B5" s="813" t="s">
        <v>8</v>
      </c>
      <c r="C5" s="815">
        <v>150</v>
      </c>
      <c r="D5" s="815">
        <v>2500</v>
      </c>
      <c r="E5" s="816">
        <v>3340</v>
      </c>
      <c r="F5" s="816">
        <f>SUM(F6)</f>
        <v>1865</v>
      </c>
      <c r="G5" s="816">
        <f>SUM(G6)</f>
        <v>0</v>
      </c>
      <c r="H5" s="1448">
        <f>SUM(H6:H7)</f>
        <v>465</v>
      </c>
      <c r="I5" s="974"/>
      <c r="J5" s="2"/>
      <c r="K5" s="2"/>
      <c r="L5" s="2"/>
      <c r="M5" s="2"/>
      <c r="N5" s="2"/>
      <c r="O5" s="2"/>
      <c r="P5" s="2"/>
      <c r="Q5" s="2"/>
      <c r="R5" s="2"/>
    </row>
    <row r="6" spans="1:18" s="9" customFormat="1" ht="21" hidden="1" customHeight="1" x14ac:dyDescent="0.35">
      <c r="A6" s="730"/>
      <c r="B6" s="817" t="s">
        <v>481</v>
      </c>
      <c r="C6" s="819"/>
      <c r="D6" s="819"/>
      <c r="E6" s="819"/>
      <c r="F6" s="820">
        <v>1865</v>
      </c>
      <c r="G6" s="820"/>
      <c r="H6" s="820"/>
      <c r="I6" s="974"/>
      <c r="J6" s="2"/>
      <c r="K6" s="2"/>
      <c r="L6" s="2"/>
      <c r="M6" s="2"/>
      <c r="N6" s="2"/>
      <c r="O6" s="2"/>
      <c r="P6" s="2"/>
      <c r="Q6" s="2"/>
      <c r="R6" s="2"/>
    </row>
    <row r="7" spans="1:18" s="9" customFormat="1" ht="21" customHeight="1" x14ac:dyDescent="0.35">
      <c r="A7" s="730"/>
      <c r="B7" s="817" t="s">
        <v>662</v>
      </c>
      <c r="C7" s="819"/>
      <c r="D7" s="819"/>
      <c r="E7" s="819"/>
      <c r="F7" s="820"/>
      <c r="G7" s="820"/>
      <c r="H7" s="820">
        <v>465</v>
      </c>
      <c r="I7" s="974"/>
      <c r="J7" s="2"/>
      <c r="K7" s="2"/>
      <c r="L7" s="2"/>
      <c r="M7" s="2"/>
      <c r="N7" s="2"/>
      <c r="O7" s="2"/>
      <c r="P7" s="2"/>
      <c r="Q7" s="2"/>
      <c r="R7" s="2"/>
    </row>
    <row r="8" spans="1:18" s="9" customFormat="1" ht="21" customHeight="1" x14ac:dyDescent="0.35">
      <c r="A8" s="730"/>
      <c r="B8" s="821" t="s">
        <v>12</v>
      </c>
      <c r="C8" s="815">
        <f>SUM(C9)</f>
        <v>0</v>
      </c>
      <c r="D8" s="815">
        <f>SUM(D9)</f>
        <v>0</v>
      </c>
      <c r="E8" s="815">
        <v>1100</v>
      </c>
      <c r="F8" s="816">
        <f>SUM(F9)</f>
        <v>1000</v>
      </c>
      <c r="G8" s="816">
        <f>SUM(G9)</f>
        <v>0</v>
      </c>
      <c r="H8" s="1448">
        <f>SUM(H9:H10)</f>
        <v>670</v>
      </c>
      <c r="I8" s="974"/>
      <c r="J8" s="2"/>
      <c r="K8" s="2"/>
      <c r="L8" s="2"/>
      <c r="M8" s="2"/>
      <c r="N8" s="2"/>
      <c r="O8" s="2"/>
      <c r="P8" s="2"/>
      <c r="Q8" s="2"/>
      <c r="R8" s="2"/>
    </row>
    <row r="9" spans="1:18" s="10" customFormat="1" ht="21" hidden="1" customHeight="1" x14ac:dyDescent="0.35">
      <c r="A9" s="731"/>
      <c r="B9" s="817" t="s">
        <v>482</v>
      </c>
      <c r="C9" s="819"/>
      <c r="D9" s="819"/>
      <c r="E9" s="819"/>
      <c r="F9" s="820">
        <v>1000</v>
      </c>
      <c r="G9" s="820"/>
      <c r="H9" s="820"/>
      <c r="I9" s="974"/>
      <c r="J9" s="4"/>
      <c r="K9" s="4"/>
      <c r="L9" s="4"/>
      <c r="M9" s="4"/>
      <c r="N9" s="4"/>
      <c r="O9" s="4"/>
      <c r="P9" s="4"/>
      <c r="Q9" s="4"/>
      <c r="R9" s="4"/>
    </row>
    <row r="10" spans="1:18" s="10" customFormat="1" ht="21" customHeight="1" x14ac:dyDescent="0.35">
      <c r="A10" s="731"/>
      <c r="B10" s="1449" t="s">
        <v>668</v>
      </c>
      <c r="C10" s="819"/>
      <c r="D10" s="819"/>
      <c r="E10" s="819"/>
      <c r="F10" s="820"/>
      <c r="G10" s="820"/>
      <c r="H10" s="820">
        <v>670</v>
      </c>
      <c r="I10" s="974"/>
      <c r="J10" s="4"/>
      <c r="K10" s="4"/>
      <c r="L10" s="4"/>
      <c r="M10" s="4"/>
      <c r="N10" s="4"/>
      <c r="O10" s="4"/>
      <c r="P10" s="4"/>
      <c r="Q10" s="4"/>
      <c r="R10" s="4"/>
    </row>
    <row r="11" spans="1:18" ht="21" customHeight="1" x14ac:dyDescent="0.35">
      <c r="A11" s="732"/>
      <c r="B11" s="976" t="s">
        <v>9</v>
      </c>
      <c r="C11" s="815"/>
      <c r="D11" s="815"/>
      <c r="E11" s="815">
        <v>940</v>
      </c>
      <c r="F11" s="816">
        <f>SUM(F12:F12)</f>
        <v>0</v>
      </c>
      <c r="G11" s="816">
        <f>SUM(G12:G12)</f>
        <v>0</v>
      </c>
      <c r="H11" s="816">
        <f>SUM(H12:H12)</f>
        <v>500</v>
      </c>
      <c r="I11" s="974"/>
    </row>
    <row r="12" spans="1:18" ht="21" customHeight="1" x14ac:dyDescent="0.35">
      <c r="A12" s="732"/>
      <c r="B12" s="977" t="s">
        <v>669</v>
      </c>
      <c r="C12" s="819"/>
      <c r="D12" s="819"/>
      <c r="E12" s="819"/>
      <c r="F12" s="820"/>
      <c r="G12" s="820"/>
      <c r="H12" s="820">
        <v>500</v>
      </c>
      <c r="I12" s="974"/>
    </row>
    <row r="13" spans="1:18" ht="21" customHeight="1" x14ac:dyDescent="0.35">
      <c r="A13" s="732"/>
      <c r="B13" s="821" t="s">
        <v>10</v>
      </c>
      <c r="C13" s="815">
        <f>SUM(C14)</f>
        <v>0</v>
      </c>
      <c r="D13" s="815">
        <f>SUM(D14)</f>
        <v>0</v>
      </c>
      <c r="E13" s="815">
        <v>120</v>
      </c>
      <c r="F13" s="816">
        <f>SUM(F14)</f>
        <v>0</v>
      </c>
      <c r="G13" s="816">
        <f>SUM(G14)</f>
        <v>0</v>
      </c>
      <c r="H13" s="816">
        <f>SUM(H14:H16)</f>
        <v>325</v>
      </c>
      <c r="I13" s="974"/>
    </row>
    <row r="14" spans="1:18" ht="21" customHeight="1" x14ac:dyDescent="0.35">
      <c r="A14" s="732"/>
      <c r="B14" s="817" t="s">
        <v>670</v>
      </c>
      <c r="C14" s="819"/>
      <c r="D14" s="819"/>
      <c r="E14" s="819"/>
      <c r="F14" s="820"/>
      <c r="G14" s="820"/>
      <c r="H14" s="820">
        <v>75</v>
      </c>
      <c r="I14" s="974"/>
    </row>
    <row r="15" spans="1:18" ht="21" customHeight="1" x14ac:dyDescent="0.35">
      <c r="A15" s="732"/>
      <c r="B15" s="1449" t="s">
        <v>671</v>
      </c>
      <c r="C15" s="819"/>
      <c r="D15" s="819"/>
      <c r="E15" s="819"/>
      <c r="F15" s="820"/>
      <c r="G15" s="820"/>
      <c r="H15" s="820">
        <v>200</v>
      </c>
      <c r="I15" s="974"/>
    </row>
    <row r="16" spans="1:18" ht="21" customHeight="1" x14ac:dyDescent="0.35">
      <c r="A16" s="732"/>
      <c r="B16" s="977" t="s">
        <v>672</v>
      </c>
      <c r="C16" s="819"/>
      <c r="D16" s="819"/>
      <c r="E16" s="819"/>
      <c r="F16" s="820"/>
      <c r="G16" s="820"/>
      <c r="H16" s="820">
        <v>50</v>
      </c>
      <c r="I16" s="974"/>
    </row>
    <row r="17" spans="1:18" ht="21" hidden="1" customHeight="1" x14ac:dyDescent="0.35">
      <c r="A17" s="732"/>
      <c r="B17" s="976" t="s">
        <v>11</v>
      </c>
      <c r="C17" s="815"/>
      <c r="D17" s="815"/>
      <c r="E17" s="815"/>
      <c r="F17" s="816">
        <f>SUM(F18:F18)</f>
        <v>775</v>
      </c>
      <c r="G17" s="816">
        <f>SUM(G18:G18)</f>
        <v>0</v>
      </c>
      <c r="H17" s="816">
        <f>SUM(H18:H18)</f>
        <v>0</v>
      </c>
      <c r="I17" s="974"/>
    </row>
    <row r="18" spans="1:18" ht="21" hidden="1" customHeight="1" x14ac:dyDescent="0.35">
      <c r="A18" s="732"/>
      <c r="B18" s="977" t="s">
        <v>487</v>
      </c>
      <c r="C18" s="819"/>
      <c r="D18" s="819"/>
      <c r="E18" s="819"/>
      <c r="F18" s="820">
        <v>775</v>
      </c>
      <c r="G18" s="820"/>
      <c r="H18" s="820"/>
      <c r="I18" s="974"/>
    </row>
    <row r="19" spans="1:18" ht="21" customHeight="1" x14ac:dyDescent="0.35">
      <c r="A19" s="732"/>
      <c r="B19" s="976" t="s">
        <v>13</v>
      </c>
      <c r="C19" s="815">
        <v>1750</v>
      </c>
      <c r="D19" s="815">
        <v>450</v>
      </c>
      <c r="E19" s="815">
        <v>800</v>
      </c>
      <c r="F19" s="816">
        <f>SUM(F20)</f>
        <v>500</v>
      </c>
      <c r="G19" s="816">
        <f>SUM(G20)</f>
        <v>1573</v>
      </c>
      <c r="H19" s="816">
        <f>SUM(H20)</f>
        <v>2000</v>
      </c>
      <c r="I19" s="974"/>
    </row>
    <row r="20" spans="1:18" ht="21" customHeight="1" x14ac:dyDescent="0.35">
      <c r="A20" s="732"/>
      <c r="B20" s="977" t="s">
        <v>486</v>
      </c>
      <c r="C20" s="819"/>
      <c r="D20" s="819"/>
      <c r="E20" s="819"/>
      <c r="F20" s="820">
        <v>500</v>
      </c>
      <c r="G20" s="820">
        <v>1573</v>
      </c>
      <c r="H20" s="820">
        <v>2000</v>
      </c>
      <c r="I20" s="974"/>
    </row>
    <row r="21" spans="1:18" ht="21" customHeight="1" x14ac:dyDescent="0.35">
      <c r="A21" s="732"/>
      <c r="B21" s="821" t="s">
        <v>14</v>
      </c>
      <c r="C21" s="815">
        <v>2568</v>
      </c>
      <c r="D21" s="815">
        <v>2500</v>
      </c>
      <c r="E21" s="815">
        <v>790</v>
      </c>
      <c r="F21" s="816">
        <f>SUM(F22)</f>
        <v>100</v>
      </c>
      <c r="G21" s="816">
        <f>SUM(G22)</f>
        <v>0</v>
      </c>
      <c r="H21" s="816">
        <f>SUM(H22:H23)</f>
        <v>200</v>
      </c>
      <c r="I21" s="974"/>
    </row>
    <row r="22" spans="1:18" s="10" customFormat="1" ht="21" hidden="1" customHeight="1" x14ac:dyDescent="0.35">
      <c r="A22" s="731"/>
      <c r="B22" s="817" t="s">
        <v>484</v>
      </c>
      <c r="C22" s="819"/>
      <c r="D22" s="819"/>
      <c r="E22" s="819"/>
      <c r="F22" s="820">
        <v>100</v>
      </c>
      <c r="G22" s="820"/>
      <c r="H22" s="820"/>
      <c r="I22" s="974"/>
      <c r="J22" s="4"/>
      <c r="K22" s="4"/>
      <c r="L22" s="4"/>
      <c r="M22" s="4"/>
      <c r="N22" s="4"/>
      <c r="O22" s="4"/>
      <c r="P22" s="4"/>
      <c r="Q22" s="4"/>
      <c r="R22" s="4"/>
    </row>
    <row r="23" spans="1:18" s="10" customFormat="1" ht="21" customHeight="1" x14ac:dyDescent="0.35">
      <c r="A23" s="731"/>
      <c r="B23" s="817" t="s">
        <v>666</v>
      </c>
      <c r="C23" s="819"/>
      <c r="D23" s="819"/>
      <c r="E23" s="819"/>
      <c r="F23" s="820"/>
      <c r="G23" s="820"/>
      <c r="H23" s="820">
        <v>200</v>
      </c>
      <c r="I23" s="974"/>
      <c r="J23" s="4"/>
      <c r="K23" s="4"/>
      <c r="L23" s="4"/>
      <c r="M23" s="4"/>
      <c r="N23" s="4"/>
      <c r="O23" s="4"/>
      <c r="P23" s="4"/>
      <c r="Q23" s="4"/>
      <c r="R23" s="4"/>
    </row>
    <row r="24" spans="1:18" ht="21" customHeight="1" x14ac:dyDescent="0.35">
      <c r="A24" s="732"/>
      <c r="B24" s="821" t="s">
        <v>15</v>
      </c>
      <c r="C24" s="815">
        <f>SUM(C25)</f>
        <v>0</v>
      </c>
      <c r="D24" s="815">
        <f>SUM(D25)</f>
        <v>0</v>
      </c>
      <c r="E24" s="815">
        <v>120</v>
      </c>
      <c r="F24" s="816">
        <f>SUM(F25)</f>
        <v>485</v>
      </c>
      <c r="G24" s="816">
        <f>SUM(G25)</f>
        <v>400</v>
      </c>
      <c r="H24" s="816">
        <f>SUM(H25:H26)</f>
        <v>250</v>
      </c>
      <c r="I24" s="974"/>
    </row>
    <row r="25" spans="1:18" ht="21" hidden="1" customHeight="1" x14ac:dyDescent="0.35">
      <c r="A25" s="732"/>
      <c r="B25" s="817" t="s">
        <v>483</v>
      </c>
      <c r="C25" s="819"/>
      <c r="D25" s="819"/>
      <c r="E25" s="819"/>
      <c r="F25" s="820">
        <v>485</v>
      </c>
      <c r="G25" s="820">
        <v>400</v>
      </c>
      <c r="H25" s="820"/>
      <c r="I25" s="974"/>
    </row>
    <row r="26" spans="1:18" ht="21" customHeight="1" x14ac:dyDescent="0.35">
      <c r="A26" s="732"/>
      <c r="B26" s="1449" t="s">
        <v>663</v>
      </c>
      <c r="C26" s="819"/>
      <c r="D26" s="819"/>
      <c r="E26" s="819"/>
      <c r="F26" s="820"/>
      <c r="G26" s="820"/>
      <c r="H26" s="820">
        <v>250</v>
      </c>
      <c r="I26" s="974"/>
    </row>
    <row r="27" spans="1:18" ht="21" hidden="1" customHeight="1" x14ac:dyDescent="0.35">
      <c r="A27" s="732"/>
      <c r="B27" s="976" t="s">
        <v>83</v>
      </c>
      <c r="C27" s="815"/>
      <c r="D27" s="815"/>
      <c r="E27" s="815"/>
      <c r="F27" s="816">
        <f>SUM(F28)</f>
        <v>250</v>
      </c>
      <c r="G27" s="816">
        <f>SUM(G28)</f>
        <v>0</v>
      </c>
      <c r="H27" s="816">
        <f>SUM(H28)</f>
        <v>0</v>
      </c>
      <c r="I27" s="974"/>
    </row>
    <row r="28" spans="1:18" ht="21" hidden="1" customHeight="1" x14ac:dyDescent="0.35">
      <c r="A28" s="732"/>
      <c r="B28" s="977" t="s">
        <v>485</v>
      </c>
      <c r="C28" s="819"/>
      <c r="D28" s="819"/>
      <c r="E28" s="819"/>
      <c r="F28" s="820">
        <v>250</v>
      </c>
      <c r="G28" s="820"/>
      <c r="H28" s="820"/>
      <c r="I28" s="974"/>
    </row>
    <row r="29" spans="1:18" ht="21" customHeight="1" x14ac:dyDescent="0.35">
      <c r="A29" s="732"/>
      <c r="B29" s="976" t="s">
        <v>685</v>
      </c>
      <c r="C29" s="815">
        <f t="shared" ref="C29:H29" si="0">SUM(C30:C31)</f>
        <v>0</v>
      </c>
      <c r="D29" s="815">
        <f t="shared" si="0"/>
        <v>0</v>
      </c>
      <c r="E29" s="815">
        <f t="shared" si="0"/>
        <v>0</v>
      </c>
      <c r="F29" s="816">
        <f t="shared" si="0"/>
        <v>0</v>
      </c>
      <c r="G29" s="816">
        <f t="shared" si="0"/>
        <v>0</v>
      </c>
      <c r="H29" s="816">
        <f t="shared" si="0"/>
        <v>1500</v>
      </c>
      <c r="I29" s="974"/>
    </row>
    <row r="30" spans="1:18" s="10" customFormat="1" ht="21" hidden="1" customHeight="1" x14ac:dyDescent="0.35">
      <c r="A30" s="731"/>
      <c r="B30" s="977" t="s">
        <v>407</v>
      </c>
      <c r="C30" s="819"/>
      <c r="D30" s="819"/>
      <c r="E30" s="819"/>
      <c r="F30" s="820" t="s">
        <v>408</v>
      </c>
      <c r="G30" s="820"/>
      <c r="H30" s="820"/>
      <c r="I30" s="974"/>
      <c r="J30" s="4"/>
      <c r="K30" s="4"/>
      <c r="L30" s="4"/>
      <c r="M30" s="4"/>
      <c r="N30" s="4"/>
      <c r="O30" s="4"/>
      <c r="P30" s="4"/>
      <c r="Q30" s="4"/>
      <c r="R30" s="4"/>
    </row>
    <row r="31" spans="1:18" s="10" customFormat="1" ht="21" customHeight="1" x14ac:dyDescent="0.35">
      <c r="A31" s="731"/>
      <c r="B31" s="977" t="s">
        <v>673</v>
      </c>
      <c r="C31" s="819"/>
      <c r="D31" s="819"/>
      <c r="E31" s="819"/>
      <c r="F31" s="820"/>
      <c r="G31" s="820"/>
      <c r="H31" s="820">
        <v>1500</v>
      </c>
      <c r="I31" s="974"/>
      <c r="J31" s="4"/>
      <c r="K31" s="4"/>
      <c r="L31" s="4"/>
      <c r="M31" s="4"/>
      <c r="N31" s="4"/>
      <c r="O31" s="4"/>
      <c r="P31" s="4"/>
      <c r="Q31" s="4"/>
      <c r="R31" s="4"/>
    </row>
    <row r="32" spans="1:18" ht="21" customHeight="1" x14ac:dyDescent="0.35">
      <c r="A32" s="732"/>
      <c r="B32" s="976" t="s">
        <v>1</v>
      </c>
      <c r="C32" s="815">
        <v>694</v>
      </c>
      <c r="D32" s="815"/>
      <c r="E32" s="815"/>
      <c r="F32" s="816">
        <f>SUM(F33:F33)</f>
        <v>0</v>
      </c>
      <c r="G32" s="816">
        <f>SUM(G33:G33)</f>
        <v>0</v>
      </c>
      <c r="H32" s="816">
        <f>SUM(H33:H33)</f>
        <v>600</v>
      </c>
      <c r="I32" s="974"/>
    </row>
    <row r="33" spans="1:18" s="10" customFormat="1" ht="21" customHeight="1" x14ac:dyDescent="0.35">
      <c r="A33" s="731"/>
      <c r="B33" s="977" t="s">
        <v>667</v>
      </c>
      <c r="C33" s="819"/>
      <c r="D33" s="819"/>
      <c r="E33" s="819"/>
      <c r="F33" s="820"/>
      <c r="G33" s="820"/>
      <c r="H33" s="820">
        <v>600</v>
      </c>
      <c r="I33" s="974"/>
      <c r="J33" s="4"/>
      <c r="K33" s="4"/>
      <c r="L33" s="4"/>
      <c r="M33" s="4"/>
      <c r="N33" s="4"/>
      <c r="O33" s="4"/>
      <c r="P33" s="4"/>
      <c r="Q33" s="4"/>
      <c r="R33" s="4"/>
    </row>
    <row r="34" spans="1:18" ht="21" customHeight="1" x14ac:dyDescent="0.35">
      <c r="A34" s="732"/>
      <c r="B34" s="976" t="s">
        <v>18</v>
      </c>
      <c r="C34" s="815">
        <f>2368+C43</f>
        <v>2638</v>
      </c>
      <c r="D34" s="815">
        <v>1550</v>
      </c>
      <c r="E34" s="815">
        <v>2910</v>
      </c>
      <c r="F34" s="816">
        <f>SUM(F35:F43)</f>
        <v>1425</v>
      </c>
      <c r="G34" s="816">
        <f>SUM(G35:G43)</f>
        <v>4027</v>
      </c>
      <c r="H34" s="816">
        <f>SUM(H35:H45)</f>
        <v>3550</v>
      </c>
      <c r="I34" s="974"/>
    </row>
    <row r="35" spans="1:18" s="10" customFormat="1" ht="21" hidden="1" customHeight="1" x14ac:dyDescent="0.35">
      <c r="A35" s="731"/>
      <c r="B35" s="977" t="s">
        <v>488</v>
      </c>
      <c r="C35" s="819"/>
      <c r="D35" s="819"/>
      <c r="E35" s="819"/>
      <c r="F35" s="820">
        <v>500</v>
      </c>
      <c r="G35" s="820"/>
      <c r="H35" s="820"/>
      <c r="I35" s="974"/>
      <c r="J35" s="4"/>
      <c r="K35" s="4"/>
      <c r="L35" s="4"/>
      <c r="M35" s="4"/>
      <c r="N35" s="4"/>
      <c r="O35" s="4"/>
      <c r="P35" s="4"/>
      <c r="Q35" s="4"/>
      <c r="R35" s="4"/>
    </row>
    <row r="36" spans="1:18" s="10" customFormat="1" ht="21" hidden="1" customHeight="1" x14ac:dyDescent="0.35">
      <c r="A36" s="731"/>
      <c r="B36" s="977" t="s">
        <v>489</v>
      </c>
      <c r="C36" s="819"/>
      <c r="D36" s="819"/>
      <c r="E36" s="819"/>
      <c r="F36" s="820">
        <v>350</v>
      </c>
      <c r="G36" s="820"/>
      <c r="H36" s="820"/>
      <c r="I36" s="974"/>
      <c r="J36" s="4"/>
      <c r="K36" s="4"/>
      <c r="L36" s="4"/>
      <c r="M36" s="4"/>
      <c r="N36" s="4"/>
      <c r="O36" s="4"/>
      <c r="P36" s="4"/>
      <c r="Q36" s="4"/>
      <c r="R36" s="4"/>
    </row>
    <row r="37" spans="1:18" s="10" customFormat="1" ht="21" hidden="1" customHeight="1" x14ac:dyDescent="0.35">
      <c r="A37" s="731"/>
      <c r="B37" s="978" t="s">
        <v>490</v>
      </c>
      <c r="C37" s="819"/>
      <c r="D37" s="819"/>
      <c r="E37" s="819"/>
      <c r="F37" s="820">
        <v>270</v>
      </c>
      <c r="G37" s="820"/>
      <c r="H37" s="820"/>
      <c r="I37" s="974"/>
      <c r="J37" s="4"/>
      <c r="K37" s="4"/>
      <c r="L37" s="4"/>
      <c r="M37" s="4"/>
      <c r="N37" s="4"/>
      <c r="O37" s="4"/>
      <c r="P37" s="4"/>
      <c r="Q37" s="4"/>
      <c r="R37" s="4"/>
    </row>
    <row r="38" spans="1:18" s="10" customFormat="1" ht="21" hidden="1" customHeight="1" x14ac:dyDescent="0.35">
      <c r="A38" s="731"/>
      <c r="B38" s="978" t="s">
        <v>640</v>
      </c>
      <c r="C38" s="819"/>
      <c r="D38" s="819"/>
      <c r="E38" s="819"/>
      <c r="F38" s="820"/>
      <c r="G38" s="820">
        <v>250</v>
      </c>
      <c r="H38" s="820"/>
      <c r="I38" s="974"/>
      <c r="J38" s="4"/>
      <c r="K38" s="4"/>
      <c r="L38" s="4"/>
      <c r="M38" s="4"/>
      <c r="N38" s="4"/>
      <c r="O38" s="4"/>
      <c r="P38" s="4"/>
      <c r="Q38" s="4"/>
      <c r="R38" s="4"/>
    </row>
    <row r="39" spans="1:18" s="10" customFormat="1" ht="21" hidden="1" customHeight="1" x14ac:dyDescent="0.35">
      <c r="A39" s="731"/>
      <c r="B39" s="978" t="s">
        <v>641</v>
      </c>
      <c r="C39" s="819"/>
      <c r="D39" s="819"/>
      <c r="E39" s="819"/>
      <c r="F39" s="820"/>
      <c r="G39" s="820">
        <v>500</v>
      </c>
      <c r="H39" s="820"/>
      <c r="I39" s="974"/>
      <c r="J39" s="4"/>
      <c r="K39" s="4"/>
      <c r="L39" s="4"/>
      <c r="M39" s="4"/>
      <c r="N39" s="4"/>
      <c r="O39" s="4"/>
      <c r="P39" s="4"/>
      <c r="Q39" s="4"/>
      <c r="R39" s="4"/>
    </row>
    <row r="40" spans="1:18" s="10" customFormat="1" ht="21" hidden="1" customHeight="1" x14ac:dyDescent="0.35">
      <c r="A40" s="731"/>
      <c r="B40" s="978" t="s">
        <v>642</v>
      </c>
      <c r="C40" s="819"/>
      <c r="D40" s="819"/>
      <c r="E40" s="819"/>
      <c r="F40" s="820"/>
      <c r="G40" s="820">
        <v>400</v>
      </c>
      <c r="H40" s="820"/>
      <c r="I40" s="974"/>
      <c r="J40" s="4"/>
      <c r="K40" s="4"/>
      <c r="L40" s="4"/>
      <c r="M40" s="4"/>
      <c r="N40" s="4"/>
      <c r="O40" s="4"/>
      <c r="P40" s="4"/>
      <c r="Q40" s="4"/>
      <c r="R40" s="4"/>
    </row>
    <row r="41" spans="1:18" s="10" customFormat="1" ht="21" customHeight="1" x14ac:dyDescent="0.35">
      <c r="A41" s="731"/>
      <c r="B41" s="978" t="s">
        <v>643</v>
      </c>
      <c r="C41" s="819"/>
      <c r="D41" s="819"/>
      <c r="E41" s="819"/>
      <c r="F41" s="820"/>
      <c r="G41" s="820">
        <v>200</v>
      </c>
      <c r="H41" s="820">
        <v>250</v>
      </c>
      <c r="I41" s="974"/>
      <c r="J41" s="4"/>
      <c r="K41" s="4"/>
      <c r="L41" s="4"/>
      <c r="M41" s="4"/>
      <c r="N41" s="4"/>
      <c r="O41" s="4"/>
      <c r="P41" s="4"/>
      <c r="Q41" s="4"/>
      <c r="R41" s="4"/>
    </row>
    <row r="42" spans="1:18" s="10" customFormat="1" ht="21" hidden="1" customHeight="1" x14ac:dyDescent="0.35">
      <c r="A42" s="731"/>
      <c r="B42" s="978" t="s">
        <v>644</v>
      </c>
      <c r="C42" s="819"/>
      <c r="D42" s="819"/>
      <c r="E42" s="819"/>
      <c r="F42" s="820"/>
      <c r="G42" s="820">
        <v>400</v>
      </c>
      <c r="H42" s="820"/>
      <c r="I42" s="974"/>
      <c r="J42" s="4"/>
      <c r="K42" s="4"/>
      <c r="L42" s="4"/>
      <c r="M42" s="4"/>
      <c r="N42" s="4"/>
      <c r="O42" s="4"/>
      <c r="P42" s="4"/>
      <c r="Q42" s="4"/>
      <c r="R42" s="4"/>
    </row>
    <row r="43" spans="1:18" s="10" customFormat="1" ht="21" hidden="1" customHeight="1" x14ac:dyDescent="0.35">
      <c r="A43" s="731"/>
      <c r="B43" s="977" t="s">
        <v>126</v>
      </c>
      <c r="C43" s="819">
        <v>270</v>
      </c>
      <c r="D43" s="819">
        <v>1120</v>
      </c>
      <c r="E43" s="819"/>
      <c r="F43" s="820">
        <v>305</v>
      </c>
      <c r="G43" s="820">
        <v>2277</v>
      </c>
      <c r="H43" s="820"/>
      <c r="I43" s="974"/>
      <c r="J43" s="4"/>
      <c r="K43" s="4"/>
      <c r="L43" s="4"/>
      <c r="M43" s="4"/>
      <c r="N43" s="4"/>
      <c r="O43" s="4"/>
      <c r="P43" s="4"/>
      <c r="Q43" s="4"/>
      <c r="R43" s="4"/>
    </row>
    <row r="44" spans="1:18" s="10" customFormat="1" ht="21" customHeight="1" x14ac:dyDescent="0.35">
      <c r="A44" s="731"/>
      <c r="B44" s="977" t="s">
        <v>665</v>
      </c>
      <c r="C44" s="819"/>
      <c r="D44" s="819"/>
      <c r="E44" s="819"/>
      <c r="F44" s="820"/>
      <c r="G44" s="820"/>
      <c r="H44" s="820">
        <v>300</v>
      </c>
      <c r="I44" s="974"/>
      <c r="J44" s="4"/>
      <c r="K44" s="4"/>
      <c r="L44" s="4"/>
      <c r="M44" s="4"/>
      <c r="N44" s="4"/>
      <c r="O44" s="4"/>
      <c r="P44" s="4"/>
      <c r="Q44" s="4"/>
      <c r="R44" s="4"/>
    </row>
    <row r="45" spans="1:18" s="10" customFormat="1" ht="21" customHeight="1" x14ac:dyDescent="0.35">
      <c r="A45" s="731"/>
      <c r="B45" s="977" t="s">
        <v>664</v>
      </c>
      <c r="C45" s="819"/>
      <c r="D45" s="819"/>
      <c r="E45" s="819"/>
      <c r="F45" s="820"/>
      <c r="G45" s="820"/>
      <c r="H45" s="820">
        <v>3000</v>
      </c>
      <c r="I45" s="974"/>
      <c r="J45" s="4"/>
      <c r="K45" s="4"/>
      <c r="L45" s="4"/>
      <c r="M45" s="4"/>
      <c r="N45" s="4"/>
      <c r="O45" s="4"/>
      <c r="P45" s="4"/>
      <c r="Q45" s="4"/>
      <c r="R45" s="4"/>
    </row>
    <row r="46" spans="1:18" ht="21" customHeight="1" x14ac:dyDescent="0.35">
      <c r="A46" s="732"/>
      <c r="B46" s="976" t="s">
        <v>677</v>
      </c>
      <c r="C46" s="815"/>
      <c r="D46" s="815"/>
      <c r="E46" s="815"/>
      <c r="F46" s="816"/>
      <c r="G46" s="816"/>
      <c r="H46" s="816">
        <v>240</v>
      </c>
      <c r="I46" s="974"/>
    </row>
    <row r="47" spans="1:18" ht="23.25" customHeight="1" x14ac:dyDescent="0.25">
      <c r="B47" s="822" t="s">
        <v>409</v>
      </c>
    </row>
    <row r="49" spans="2:8" ht="33" hidden="1" customHeight="1" outlineLevel="1" x14ac:dyDescent="0.2">
      <c r="B49" s="808" t="s">
        <v>503</v>
      </c>
      <c r="C49" s="809">
        <v>2012</v>
      </c>
      <c r="D49" s="809">
        <v>2013</v>
      </c>
      <c r="E49" s="809">
        <v>2014</v>
      </c>
      <c r="F49" s="809">
        <v>2015</v>
      </c>
      <c r="G49" s="809">
        <v>2016</v>
      </c>
      <c r="H49" s="809">
        <v>2017</v>
      </c>
    </row>
    <row r="50" spans="2:8" ht="21" hidden="1" customHeight="1" outlineLevel="1" x14ac:dyDescent="0.2">
      <c r="B50" s="811" t="s">
        <v>201</v>
      </c>
      <c r="C50" s="812">
        <f>C53</f>
        <v>1000</v>
      </c>
      <c r="D50" s="812">
        <f>D53</f>
        <v>2000</v>
      </c>
      <c r="E50" s="812">
        <f>E53</f>
        <v>0</v>
      </c>
      <c r="F50" s="812">
        <f>SUM(F51,F53)</f>
        <v>6300</v>
      </c>
      <c r="G50" s="812">
        <f>SUM(G51,G53)</f>
        <v>0</v>
      </c>
      <c r="H50" s="812">
        <f>SUM(H51,H53)</f>
        <v>0</v>
      </c>
    </row>
    <row r="51" spans="2:8" ht="21" hidden="1" customHeight="1" outlineLevel="1" x14ac:dyDescent="0.35">
      <c r="B51" s="813" t="s">
        <v>9</v>
      </c>
      <c r="C51" s="814"/>
      <c r="D51" s="814"/>
      <c r="E51" s="814"/>
      <c r="F51" s="816">
        <f>SUM(F52)</f>
        <v>300</v>
      </c>
      <c r="G51" s="816">
        <f>SUM(G52)</f>
        <v>0</v>
      </c>
      <c r="H51" s="816">
        <f>SUM(H52)</f>
        <v>0</v>
      </c>
    </row>
    <row r="52" spans="2:8" ht="21" hidden="1" customHeight="1" outlineLevel="1" x14ac:dyDescent="0.35">
      <c r="B52" s="817" t="s">
        <v>505</v>
      </c>
      <c r="C52" s="818"/>
      <c r="D52" s="818"/>
      <c r="E52" s="818"/>
      <c r="F52" s="820">
        <v>300</v>
      </c>
      <c r="G52" s="820"/>
      <c r="H52" s="820"/>
    </row>
    <row r="53" spans="2:8" ht="21" hidden="1" customHeight="1" outlineLevel="1" x14ac:dyDescent="0.35">
      <c r="B53" s="821" t="s">
        <v>18</v>
      </c>
      <c r="C53" s="816">
        <f t="shared" ref="C53:H53" si="1">SUM(C54:C56)</f>
        <v>1000</v>
      </c>
      <c r="D53" s="816">
        <f t="shared" si="1"/>
        <v>2000</v>
      </c>
      <c r="E53" s="816">
        <f t="shared" si="1"/>
        <v>0</v>
      </c>
      <c r="F53" s="816">
        <f t="shared" si="1"/>
        <v>6000</v>
      </c>
      <c r="G53" s="816">
        <f t="shared" si="1"/>
        <v>0</v>
      </c>
      <c r="H53" s="816">
        <f t="shared" si="1"/>
        <v>0</v>
      </c>
    </row>
    <row r="54" spans="2:8" ht="21" hidden="1" customHeight="1" outlineLevel="1" x14ac:dyDescent="0.35">
      <c r="B54" s="817" t="s">
        <v>504</v>
      </c>
      <c r="C54" s="819">
        <v>1000</v>
      </c>
      <c r="D54" s="819">
        <v>2000</v>
      </c>
      <c r="E54" s="819"/>
      <c r="F54" s="820"/>
      <c r="G54" s="820"/>
      <c r="H54" s="820"/>
    </row>
    <row r="55" spans="2:8" ht="21" hidden="1" customHeight="1" outlineLevel="1" x14ac:dyDescent="0.35">
      <c r="B55" s="817" t="s">
        <v>505</v>
      </c>
      <c r="C55" s="819"/>
      <c r="D55" s="819"/>
      <c r="E55" s="819"/>
      <c r="F55" s="820">
        <v>2400</v>
      </c>
      <c r="G55" s="820"/>
      <c r="H55" s="820"/>
    </row>
    <row r="56" spans="2:8" ht="21" hidden="1" customHeight="1" outlineLevel="1" x14ac:dyDescent="0.35">
      <c r="B56" s="817" t="s">
        <v>505</v>
      </c>
      <c r="C56" s="819"/>
      <c r="D56" s="819"/>
      <c r="E56" s="819"/>
      <c r="F56" s="820">
        <v>3600</v>
      </c>
      <c r="G56" s="820"/>
      <c r="H56" s="820"/>
    </row>
    <row r="57" spans="2:8" ht="33" customHeight="1" collapsed="1" x14ac:dyDescent="0.25"/>
  </sheetData>
  <printOptions horizontalCentered="1"/>
  <pageMargins left="0.27559055118110237" right="0" top="0.19685039370078741" bottom="0.15748031496062992" header="0.47244094488188981" footer="0.15748031496062992"/>
  <pageSetup paperSize="9" scale="91" orientation="portrait" r:id="rId1"/>
  <headerFooter alignWithMargins="0">
    <oddFooter>&amp;A&amp;RStránka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2</vt:i4>
      </vt:variant>
    </vt:vector>
  </HeadingPairs>
  <TitlesOfParts>
    <vt:vector size="15" baseType="lpstr">
      <vt:lpstr>str1</vt:lpstr>
      <vt:lpstr>str2</vt:lpstr>
      <vt:lpstr>str3</vt:lpstr>
      <vt:lpstr>str4</vt:lpstr>
      <vt:lpstr>str5</vt:lpstr>
      <vt:lpstr>rozpis pro rozpocet</vt:lpstr>
      <vt:lpstr> rozpis pro HS</vt:lpstr>
      <vt:lpstr>příl.1 - cp 2017</vt:lpstr>
      <vt:lpstr>příl.2 - NEI pro INV</vt:lpstr>
      <vt:lpstr>příl.3 - Osnova NEI 2017</vt:lpstr>
      <vt:lpstr>Rozdělení IRP</vt:lpstr>
      <vt:lpstr>pom1 - Přerozdělení IP</vt:lpstr>
      <vt:lpstr>pom2 - Poměr VaV</vt:lpstr>
      <vt:lpstr>'příl.1 - cp 2017'!Názvy_tisku</vt:lpstr>
      <vt:lpstr>'příl.1 - cp 2017'!Oblast_tisku</vt:lpstr>
    </vt:vector>
  </TitlesOfParts>
  <Company>RMU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J.Tomanova</dc:creator>
  <cp:lastModifiedBy>Havranek</cp:lastModifiedBy>
  <cp:lastPrinted>2017-03-27T06:51:37Z</cp:lastPrinted>
  <dcterms:created xsi:type="dcterms:W3CDTF">2002-02-05T08:08:05Z</dcterms:created>
  <dcterms:modified xsi:type="dcterms:W3CDTF">2017-03-27T07:58:48Z</dcterms:modified>
</cp:coreProperties>
</file>