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Odesláno na AS\"/>
    </mc:Choice>
  </mc:AlternateContent>
  <bookViews>
    <workbookView xWindow="0" yWindow="0" windowWidth="28800" windowHeight="11700" tabRatio="835" activeTab="6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18" sheetId="33" r:id="rId8"/>
    <sheet name="příl.2 - NEI pro INV" sheetId="44" r:id="rId9"/>
    <sheet name="příl.3 - Osnova NEI 2018" sheetId="51" r:id="rId10"/>
    <sheet name="Rozdělení IRP" sheetId="52" r:id="rId11"/>
    <sheet name="pom1 - Přerozdělení IP" sheetId="43" r:id="rId12"/>
    <sheet name="Plánované náklady z IP" sheetId="53" r:id="rId13"/>
  </sheets>
  <definedNames>
    <definedName name="_xlnm._FilterDatabase" localSheetId="7" hidden="1">'příl.1 - cp 2018'!$A$5:$M$172</definedName>
    <definedName name="aa">#REF!</definedName>
    <definedName name="bbb">#REF!</definedName>
    <definedName name="bcd">#REF!</definedName>
    <definedName name="bla" localSheetId="12">#REF!</definedName>
    <definedName name="bla" localSheetId="7">#REF!</definedName>
    <definedName name="bla" localSheetId="10">#REF!</definedName>
    <definedName name="bla">#REF!</definedName>
    <definedName name="bnla">#REF!</definedName>
    <definedName name="_xlnm.Database" localSheetId="12">#REF!</definedName>
    <definedName name="_xlnm.Database" localSheetId="7">#REF!</definedName>
    <definedName name="_xlnm.Database" localSheetId="10">#REF!</definedName>
    <definedName name="_xlnm.Database">#REF!</definedName>
    <definedName name="Excel_BuiltIn__FilterDatabase_2">#REF!</definedName>
    <definedName name="Excel_BuiltIn_Database">#REF!</definedName>
    <definedName name="_xlnm.Print_Titles" localSheetId="7">'příl.1 - cp 2018'!$4:$5</definedName>
    <definedName name="_xlnm.Print_Area" localSheetId="7">'příl.1 - cp 2018'!$A$1:$N$180</definedName>
    <definedName name="progr2013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D11" i="48" l="1"/>
  <c r="B11" i="48"/>
  <c r="F30" i="48" l="1"/>
  <c r="D34" i="48"/>
  <c r="C30" i="48"/>
  <c r="N37" i="43" l="1"/>
  <c r="D31" i="43"/>
  <c r="D27" i="43"/>
  <c r="J31" i="43"/>
  <c r="J27" i="43"/>
  <c r="J21" i="43"/>
  <c r="H21" i="43" l="1"/>
  <c r="O21" i="43"/>
  <c r="P21" i="43" s="1"/>
  <c r="C25" i="53"/>
  <c r="C19" i="53"/>
  <c r="C4" i="53" s="1"/>
  <c r="C11" i="53"/>
  <c r="C18" i="44" l="1"/>
  <c r="C4" i="44" s="1"/>
  <c r="C16" i="44"/>
  <c r="C13" i="44"/>
  <c r="C11" i="44"/>
  <c r="C9" i="44"/>
  <c r="C5" i="44"/>
  <c r="F24" i="3"/>
  <c r="E25" i="3"/>
  <c r="G35" i="7"/>
  <c r="J182" i="33" l="1"/>
  <c r="J183" i="33"/>
  <c r="J184" i="33"/>
  <c r="J160" i="33"/>
  <c r="J159" i="33"/>
  <c r="J157" i="33"/>
  <c r="J134" i="33"/>
  <c r="J132" i="33"/>
  <c r="J130" i="33"/>
  <c r="J128" i="33"/>
  <c r="J121" i="33"/>
  <c r="J119" i="33"/>
  <c r="J116" i="33"/>
  <c r="J113" i="33"/>
  <c r="J111" i="33"/>
  <c r="J107" i="33"/>
  <c r="J104" i="33"/>
  <c r="J100" i="33"/>
  <c r="J97" i="33"/>
  <c r="J93" i="33"/>
  <c r="J185" i="33" l="1"/>
  <c r="J27" i="33"/>
  <c r="F28" i="1"/>
  <c r="AH15" i="32"/>
  <c r="AH16" i="32"/>
  <c r="AH17" i="32"/>
  <c r="J178" i="33" l="1"/>
  <c r="J174" i="33"/>
  <c r="J176" i="33"/>
  <c r="W7" i="32"/>
  <c r="W8" i="32"/>
  <c r="W9" i="32"/>
  <c r="W10" i="32"/>
  <c r="W11" i="32"/>
  <c r="W12" i="32"/>
  <c r="W13" i="32"/>
  <c r="W14" i="32"/>
  <c r="W15" i="32"/>
  <c r="W16" i="32"/>
  <c r="W17" i="32"/>
  <c r="W6" i="32"/>
  <c r="U7" i="32"/>
  <c r="U8" i="32"/>
  <c r="U9" i="32"/>
  <c r="U10" i="32"/>
  <c r="U11" i="32"/>
  <c r="U12" i="32"/>
  <c r="U13" i="32"/>
  <c r="U14" i="32"/>
  <c r="U6" i="32"/>
  <c r="T7" i="32"/>
  <c r="T8" i="32"/>
  <c r="T9" i="32"/>
  <c r="T10" i="32"/>
  <c r="T11" i="32"/>
  <c r="T12" i="32"/>
  <c r="T13" i="32"/>
  <c r="T14" i="32"/>
  <c r="T6" i="32"/>
  <c r="R1" i="32" l="1"/>
  <c r="S18" i="32"/>
  <c r="P106" i="3"/>
  <c r="E19" i="37" l="1"/>
  <c r="D19" i="37"/>
  <c r="I20" i="39" l="1"/>
  <c r="I21" i="39" l="1"/>
  <c r="H21" i="39"/>
  <c r="F21" i="39"/>
  <c r="E21" i="39"/>
  <c r="D21" i="39"/>
  <c r="C26" i="39"/>
  <c r="C25" i="39"/>
  <c r="C4" i="39"/>
  <c r="B28" i="39" l="1"/>
  <c r="P88" i="3" l="1"/>
  <c r="P86" i="3"/>
  <c r="P87" i="3"/>
  <c r="P89" i="3"/>
  <c r="P90" i="3"/>
  <c r="P91" i="3"/>
  <c r="P92" i="3"/>
  <c r="P93" i="3"/>
  <c r="P94" i="3"/>
  <c r="P95" i="3"/>
  <c r="P85" i="3"/>
  <c r="E45" i="52" l="1"/>
  <c r="D45" i="52"/>
  <c r="E44" i="52"/>
  <c r="E41" i="52"/>
  <c r="D21" i="52"/>
  <c r="F20" i="52"/>
  <c r="F19" i="52"/>
  <c r="E19" i="52"/>
  <c r="F18" i="52"/>
  <c r="E18" i="52"/>
  <c r="E20" i="52" s="1"/>
  <c r="G17" i="52"/>
  <c r="G21" i="52" s="1"/>
  <c r="E16" i="52"/>
  <c r="F16" i="52" s="1"/>
  <c r="E15" i="52"/>
  <c r="F15" i="52" s="1"/>
  <c r="E14" i="52"/>
  <c r="F14" i="52" s="1"/>
  <c r="E13" i="52"/>
  <c r="F13" i="52" s="1"/>
  <c r="E12" i="52"/>
  <c r="F12" i="52" s="1"/>
  <c r="E11" i="52"/>
  <c r="F11" i="52" s="1"/>
  <c r="E10" i="52"/>
  <c r="F10" i="52" s="1"/>
  <c r="E9" i="52"/>
  <c r="F9" i="52" s="1"/>
  <c r="E8" i="52"/>
  <c r="F8" i="52" s="1"/>
  <c r="F17" i="52" l="1"/>
  <c r="F21" i="52" s="1"/>
  <c r="E17" i="52"/>
  <c r="E21" i="52" s="1"/>
  <c r="C27" i="39" l="1"/>
  <c r="D31" i="48" l="1"/>
  <c r="G33" i="48"/>
  <c r="I27" i="7"/>
  <c r="E27" i="7"/>
  <c r="F10" i="7" s="1"/>
  <c r="G10" i="7" s="1"/>
  <c r="B27" i="7"/>
  <c r="I34" i="37"/>
  <c r="I32" i="37"/>
  <c r="E31" i="48"/>
  <c r="C5" i="48" s="1"/>
  <c r="Q21" i="43"/>
  <c r="E96" i="3" s="1"/>
  <c r="K21" i="48" s="1"/>
  <c r="H67" i="3"/>
  <c r="I69" i="3"/>
  <c r="F33" i="3"/>
  <c r="D33" i="3" s="1"/>
  <c r="F28" i="3"/>
  <c r="F26" i="3"/>
  <c r="G66" i="3" s="1"/>
  <c r="F25" i="3"/>
  <c r="D25" i="3" s="1"/>
  <c r="F23" i="3"/>
  <c r="G63" i="3" s="1"/>
  <c r="F22" i="3"/>
  <c r="G62" i="3" s="1"/>
  <c r="G39" i="7"/>
  <c r="Q14" i="7"/>
  <c r="Q12" i="7"/>
  <c r="I39" i="37"/>
  <c r="F31" i="48"/>
  <c r="E28" i="1"/>
  <c r="AE18" i="32"/>
  <c r="AF8" i="32" s="1"/>
  <c r="N6" i="32"/>
  <c r="Y18" i="32"/>
  <c r="Z13" i="32" s="1"/>
  <c r="F18" i="32"/>
  <c r="G7" i="32" s="1"/>
  <c r="I18" i="32"/>
  <c r="J9" i="32" s="1"/>
  <c r="C18" i="32"/>
  <c r="O28" i="51"/>
  <c r="N28" i="51"/>
  <c r="M28" i="51"/>
  <c r="L28" i="51"/>
  <c r="K28" i="51"/>
  <c r="J28" i="51"/>
  <c r="I28" i="51"/>
  <c r="H28" i="51"/>
  <c r="O4" i="51"/>
  <c r="O44" i="51" s="1"/>
  <c r="N4" i="51"/>
  <c r="N3" i="51" s="1"/>
  <c r="N45" i="51" s="1"/>
  <c r="M4" i="51"/>
  <c r="M3" i="51" s="1"/>
  <c r="L4" i="51"/>
  <c r="L3" i="51" s="1"/>
  <c r="K4" i="51"/>
  <c r="J4" i="51"/>
  <c r="J3" i="51" s="1"/>
  <c r="I4" i="51"/>
  <c r="I3" i="51" s="1"/>
  <c r="H4" i="51"/>
  <c r="H44" i="51" s="1"/>
  <c r="F4" i="51"/>
  <c r="F5" i="51" s="1"/>
  <c r="F6" i="51" s="1"/>
  <c r="F7" i="51" s="1"/>
  <c r="F8" i="51" s="1"/>
  <c r="F9" i="51" s="1"/>
  <c r="F10" i="51" s="1"/>
  <c r="F11" i="51" s="1"/>
  <c r="F12" i="51" s="1"/>
  <c r="F13" i="51" s="1"/>
  <c r="F14" i="51" s="1"/>
  <c r="F15" i="51" s="1"/>
  <c r="F18" i="51" s="1"/>
  <c r="F19" i="51" s="1"/>
  <c r="F20" i="51" s="1"/>
  <c r="F21" i="51" s="1"/>
  <c r="F22" i="51" s="1"/>
  <c r="F23" i="51" s="1"/>
  <c r="F24" i="51" s="1"/>
  <c r="F25" i="51" s="1"/>
  <c r="F26" i="51" s="1"/>
  <c r="F27" i="51" s="1"/>
  <c r="F28" i="51" s="1"/>
  <c r="F29" i="51" s="1"/>
  <c r="F30" i="51" s="1"/>
  <c r="F31" i="51" s="1"/>
  <c r="F32" i="51" s="1"/>
  <c r="F33" i="51" s="1"/>
  <c r="F34" i="51" s="1"/>
  <c r="F35" i="51" s="1"/>
  <c r="F36" i="51" s="1"/>
  <c r="F37" i="51" s="1"/>
  <c r="F38" i="51" s="1"/>
  <c r="F39" i="51" s="1"/>
  <c r="F40" i="51" s="1"/>
  <c r="F41" i="51" s="1"/>
  <c r="F42" i="51" s="1"/>
  <c r="F43" i="51" s="1"/>
  <c r="F44" i="51" s="1"/>
  <c r="F45" i="51" s="1"/>
  <c r="K3" i="51"/>
  <c r="K184" i="33"/>
  <c r="E183" i="33"/>
  <c r="F183" i="33"/>
  <c r="G183" i="33"/>
  <c r="H183" i="33"/>
  <c r="I183" i="33"/>
  <c r="K183" i="33"/>
  <c r="I119" i="33"/>
  <c r="K119" i="33"/>
  <c r="H59" i="3" s="1"/>
  <c r="I21" i="43" s="1"/>
  <c r="L21" i="43" s="1"/>
  <c r="K97" i="33"/>
  <c r="H49" i="3" s="1"/>
  <c r="I97" i="33"/>
  <c r="I93" i="33"/>
  <c r="K7" i="33"/>
  <c r="I31" i="37" s="1"/>
  <c r="K13" i="33"/>
  <c r="Q11" i="7" s="1"/>
  <c r="K93" i="33"/>
  <c r="K100" i="33"/>
  <c r="H51" i="3" s="1"/>
  <c r="I13" i="43" s="1"/>
  <c r="M13" i="43" s="1"/>
  <c r="H88" i="3" s="1"/>
  <c r="J14" i="48" s="1"/>
  <c r="K104" i="33"/>
  <c r="H52" i="3" s="1"/>
  <c r="I14" i="43" s="1"/>
  <c r="M14" i="43" s="1"/>
  <c r="K107" i="33"/>
  <c r="H53" i="3" s="1"/>
  <c r="I15" i="43" s="1"/>
  <c r="M15" i="43" s="1"/>
  <c r="H90" i="3" s="1"/>
  <c r="J16" i="48" s="1"/>
  <c r="K111" i="33"/>
  <c r="H54" i="3" s="1"/>
  <c r="I16" i="43" s="1"/>
  <c r="M16" i="43" s="1"/>
  <c r="H91" i="3" s="1"/>
  <c r="J17" i="48" s="1"/>
  <c r="K113" i="33"/>
  <c r="K116" i="33"/>
  <c r="H58" i="3" s="1"/>
  <c r="I20" i="43" s="1"/>
  <c r="M20" i="43" s="1"/>
  <c r="H95" i="3" s="1"/>
  <c r="J20" i="48" s="1"/>
  <c r="K121" i="33"/>
  <c r="K128" i="33"/>
  <c r="H61" i="3" s="1"/>
  <c r="I23" i="43" s="1"/>
  <c r="L23" i="43" s="1"/>
  <c r="K130" i="33"/>
  <c r="K132" i="33"/>
  <c r="H63" i="3" s="1"/>
  <c r="I25" i="43" s="1"/>
  <c r="K134" i="33"/>
  <c r="H65" i="3" s="1"/>
  <c r="K159" i="33"/>
  <c r="H68" i="3" s="1"/>
  <c r="K157" i="33"/>
  <c r="H66" i="3" s="1"/>
  <c r="I28" i="43" s="1"/>
  <c r="K160" i="33"/>
  <c r="K182" i="33"/>
  <c r="I182" i="33"/>
  <c r="F37" i="48"/>
  <c r="F33" i="48" s="1"/>
  <c r="I23" i="37"/>
  <c r="P107" i="3"/>
  <c r="K59" i="3"/>
  <c r="N172" i="33"/>
  <c r="H171" i="33"/>
  <c r="I171" i="33" s="1"/>
  <c r="N169" i="33"/>
  <c r="N166" i="33"/>
  <c r="N165" i="33"/>
  <c r="I7" i="33"/>
  <c r="D37" i="48"/>
  <c r="D33" i="48" s="1"/>
  <c r="C38" i="32"/>
  <c r="E38" i="32" s="1"/>
  <c r="C35" i="32"/>
  <c r="C34" i="32"/>
  <c r="E34" i="32" s="1"/>
  <c r="C28" i="32"/>
  <c r="E28" i="32" s="1"/>
  <c r="D10" i="39"/>
  <c r="H7" i="1"/>
  <c r="D14" i="39"/>
  <c r="D12" i="7"/>
  <c r="C28" i="1"/>
  <c r="E36" i="3"/>
  <c r="F36" i="3"/>
  <c r="E93" i="33"/>
  <c r="F157" i="33"/>
  <c r="E130" i="33"/>
  <c r="E132" i="33"/>
  <c r="E134" i="33"/>
  <c r="E113" i="33"/>
  <c r="E116" i="33"/>
  <c r="F116" i="33"/>
  <c r="H116" i="33"/>
  <c r="G116" i="33"/>
  <c r="E121" i="33"/>
  <c r="F121" i="33"/>
  <c r="G121" i="33"/>
  <c r="E119" i="33"/>
  <c r="F119" i="33"/>
  <c r="G119" i="33"/>
  <c r="I100" i="33"/>
  <c r="H100" i="33"/>
  <c r="G100" i="33"/>
  <c r="F100" i="33"/>
  <c r="E100" i="33"/>
  <c r="E107" i="33"/>
  <c r="E184" i="33"/>
  <c r="E182" i="33"/>
  <c r="E160" i="33"/>
  <c r="E159" i="33"/>
  <c r="E111" i="33"/>
  <c r="E104" i="33"/>
  <c r="E97" i="33"/>
  <c r="E13" i="33"/>
  <c r="E7" i="33"/>
  <c r="I35" i="43"/>
  <c r="L35" i="43" s="1"/>
  <c r="M35" i="43" s="1"/>
  <c r="G59" i="3"/>
  <c r="C21" i="43" s="1"/>
  <c r="G60" i="3"/>
  <c r="G61" i="3"/>
  <c r="C23" i="43" s="1"/>
  <c r="H23" i="43" s="1"/>
  <c r="G64" i="3"/>
  <c r="F64" i="3" s="1"/>
  <c r="E68" i="3"/>
  <c r="E30" i="43" s="1"/>
  <c r="E65" i="3"/>
  <c r="E27" i="43"/>
  <c r="E62" i="3"/>
  <c r="E24" i="43" s="1"/>
  <c r="P24" i="43" s="1"/>
  <c r="Q24" i="43" s="1"/>
  <c r="E99" i="3" s="1"/>
  <c r="E61" i="3"/>
  <c r="E60" i="3"/>
  <c r="E22" i="43"/>
  <c r="E59" i="3"/>
  <c r="E21" i="43" s="1"/>
  <c r="M18" i="32"/>
  <c r="I29" i="43"/>
  <c r="H188" i="33"/>
  <c r="G182" i="33"/>
  <c r="H182" i="33"/>
  <c r="H172" i="33"/>
  <c r="G184" i="33"/>
  <c r="F184" i="33"/>
  <c r="F182" i="33"/>
  <c r="C6" i="39"/>
  <c r="F27" i="39"/>
  <c r="H27" i="39" s="1"/>
  <c r="I168" i="33"/>
  <c r="N168" i="33" s="1"/>
  <c r="I132" i="33"/>
  <c r="I159" i="33"/>
  <c r="I130" i="33"/>
  <c r="H62" i="3" s="1"/>
  <c r="I116" i="33"/>
  <c r="I121" i="33"/>
  <c r="I128" i="33"/>
  <c r="I113" i="33"/>
  <c r="I157" i="33"/>
  <c r="I104" i="33"/>
  <c r="I111" i="33"/>
  <c r="I134" i="33"/>
  <c r="I13" i="33"/>
  <c r="I6" i="33" s="1"/>
  <c r="H168" i="33"/>
  <c r="G188" i="33"/>
  <c r="H121" i="33"/>
  <c r="H132" i="33"/>
  <c r="F97" i="33"/>
  <c r="H97" i="33"/>
  <c r="G97" i="33"/>
  <c r="A29" i="33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H128" i="33"/>
  <c r="H119" i="33"/>
  <c r="H130" i="33"/>
  <c r="H159" i="33"/>
  <c r="H157" i="33"/>
  <c r="H113" i="33"/>
  <c r="H107" i="33"/>
  <c r="H104" i="33"/>
  <c r="H111" i="33"/>
  <c r="H134" i="33"/>
  <c r="H93" i="33"/>
  <c r="H13" i="33"/>
  <c r="H7" i="33"/>
  <c r="G31" i="48"/>
  <c r="C4" i="48" s="1"/>
  <c r="E37" i="48"/>
  <c r="E33" i="48" s="1"/>
  <c r="B37" i="48"/>
  <c r="B33" i="48" s="1"/>
  <c r="F160" i="33"/>
  <c r="F159" i="33"/>
  <c r="F107" i="33"/>
  <c r="F104" i="33"/>
  <c r="F93" i="33"/>
  <c r="F132" i="33"/>
  <c r="F130" i="33"/>
  <c r="F113" i="33"/>
  <c r="F111" i="33"/>
  <c r="F134" i="33"/>
  <c r="F13" i="33"/>
  <c r="F7" i="33"/>
  <c r="Q107" i="3"/>
  <c r="D25" i="7"/>
  <c r="D26" i="7"/>
  <c r="G32" i="7"/>
  <c r="C6" i="48"/>
  <c r="B31" i="48"/>
  <c r="N106" i="3"/>
  <c r="K106" i="3" s="1"/>
  <c r="K95" i="3"/>
  <c r="M107" i="3"/>
  <c r="K100" i="3"/>
  <c r="K104" i="3"/>
  <c r="K98" i="3"/>
  <c r="K101" i="3"/>
  <c r="K102" i="3"/>
  <c r="K103" i="3"/>
  <c r="K105" i="3"/>
  <c r="K96" i="3"/>
  <c r="K99" i="3"/>
  <c r="K86" i="3"/>
  <c r="K87" i="3"/>
  <c r="K88" i="3"/>
  <c r="K89" i="3"/>
  <c r="K90" i="3"/>
  <c r="K92" i="3"/>
  <c r="K93" i="3"/>
  <c r="K85" i="3"/>
  <c r="I26" i="43"/>
  <c r="L26" i="43" s="1"/>
  <c r="I22" i="43"/>
  <c r="M108" i="3"/>
  <c r="I94" i="3"/>
  <c r="J94" i="3"/>
  <c r="K91" i="3"/>
  <c r="G58" i="3"/>
  <c r="C20" i="43"/>
  <c r="E23" i="43"/>
  <c r="P23" i="43" s="1"/>
  <c r="Q23" i="43" s="1"/>
  <c r="E98" i="3" s="1"/>
  <c r="F27" i="3"/>
  <c r="G67" i="3" s="1"/>
  <c r="G17" i="3"/>
  <c r="G34" i="3"/>
  <c r="E34" i="3"/>
  <c r="I57" i="3"/>
  <c r="J57" i="3"/>
  <c r="N70" i="3"/>
  <c r="N72" i="3" s="1"/>
  <c r="M70" i="3"/>
  <c r="L70" i="3"/>
  <c r="K71" i="3"/>
  <c r="K108" i="3" s="1"/>
  <c r="K60" i="3"/>
  <c r="K61" i="3"/>
  <c r="K62" i="3"/>
  <c r="K63" i="3"/>
  <c r="K64" i="3"/>
  <c r="K65" i="3"/>
  <c r="K66" i="3"/>
  <c r="K67" i="3"/>
  <c r="K68" i="3"/>
  <c r="K69" i="3"/>
  <c r="K58" i="3"/>
  <c r="K49" i="3"/>
  <c r="K50" i="3"/>
  <c r="K51" i="3"/>
  <c r="K52" i="3"/>
  <c r="K53" i="3"/>
  <c r="K54" i="3"/>
  <c r="K55" i="3"/>
  <c r="K56" i="3"/>
  <c r="K48" i="3"/>
  <c r="M57" i="3"/>
  <c r="M72" i="3" s="1"/>
  <c r="L57" i="3"/>
  <c r="D20" i="3"/>
  <c r="D21" i="3"/>
  <c r="K34" i="3"/>
  <c r="I34" i="3"/>
  <c r="J34" i="3"/>
  <c r="H9" i="3"/>
  <c r="H10" i="3"/>
  <c r="H11" i="3"/>
  <c r="H12" i="3"/>
  <c r="H13" i="3"/>
  <c r="H14" i="3"/>
  <c r="H15" i="3"/>
  <c r="H16" i="3"/>
  <c r="H8" i="3"/>
  <c r="J17" i="3"/>
  <c r="I17" i="3"/>
  <c r="K30" i="3"/>
  <c r="K35" i="3" s="1"/>
  <c r="H32" i="3"/>
  <c r="H33" i="3"/>
  <c r="H31" i="3"/>
  <c r="H20" i="3"/>
  <c r="H21" i="3"/>
  <c r="H22" i="3"/>
  <c r="H23" i="3"/>
  <c r="H24" i="3"/>
  <c r="H25" i="3"/>
  <c r="H26" i="3"/>
  <c r="H27" i="3"/>
  <c r="H28" i="3"/>
  <c r="H29" i="3"/>
  <c r="H18" i="3"/>
  <c r="I30" i="3"/>
  <c r="J30" i="3"/>
  <c r="G107" i="33"/>
  <c r="G160" i="33"/>
  <c r="G132" i="33"/>
  <c r="G159" i="33"/>
  <c r="G130" i="33"/>
  <c r="G128" i="33"/>
  <c r="G113" i="33"/>
  <c r="G157" i="33"/>
  <c r="G104" i="33"/>
  <c r="G111" i="33"/>
  <c r="G134" i="33"/>
  <c r="G13" i="33"/>
  <c r="G7" i="33"/>
  <c r="G6" i="33" s="1"/>
  <c r="E15" i="37"/>
  <c r="D11" i="39"/>
  <c r="D12" i="39"/>
  <c r="D13" i="39"/>
  <c r="D15" i="39"/>
  <c r="D16" i="39"/>
  <c r="D17" i="39"/>
  <c r="D18" i="39"/>
  <c r="D20" i="39"/>
  <c r="D22" i="39"/>
  <c r="D23" i="39"/>
  <c r="D24" i="39"/>
  <c r="D27" i="39"/>
  <c r="N7" i="32"/>
  <c r="N8" i="32"/>
  <c r="N9" i="32"/>
  <c r="N10" i="32"/>
  <c r="N11" i="32"/>
  <c r="N12" i="32"/>
  <c r="N13" i="32"/>
  <c r="N14" i="32"/>
  <c r="N15" i="32"/>
  <c r="N16" i="32"/>
  <c r="N17" i="32"/>
  <c r="AB18" i="32"/>
  <c r="AC6" i="32" s="1"/>
  <c r="P18" i="32"/>
  <c r="L18" i="32"/>
  <c r="N1" i="32"/>
  <c r="C36" i="32"/>
  <c r="E36" i="32" s="1"/>
  <c r="C37" i="32"/>
  <c r="E37" i="32"/>
  <c r="J8" i="1"/>
  <c r="J7" i="1"/>
  <c r="I8" i="1"/>
  <c r="G7" i="1"/>
  <c r="F9" i="1"/>
  <c r="I10" i="43"/>
  <c r="M10" i="43" s="1"/>
  <c r="H85" i="3" s="1"/>
  <c r="J11" i="48" s="1"/>
  <c r="I12" i="43"/>
  <c r="M12" i="43" s="1"/>
  <c r="H87" i="3" s="1"/>
  <c r="J13" i="48" s="1"/>
  <c r="I18" i="43"/>
  <c r="M18" i="43" s="1"/>
  <c r="H93" i="3" s="1"/>
  <c r="J19" i="48" s="1"/>
  <c r="O34" i="43"/>
  <c r="P34" i="43" s="1"/>
  <c r="O22" i="43"/>
  <c r="O23" i="43"/>
  <c r="O24" i="43"/>
  <c r="O25" i="43"/>
  <c r="O26" i="43"/>
  <c r="O29" i="43"/>
  <c r="O30" i="43"/>
  <c r="O37" i="43"/>
  <c r="J19" i="43"/>
  <c r="J33" i="43"/>
  <c r="D19" i="43"/>
  <c r="D33" i="43" s="1"/>
  <c r="L27" i="7"/>
  <c r="C27" i="7"/>
  <c r="D19" i="7"/>
  <c r="D20" i="7"/>
  <c r="D23" i="7"/>
  <c r="G28" i="39"/>
  <c r="L39" i="32"/>
  <c r="D19" i="39"/>
  <c r="C28" i="39"/>
  <c r="H25" i="7"/>
  <c r="H19" i="7"/>
  <c r="H20" i="7"/>
  <c r="M94" i="3"/>
  <c r="L94" i="3"/>
  <c r="K97" i="3"/>
  <c r="L107" i="3"/>
  <c r="G93" i="33"/>
  <c r="C33" i="32"/>
  <c r="E33" i="32" s="1"/>
  <c r="C29" i="32"/>
  <c r="E29" i="32" s="1"/>
  <c r="F25" i="7"/>
  <c r="G25" i="7" s="1"/>
  <c r="J25" i="7" s="1"/>
  <c r="K25" i="7" s="1"/>
  <c r="M25" i="7" s="1"/>
  <c r="N25" i="7" s="1"/>
  <c r="F23" i="7"/>
  <c r="G23" i="7" s="1"/>
  <c r="H23" i="7" s="1"/>
  <c r="F14" i="7"/>
  <c r="G14" i="7" s="1"/>
  <c r="C32" i="32"/>
  <c r="E32" i="32" s="1"/>
  <c r="C30" i="32"/>
  <c r="E30" i="32" s="1"/>
  <c r="C31" i="32"/>
  <c r="E31" i="32" s="1"/>
  <c r="D21" i="7"/>
  <c r="D18" i="7"/>
  <c r="D17" i="7"/>
  <c r="D22" i="7"/>
  <c r="D13" i="7"/>
  <c r="D15" i="7"/>
  <c r="D11" i="7"/>
  <c r="D16" i="7"/>
  <c r="D14" i="7"/>
  <c r="D24" i="7"/>
  <c r="D10" i="7"/>
  <c r="Q94" i="3"/>
  <c r="Q109" i="3" s="1"/>
  <c r="C27" i="32"/>
  <c r="C39" i="32" s="1"/>
  <c r="I107" i="33"/>
  <c r="E35" i="32"/>
  <c r="H26" i="7"/>
  <c r="I70" i="3"/>
  <c r="D28" i="3"/>
  <c r="G68" i="3"/>
  <c r="C30" i="43" s="1"/>
  <c r="H30" i="43" s="1"/>
  <c r="AC7" i="32"/>
  <c r="AD7" i="32" s="1"/>
  <c r="D19" i="1"/>
  <c r="D23" i="1"/>
  <c r="D24" i="1"/>
  <c r="D22" i="1"/>
  <c r="D18" i="1"/>
  <c r="D17" i="1"/>
  <c r="D21" i="1"/>
  <c r="D20" i="1"/>
  <c r="D16" i="1"/>
  <c r="AC14" i="32"/>
  <c r="AD14" i="32" s="1"/>
  <c r="F28" i="39"/>
  <c r="D22" i="3"/>
  <c r="F26" i="7"/>
  <c r="G26" i="7" s="1"/>
  <c r="J26" i="7" s="1"/>
  <c r="K26" i="7" s="1"/>
  <c r="M26" i="7" s="1"/>
  <c r="N26" i="7" s="1"/>
  <c r="F13" i="7"/>
  <c r="G13" i="7" s="1"/>
  <c r="F15" i="7"/>
  <c r="G15" i="7" s="1"/>
  <c r="H15" i="7" s="1"/>
  <c r="F24" i="7"/>
  <c r="G24" i="7" s="1"/>
  <c r="F22" i="7"/>
  <c r="G22" i="7" s="1"/>
  <c r="F18" i="7"/>
  <c r="G18" i="7" s="1"/>
  <c r="H18" i="7" s="1"/>
  <c r="F12" i="7"/>
  <c r="G12" i="7" s="1"/>
  <c r="H12" i="7" s="1"/>
  <c r="F19" i="7"/>
  <c r="G19" i="7" s="1"/>
  <c r="J19" i="7" s="1"/>
  <c r="K19" i="7" s="1"/>
  <c r="M19" i="7" s="1"/>
  <c r="N19" i="7" s="1"/>
  <c r="F20" i="7"/>
  <c r="G20" i="7" s="1"/>
  <c r="J20" i="7" s="1"/>
  <c r="K20" i="7" s="1"/>
  <c r="M20" i="7" s="1"/>
  <c r="N20" i="7" s="1"/>
  <c r="F21" i="7"/>
  <c r="G21" i="7" s="1"/>
  <c r="D6" i="32"/>
  <c r="E6" i="32" s="1"/>
  <c r="C22" i="32"/>
  <c r="Z11" i="32"/>
  <c r="AF7" i="32"/>
  <c r="AG7" i="32" s="1"/>
  <c r="F11" i="7"/>
  <c r="G11" i="7" s="1"/>
  <c r="F17" i="7"/>
  <c r="G17" i="7" s="1"/>
  <c r="J17" i="7" s="1"/>
  <c r="F16" i="7"/>
  <c r="G16" i="7" s="1"/>
  <c r="D11" i="32"/>
  <c r="E11" i="32" s="1"/>
  <c r="C26" i="43"/>
  <c r="H26" i="43" s="1"/>
  <c r="O3" i="51"/>
  <c r="O45" i="51" s="1"/>
  <c r="Z8" i="32"/>
  <c r="AA8" i="32" s="1"/>
  <c r="AH8" i="32" s="1"/>
  <c r="J45" i="51"/>
  <c r="C24" i="43"/>
  <c r="H24" i="43" s="1"/>
  <c r="Z10" i="32"/>
  <c r="AA10" i="32" s="1"/>
  <c r="AH10" i="32" s="1"/>
  <c r="Z9" i="32"/>
  <c r="AA9" i="32" s="1"/>
  <c r="AH9" i="32" s="1"/>
  <c r="Z12" i="32"/>
  <c r="AA12" i="32" s="1"/>
  <c r="AH12" i="32" s="1"/>
  <c r="Z6" i="32"/>
  <c r="AA6" i="32" s="1"/>
  <c r="AH6" i="32" s="1"/>
  <c r="Z7" i="32"/>
  <c r="AA7" i="32" s="1"/>
  <c r="AH7" i="32" s="1"/>
  <c r="Z14" i="32"/>
  <c r="AA14" i="32" s="1"/>
  <c r="AH14" i="32" s="1"/>
  <c r="X10" i="32"/>
  <c r="Q7" i="32"/>
  <c r="R7" i="32" s="1"/>
  <c r="AF14" i="32"/>
  <c r="AG14" i="32" s="1"/>
  <c r="AF9" i="32"/>
  <c r="AG9" i="32" s="1"/>
  <c r="AC11" i="32"/>
  <c r="AD11" i="32" s="1"/>
  <c r="Q12" i="32"/>
  <c r="R12" i="32" s="1"/>
  <c r="Q9" i="32"/>
  <c r="R9" i="32" s="1"/>
  <c r="AF10" i="32"/>
  <c r="AG10" i="32" s="1"/>
  <c r="Q8" i="32"/>
  <c r="R8" i="32" s="1"/>
  <c r="AF13" i="32"/>
  <c r="AG13" i="32" s="1"/>
  <c r="AF12" i="32"/>
  <c r="AG12" i="32" s="1"/>
  <c r="AC13" i="32"/>
  <c r="AD13" i="32" s="1"/>
  <c r="AC12" i="32"/>
  <c r="AD12" i="32" s="1"/>
  <c r="Q13" i="32"/>
  <c r="R13" i="32" s="1"/>
  <c r="Q11" i="32"/>
  <c r="R11" i="32" s="1"/>
  <c r="AC8" i="32"/>
  <c r="AD8" i="32" s="1"/>
  <c r="AC9" i="32"/>
  <c r="AD9" i="32" s="1"/>
  <c r="X14" i="32"/>
  <c r="AF6" i="32"/>
  <c r="AG6" i="32" s="1"/>
  <c r="AF11" i="32"/>
  <c r="AC10" i="32"/>
  <c r="AD10" i="32" s="1"/>
  <c r="Q16" i="32"/>
  <c r="R16" i="32" s="1"/>
  <c r="I184" i="33"/>
  <c r="I185" i="33" s="1"/>
  <c r="C22" i="43"/>
  <c r="H22" i="43" s="1"/>
  <c r="F60" i="3"/>
  <c r="D60" i="3" s="1"/>
  <c r="D14" i="32"/>
  <c r="E14" i="32" s="1"/>
  <c r="D10" i="32"/>
  <c r="E10" i="32" s="1"/>
  <c r="H71" i="3"/>
  <c r="I34" i="43" s="1"/>
  <c r="L34" i="43" s="1"/>
  <c r="M34" i="43" s="1"/>
  <c r="N34" i="43" s="1"/>
  <c r="G33" i="7"/>
  <c r="G34" i="7" s="1"/>
  <c r="Q10" i="7"/>
  <c r="I33" i="37"/>
  <c r="L45" i="51"/>
  <c r="G12" i="32"/>
  <c r="H12" i="32" s="1"/>
  <c r="X8" i="32"/>
  <c r="V18" i="32"/>
  <c r="X9" i="32"/>
  <c r="G11" i="32"/>
  <c r="H11" i="32" s="1"/>
  <c r="AG8" i="32"/>
  <c r="AD15" i="32"/>
  <c r="AG16" i="32"/>
  <c r="X7" i="32"/>
  <c r="AG15" i="32"/>
  <c r="X11" i="32"/>
  <c r="Q10" i="32"/>
  <c r="R10" i="32" s="1"/>
  <c r="AD17" i="32"/>
  <c r="AG17" i="32"/>
  <c r="Q14" i="32"/>
  <c r="R14" i="32" s="1"/>
  <c r="Q15" i="32"/>
  <c r="R15" i="32" s="1"/>
  <c r="AD16" i="32"/>
  <c r="G37" i="48"/>
  <c r="J23" i="7"/>
  <c r="K23" i="7" s="1"/>
  <c r="M23" i="7" s="1"/>
  <c r="N23" i="7" s="1"/>
  <c r="H184" i="33"/>
  <c r="H160" i="33"/>
  <c r="H55" i="3"/>
  <c r="I17" i="43" s="1"/>
  <c r="M17" i="43" s="1"/>
  <c r="H92" i="3" s="1"/>
  <c r="J18" i="48" s="1"/>
  <c r="I24" i="43"/>
  <c r="M22" i="43"/>
  <c r="H97" i="3" s="1"/>
  <c r="J22" i="48" s="1"/>
  <c r="L22" i="43"/>
  <c r="D13" i="32"/>
  <c r="E13" i="32" s="1"/>
  <c r="D8" i="32"/>
  <c r="E8" i="32" s="1"/>
  <c r="D9" i="32"/>
  <c r="E9" i="32" s="1"/>
  <c r="D15" i="32"/>
  <c r="E15" i="32" s="1"/>
  <c r="D17" i="32"/>
  <c r="E17" i="32" s="1"/>
  <c r="D12" i="32"/>
  <c r="E12" i="32" s="1"/>
  <c r="D7" i="32"/>
  <c r="E7" i="32" s="1"/>
  <c r="D16" i="32"/>
  <c r="E16" i="32" s="1"/>
  <c r="X6" i="32"/>
  <c r="X13" i="32"/>
  <c r="G17" i="1"/>
  <c r="H17" i="1" s="1"/>
  <c r="C7" i="37" s="1"/>
  <c r="F59" i="3" l="1"/>
  <c r="D59" i="3" s="1"/>
  <c r="G185" i="33"/>
  <c r="E185" i="33"/>
  <c r="H185" i="33"/>
  <c r="F6" i="33"/>
  <c r="F27" i="33"/>
  <c r="F176" i="33" s="1"/>
  <c r="H6" i="33"/>
  <c r="A81" i="33"/>
  <c r="F58" i="3"/>
  <c r="H108" i="3"/>
  <c r="F108" i="3" s="1"/>
  <c r="D108" i="3" s="1"/>
  <c r="F71" i="3"/>
  <c r="D71" i="3" s="1"/>
  <c r="K185" i="33"/>
  <c r="K6" i="33"/>
  <c r="F31" i="3" s="1"/>
  <c r="D31" i="3" s="1"/>
  <c r="F174" i="33"/>
  <c r="G65" i="3"/>
  <c r="C27" i="43" s="1"/>
  <c r="K27" i="33"/>
  <c r="Q15" i="7"/>
  <c r="I41" i="37"/>
  <c r="H69" i="3"/>
  <c r="I31" i="43" s="1"/>
  <c r="J12" i="7"/>
  <c r="K12" i="7" s="1"/>
  <c r="M12" i="7" s="1"/>
  <c r="N12" i="7" s="1"/>
  <c r="F10" i="3" s="1"/>
  <c r="G50" i="3" s="1"/>
  <c r="C12" i="43" s="1"/>
  <c r="J10" i="7"/>
  <c r="K10" i="7" s="1"/>
  <c r="H10" i="7"/>
  <c r="K17" i="7"/>
  <c r="M17" i="7" s="1"/>
  <c r="N17" i="7" s="1"/>
  <c r="F15" i="3" s="1"/>
  <c r="G55" i="3" s="1"/>
  <c r="F55" i="3" s="1"/>
  <c r="X16" i="32"/>
  <c r="T17" i="32"/>
  <c r="U17" i="32" s="1"/>
  <c r="T16" i="32"/>
  <c r="U16" i="32" s="1"/>
  <c r="T15" i="32"/>
  <c r="N18" i="32"/>
  <c r="O7" i="32"/>
  <c r="O9" i="32"/>
  <c r="J6" i="32"/>
  <c r="K6" i="32" s="1"/>
  <c r="J13" i="32"/>
  <c r="K13" i="32" s="1"/>
  <c r="J7" i="32"/>
  <c r="K7" i="32" s="1"/>
  <c r="J16" i="32"/>
  <c r="K16" i="32" s="1"/>
  <c r="J10" i="32"/>
  <c r="K10" i="32" s="1"/>
  <c r="J11" i="32"/>
  <c r="K11" i="32" s="1"/>
  <c r="J8" i="32"/>
  <c r="J17" i="32"/>
  <c r="K17" i="32" s="1"/>
  <c r="J14" i="32"/>
  <c r="K14" i="32" s="1"/>
  <c r="J12" i="32"/>
  <c r="K12" i="32" s="1"/>
  <c r="J15" i="32"/>
  <c r="K15" i="32" s="1"/>
  <c r="X12" i="32"/>
  <c r="K9" i="32"/>
  <c r="D30" i="32" s="1"/>
  <c r="O11" i="32"/>
  <c r="O12" i="32"/>
  <c r="AA13" i="32"/>
  <c r="AH13" i="32" s="1"/>
  <c r="G18" i="32"/>
  <c r="H7" i="32"/>
  <c r="H18" i="32" s="1"/>
  <c r="Z18" i="32"/>
  <c r="H17" i="7"/>
  <c r="M109" i="3"/>
  <c r="K94" i="3"/>
  <c r="K107" i="3"/>
  <c r="J35" i="3"/>
  <c r="C25" i="43"/>
  <c r="H25" i="43" s="1"/>
  <c r="F63" i="3"/>
  <c r="H30" i="3"/>
  <c r="I35" i="3"/>
  <c r="K57" i="3"/>
  <c r="H34" i="3"/>
  <c r="F61" i="3"/>
  <c r="D61" i="3" s="1"/>
  <c r="N107" i="3"/>
  <c r="N109" i="3" s="1"/>
  <c r="H17" i="3"/>
  <c r="K45" i="51"/>
  <c r="H3" i="51"/>
  <c r="H45" i="51" s="1"/>
  <c r="J14" i="7"/>
  <c r="H14" i="7"/>
  <c r="M25" i="43"/>
  <c r="H100" i="3" s="1"/>
  <c r="J25" i="48" s="1"/>
  <c r="L25" i="43"/>
  <c r="J11" i="7"/>
  <c r="K11" i="7" s="1"/>
  <c r="M11" i="7" s="1"/>
  <c r="N11" i="7" s="1"/>
  <c r="F9" i="3" s="1"/>
  <c r="G49" i="3" s="1"/>
  <c r="C11" i="43" s="1"/>
  <c r="H11" i="7"/>
  <c r="H21" i="7"/>
  <c r="J21" i="7"/>
  <c r="K21" i="7" s="1"/>
  <c r="M21" i="7" s="1"/>
  <c r="N21" i="7" s="1"/>
  <c r="J16" i="7"/>
  <c r="K16" i="7" s="1"/>
  <c r="M16" i="7" s="1"/>
  <c r="N16" i="7" s="1"/>
  <c r="F14" i="3" s="1"/>
  <c r="G54" i="3" s="1"/>
  <c r="C16" i="43" s="1"/>
  <c r="H16" i="7"/>
  <c r="J22" i="7"/>
  <c r="K22" i="7" s="1"/>
  <c r="M22" i="7" s="1"/>
  <c r="N22" i="7" s="1"/>
  <c r="H22" i="7"/>
  <c r="J13" i="7"/>
  <c r="K13" i="7" s="1"/>
  <c r="M13" i="7" s="1"/>
  <c r="N13" i="7" s="1"/>
  <c r="F11" i="3" s="1"/>
  <c r="G51" i="3" s="1"/>
  <c r="F51" i="3" s="1"/>
  <c r="H13" i="7"/>
  <c r="I30" i="43"/>
  <c r="F68" i="3"/>
  <c r="D68" i="3" s="1"/>
  <c r="C29" i="43"/>
  <c r="H29" i="43" s="1"/>
  <c r="F67" i="3"/>
  <c r="I11" i="43"/>
  <c r="H57" i="3"/>
  <c r="N22" i="43"/>
  <c r="G97" i="3" s="1"/>
  <c r="J18" i="7"/>
  <c r="K18" i="7" s="1"/>
  <c r="M18" i="7" s="1"/>
  <c r="N18" i="7" s="1"/>
  <c r="F16" i="3" s="1"/>
  <c r="G56" i="3" s="1"/>
  <c r="F56" i="3" s="1"/>
  <c r="J15" i="7"/>
  <c r="K15" i="7" s="1"/>
  <c r="M15" i="7" s="1"/>
  <c r="N15" i="7" s="1"/>
  <c r="F13" i="3" s="1"/>
  <c r="G53" i="3" s="1"/>
  <c r="C15" i="43" s="1"/>
  <c r="AA11" i="32"/>
  <c r="K109" i="3"/>
  <c r="M26" i="43"/>
  <c r="H101" i="3" s="1"/>
  <c r="AD6" i="32"/>
  <c r="AD18" i="32" s="1"/>
  <c r="F185" i="33"/>
  <c r="E6" i="33"/>
  <c r="H27" i="33"/>
  <c r="H176" i="33" s="1"/>
  <c r="E27" i="32"/>
  <c r="E39" i="32" s="1"/>
  <c r="K70" i="3"/>
  <c r="AC18" i="32"/>
  <c r="I35" i="37"/>
  <c r="I27" i="39"/>
  <c r="D25" i="37" s="1"/>
  <c r="P109" i="3"/>
  <c r="L109" i="3"/>
  <c r="L110" i="3" s="1"/>
  <c r="P22" i="43"/>
  <c r="Q22" i="43" s="1"/>
  <c r="E97" i="3" s="1"/>
  <c r="K22" i="48" s="1"/>
  <c r="L72" i="3"/>
  <c r="L73" i="3" s="1"/>
  <c r="I72" i="3"/>
  <c r="D27" i="7"/>
  <c r="D28" i="39"/>
  <c r="E14" i="39" s="1"/>
  <c r="F14" i="39" s="1"/>
  <c r="H14" i="39" s="1"/>
  <c r="I14" i="39" s="1"/>
  <c r="D10" i="37" s="1"/>
  <c r="E12" i="3" s="1"/>
  <c r="G29" i="39"/>
  <c r="D28" i="32"/>
  <c r="AG11" i="32"/>
  <c r="AF18" i="32"/>
  <c r="G19" i="1"/>
  <c r="H19" i="1" s="1"/>
  <c r="C9" i="37" s="1"/>
  <c r="E18" i="32"/>
  <c r="M24" i="43"/>
  <c r="H99" i="3" s="1"/>
  <c r="J24" i="48" s="1"/>
  <c r="L24" i="43"/>
  <c r="J24" i="7"/>
  <c r="K24" i="7" s="1"/>
  <c r="M24" i="7" s="1"/>
  <c r="N24" i="7" s="1"/>
  <c r="H24" i="7"/>
  <c r="J9" i="1"/>
  <c r="E38" i="3"/>
  <c r="F178" i="33"/>
  <c r="M21" i="43"/>
  <c r="M23" i="43"/>
  <c r="H98" i="3" s="1"/>
  <c r="J23" i="48" s="1"/>
  <c r="K23" i="48"/>
  <c r="K24" i="48"/>
  <c r="H89" i="3"/>
  <c r="D18" i="32"/>
  <c r="O17" i="32"/>
  <c r="I27" i="43"/>
  <c r="I45" i="51"/>
  <c r="O13" i="32"/>
  <c r="X17" i="32"/>
  <c r="K8" i="32"/>
  <c r="K14" i="7"/>
  <c r="M14" i="7" s="1"/>
  <c r="N14" i="7" s="1"/>
  <c r="F12" i="3" s="1"/>
  <c r="G52" i="3" s="1"/>
  <c r="P30" i="43"/>
  <c r="Q30" i="43" s="1"/>
  <c r="E105" i="3" s="1"/>
  <c r="Q17" i="32"/>
  <c r="R17" i="32" s="1"/>
  <c r="Q6" i="32"/>
  <c r="N171" i="33"/>
  <c r="I160" i="33"/>
  <c r="L29" i="43"/>
  <c r="M29" i="43"/>
  <c r="H104" i="3" s="1"/>
  <c r="J28" i="48" s="1"/>
  <c r="F27" i="7"/>
  <c r="O14" i="32"/>
  <c r="O6" i="32"/>
  <c r="I106" i="3"/>
  <c r="I107" i="3" s="1"/>
  <c r="I109" i="3" s="1"/>
  <c r="N35" i="43"/>
  <c r="D28" i="1"/>
  <c r="G27" i="33"/>
  <c r="G178" i="33"/>
  <c r="F62" i="3"/>
  <c r="O16" i="32"/>
  <c r="O15" i="32"/>
  <c r="M45" i="51"/>
  <c r="G27" i="7"/>
  <c r="H27" i="7" s="1"/>
  <c r="O10" i="32"/>
  <c r="O8" i="32"/>
  <c r="I27" i="33"/>
  <c r="E27" i="33"/>
  <c r="F66" i="3"/>
  <c r="C28" i="43"/>
  <c r="H178" i="33" l="1"/>
  <c r="A82" i="33"/>
  <c r="I176" i="33"/>
  <c r="H174" i="33"/>
  <c r="F65" i="3"/>
  <c r="D65" i="3" s="1"/>
  <c r="H70" i="3"/>
  <c r="H72" i="3" s="1"/>
  <c r="H75" i="3" s="1"/>
  <c r="Q13" i="7"/>
  <c r="Q20" i="7" s="1"/>
  <c r="F32" i="3"/>
  <c r="K174" i="33"/>
  <c r="I38" i="37"/>
  <c r="I40" i="37" s="1"/>
  <c r="I42" i="37" s="1"/>
  <c r="I43" i="37" s="1"/>
  <c r="K178" i="33"/>
  <c r="K176" i="33"/>
  <c r="F54" i="3"/>
  <c r="F53" i="3"/>
  <c r="AA18" i="32"/>
  <c r="AH11" i="32"/>
  <c r="D32" i="32" s="1"/>
  <c r="U15" i="32"/>
  <c r="T18" i="32"/>
  <c r="D34" i="32"/>
  <c r="J18" i="32"/>
  <c r="G22" i="1"/>
  <c r="H22" i="1" s="1"/>
  <c r="C12" i="37" s="1"/>
  <c r="U18" i="32"/>
  <c r="C18" i="43"/>
  <c r="AG18" i="32"/>
  <c r="K72" i="3"/>
  <c r="H35" i="3"/>
  <c r="I40" i="3"/>
  <c r="J39" i="3"/>
  <c r="C17" i="43"/>
  <c r="C13" i="43"/>
  <c r="N26" i="43"/>
  <c r="G101" i="3" s="1"/>
  <c r="F101" i="3" s="1"/>
  <c r="F49" i="3"/>
  <c r="N24" i="43"/>
  <c r="G99" i="3" s="1"/>
  <c r="F99" i="3" s="1"/>
  <c r="D99" i="3" s="1"/>
  <c r="N25" i="43"/>
  <c r="G100" i="3" s="1"/>
  <c r="I22" i="48"/>
  <c r="F97" i="3"/>
  <c r="D97" i="3" s="1"/>
  <c r="D29" i="32"/>
  <c r="N23" i="43"/>
  <c r="G98" i="3" s="1"/>
  <c r="I23" i="48" s="1"/>
  <c r="N21" i="43"/>
  <c r="G96" i="3" s="1"/>
  <c r="J27" i="7"/>
  <c r="G37" i="7" s="1"/>
  <c r="L30" i="43"/>
  <c r="M30" i="43"/>
  <c r="H105" i="3" s="1"/>
  <c r="J29" i="48" s="1"/>
  <c r="D22" i="37"/>
  <c r="M11" i="43"/>
  <c r="I19" i="43"/>
  <c r="I33" i="43" s="1"/>
  <c r="F50" i="3"/>
  <c r="E11" i="39"/>
  <c r="F11" i="39" s="1"/>
  <c r="H11" i="39" s="1"/>
  <c r="I11" i="39" s="1"/>
  <c r="D7" i="37" s="1"/>
  <c r="E9" i="3" s="1"/>
  <c r="D9" i="3" s="1"/>
  <c r="E24" i="39"/>
  <c r="F24" i="39" s="1"/>
  <c r="H24" i="39" s="1"/>
  <c r="I24" i="39" s="1"/>
  <c r="D21" i="37" s="1"/>
  <c r="E21" i="37" s="1"/>
  <c r="E18" i="39"/>
  <c r="F18" i="39" s="1"/>
  <c r="H18" i="39" s="1"/>
  <c r="I18" i="39" s="1"/>
  <c r="D14" i="37" s="1"/>
  <c r="E16" i="3" s="1"/>
  <c r="E56" i="3" s="1"/>
  <c r="E10" i="39"/>
  <c r="F10" i="39" s="1"/>
  <c r="H10" i="39" s="1"/>
  <c r="I10" i="39" s="1"/>
  <c r="E22" i="39"/>
  <c r="F22" i="39" s="1"/>
  <c r="H22" i="39" s="1"/>
  <c r="I22" i="39" s="1"/>
  <c r="D17" i="37" s="1"/>
  <c r="E17" i="37" s="1"/>
  <c r="E16" i="39"/>
  <c r="F16" i="39" s="1"/>
  <c r="H16" i="39" s="1"/>
  <c r="I16" i="39" s="1"/>
  <c r="D12" i="37" s="1"/>
  <c r="E14" i="3" s="1"/>
  <c r="E54" i="3" s="1"/>
  <c r="D54" i="3" s="1"/>
  <c r="E13" i="39"/>
  <c r="F13" i="39" s="1"/>
  <c r="H13" i="39" s="1"/>
  <c r="I13" i="39" s="1"/>
  <c r="D9" i="37" s="1"/>
  <c r="E11" i="3" s="1"/>
  <c r="E51" i="3" s="1"/>
  <c r="E13" i="43" s="1"/>
  <c r="E19" i="39"/>
  <c r="F19" i="39" s="1"/>
  <c r="H19" i="39" s="1"/>
  <c r="I19" i="39" s="1"/>
  <c r="D16" i="37" s="1"/>
  <c r="E18" i="3" s="1"/>
  <c r="E58" i="3" s="1"/>
  <c r="E27" i="39"/>
  <c r="E15" i="39"/>
  <c r="F15" i="39" s="1"/>
  <c r="H15" i="39" s="1"/>
  <c r="I15" i="39" s="1"/>
  <c r="D11" i="37" s="1"/>
  <c r="E13" i="3" s="1"/>
  <c r="E53" i="3" s="1"/>
  <c r="E15" i="43" s="1"/>
  <c r="E23" i="39"/>
  <c r="F23" i="39" s="1"/>
  <c r="H23" i="39" s="1"/>
  <c r="I23" i="39" s="1"/>
  <c r="D20" i="37" s="1"/>
  <c r="E26" i="3" s="1"/>
  <c r="D26" i="3" s="1"/>
  <c r="E20" i="39"/>
  <c r="F20" i="39" s="1"/>
  <c r="H20" i="39" s="1"/>
  <c r="D18" i="37" s="1"/>
  <c r="E24" i="3" s="1"/>
  <c r="D24" i="3" s="1"/>
  <c r="E12" i="39"/>
  <c r="F12" i="39" s="1"/>
  <c r="H12" i="39" s="1"/>
  <c r="I12" i="39" s="1"/>
  <c r="D8" i="37" s="1"/>
  <c r="E10" i="3" s="1"/>
  <c r="D10" i="3" s="1"/>
  <c r="E17" i="39"/>
  <c r="F17" i="39" s="1"/>
  <c r="H17" i="39" s="1"/>
  <c r="I17" i="39" s="1"/>
  <c r="D13" i="37" s="1"/>
  <c r="E15" i="3" s="1"/>
  <c r="D15" i="3" s="1"/>
  <c r="D38" i="32"/>
  <c r="G23" i="1"/>
  <c r="H23" i="1" s="1"/>
  <c r="C13" i="37" s="1"/>
  <c r="G27" i="1"/>
  <c r="H27" i="1" s="1"/>
  <c r="C20" i="37" s="1"/>
  <c r="D37" i="32"/>
  <c r="H26" i="1"/>
  <c r="C18" i="37" s="1"/>
  <c r="G18" i="1"/>
  <c r="H18" i="1" s="1"/>
  <c r="C8" i="37" s="1"/>
  <c r="D31" i="32"/>
  <c r="G20" i="1"/>
  <c r="H20" i="1" s="1"/>
  <c r="C10" i="37" s="1"/>
  <c r="E10" i="37" s="1"/>
  <c r="O18" i="32"/>
  <c r="E178" i="33"/>
  <c r="F180" i="33" s="1"/>
  <c r="E174" i="33"/>
  <c r="E176" i="33"/>
  <c r="K27" i="7"/>
  <c r="M10" i="7"/>
  <c r="E52" i="3"/>
  <c r="E14" i="43" s="1"/>
  <c r="D12" i="3"/>
  <c r="G21" i="1"/>
  <c r="H21" i="1" s="1"/>
  <c r="C11" i="37" s="1"/>
  <c r="G174" i="33"/>
  <c r="G176" i="33"/>
  <c r="H96" i="3"/>
  <c r="G179" i="33"/>
  <c r="G180" i="33"/>
  <c r="Q18" i="32"/>
  <c r="R6" i="32"/>
  <c r="R18" i="32" s="1"/>
  <c r="K18" i="32"/>
  <c r="D62" i="3"/>
  <c r="N29" i="43"/>
  <c r="G104" i="3" s="1"/>
  <c r="J15" i="48"/>
  <c r="K29" i="48"/>
  <c r="G24" i="1"/>
  <c r="H24" i="1" s="1"/>
  <c r="C14" i="37" s="1"/>
  <c r="D35" i="32"/>
  <c r="I32" i="43"/>
  <c r="I174" i="33"/>
  <c r="I178" i="33"/>
  <c r="X15" i="32"/>
  <c r="X18" i="32" s="1"/>
  <c r="W18" i="32"/>
  <c r="F52" i="3"/>
  <c r="C14" i="43"/>
  <c r="D6" i="37"/>
  <c r="I36" i="43" l="1"/>
  <c r="A83" i="33"/>
  <c r="F98" i="3"/>
  <c r="D98" i="3" s="1"/>
  <c r="J179" i="33"/>
  <c r="J180" i="33"/>
  <c r="I24" i="48"/>
  <c r="D32" i="3"/>
  <c r="D34" i="3" s="1"/>
  <c r="F37" i="3"/>
  <c r="F34" i="3"/>
  <c r="I37" i="43"/>
  <c r="D33" i="32"/>
  <c r="E11" i="37"/>
  <c r="E64" i="3"/>
  <c r="D64" i="3" s="1"/>
  <c r="D18" i="3"/>
  <c r="E14" i="37"/>
  <c r="E18" i="37"/>
  <c r="D53" i="3"/>
  <c r="E27" i="3"/>
  <c r="D13" i="3"/>
  <c r="E49" i="3"/>
  <c r="D49" i="3" s="1"/>
  <c r="E66" i="3"/>
  <c r="E28" i="43" s="1"/>
  <c r="F96" i="3"/>
  <c r="D96" i="3" s="1"/>
  <c r="D16" i="3"/>
  <c r="E16" i="43"/>
  <c r="E50" i="3"/>
  <c r="E12" i="43" s="1"/>
  <c r="F100" i="3"/>
  <c r="I25" i="48"/>
  <c r="I21" i="48"/>
  <c r="N30" i="43"/>
  <c r="G105" i="3" s="1"/>
  <c r="F179" i="33"/>
  <c r="E8" i="37"/>
  <c r="E20" i="37"/>
  <c r="E7" i="37"/>
  <c r="G30" i="39"/>
  <c r="E23" i="3"/>
  <c r="E63" i="3" s="1"/>
  <c r="D63" i="3" s="1"/>
  <c r="H86" i="3"/>
  <c r="M19" i="43"/>
  <c r="M33" i="43" s="1"/>
  <c r="E29" i="3"/>
  <c r="E69" i="3" s="1"/>
  <c r="E31" i="43" s="1"/>
  <c r="E22" i="37"/>
  <c r="I28" i="39"/>
  <c r="H28" i="39"/>
  <c r="D51" i="3"/>
  <c r="E55" i="3"/>
  <c r="D55" i="3" s="1"/>
  <c r="E9" i="37"/>
  <c r="D11" i="3"/>
  <c r="E12" i="37"/>
  <c r="E13" i="37"/>
  <c r="D14" i="3"/>
  <c r="E28" i="39"/>
  <c r="E26" i="43"/>
  <c r="P26" i="43" s="1"/>
  <c r="Q26" i="43" s="1"/>
  <c r="E101" i="3" s="1"/>
  <c r="D27" i="32"/>
  <c r="E20" i="43"/>
  <c r="D58" i="3"/>
  <c r="E18" i="43"/>
  <c r="D56" i="3"/>
  <c r="I180" i="33"/>
  <c r="K180" i="33"/>
  <c r="K179" i="33"/>
  <c r="I179" i="33"/>
  <c r="N10" i="7"/>
  <c r="M27" i="7"/>
  <c r="D52" i="3"/>
  <c r="D23" i="37"/>
  <c r="E8" i="3"/>
  <c r="F104" i="3"/>
  <c r="I28" i="48"/>
  <c r="J21" i="48"/>
  <c r="A84" i="33" l="1"/>
  <c r="E25" i="43"/>
  <c r="D66" i="3"/>
  <c r="E30" i="3"/>
  <c r="E67" i="3"/>
  <c r="D27" i="3"/>
  <c r="E11" i="43"/>
  <c r="E17" i="43"/>
  <c r="E70" i="3"/>
  <c r="D50" i="3"/>
  <c r="I29" i="48"/>
  <c r="F105" i="3"/>
  <c r="D105" i="3" s="1"/>
  <c r="D23" i="3"/>
  <c r="J12" i="48"/>
  <c r="H94" i="3"/>
  <c r="D101" i="3"/>
  <c r="AH18" i="32"/>
  <c r="H27" i="43"/>
  <c r="G25" i="1"/>
  <c r="H25" i="1" s="1"/>
  <c r="C16" i="37" s="1"/>
  <c r="E16" i="37" s="1"/>
  <c r="D36" i="32"/>
  <c r="D39" i="32" s="1"/>
  <c r="G16" i="1"/>
  <c r="P25" i="43"/>
  <c r="Q25" i="43" s="1"/>
  <c r="E100" i="3" s="1"/>
  <c r="E48" i="3"/>
  <c r="E17" i="3"/>
  <c r="E35" i="3" s="1"/>
  <c r="G36" i="7"/>
  <c r="G38" i="7" s="1"/>
  <c r="N27" i="7"/>
  <c r="F8" i="3"/>
  <c r="H28" i="43"/>
  <c r="A85" i="33" l="1"/>
  <c r="A86" i="33" s="1"/>
  <c r="A87" i="33" s="1"/>
  <c r="A88" i="33" s="1"/>
  <c r="E29" i="43"/>
  <c r="D67" i="3"/>
  <c r="M28" i="43"/>
  <c r="H103" i="3" s="1"/>
  <c r="J27" i="48" s="1"/>
  <c r="L28" i="43"/>
  <c r="O28" i="43"/>
  <c r="P28" i="43" s="1"/>
  <c r="Q28" i="43" s="1"/>
  <c r="E103" i="3" s="1"/>
  <c r="F17" i="3"/>
  <c r="G48" i="3"/>
  <c r="G40" i="7"/>
  <c r="G41" i="7"/>
  <c r="D100" i="3"/>
  <c r="K25" i="48"/>
  <c r="H16" i="1"/>
  <c r="G28" i="1"/>
  <c r="E10" i="43"/>
  <c r="E57" i="3"/>
  <c r="E72" i="3" s="1"/>
  <c r="D8" i="3"/>
  <c r="D17" i="3" s="1"/>
  <c r="A89" i="33" l="1"/>
  <c r="A90" i="33" s="1"/>
  <c r="A91" i="33" s="1"/>
  <c r="A92" i="33" s="1"/>
  <c r="A94" i="33" s="1"/>
  <c r="A95" i="33" s="1"/>
  <c r="A96" i="33" s="1"/>
  <c r="A98" i="33" s="1"/>
  <c r="A99" i="33" s="1"/>
  <c r="A101" i="33" s="1"/>
  <c r="A102" i="33" s="1"/>
  <c r="A103" i="33" s="1"/>
  <c r="A105" i="33" s="1"/>
  <c r="A106" i="33" s="1"/>
  <c r="A108" i="33" s="1"/>
  <c r="A109" i="33" s="1"/>
  <c r="A110" i="33" s="1"/>
  <c r="A112" i="33" s="1"/>
  <c r="A114" i="33" s="1"/>
  <c r="A115" i="33" s="1"/>
  <c r="A117" i="33" s="1"/>
  <c r="A118" i="33" s="1"/>
  <c r="A120" i="33" s="1"/>
  <c r="A122" i="33" s="1"/>
  <c r="A123" i="33" s="1"/>
  <c r="A124" i="33" s="1"/>
  <c r="A125" i="33" s="1"/>
  <c r="A126" i="33" s="1"/>
  <c r="A127" i="33" s="1"/>
  <c r="A129" i="33" s="1"/>
  <c r="A131" i="33" s="1"/>
  <c r="A133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6" i="33" s="1"/>
  <c r="A158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P29" i="43"/>
  <c r="Q29" i="43" s="1"/>
  <c r="E104" i="3" s="1"/>
  <c r="E32" i="43"/>
  <c r="N28" i="43"/>
  <c r="G103" i="3" s="1"/>
  <c r="F103" i="3" s="1"/>
  <c r="D103" i="3" s="1"/>
  <c r="F48" i="3"/>
  <c r="F57" i="3" s="1"/>
  <c r="G57" i="3"/>
  <c r="C10" i="43"/>
  <c r="D48" i="3"/>
  <c r="D57" i="3" s="1"/>
  <c r="J32" i="43"/>
  <c r="J36" i="43" s="1"/>
  <c r="L27" i="43"/>
  <c r="M27" i="43"/>
  <c r="O27" i="43"/>
  <c r="P27" i="43" s="1"/>
  <c r="Q27" i="43" s="1"/>
  <c r="E102" i="3" s="1"/>
  <c r="E37" i="43"/>
  <c r="P37" i="43" s="1"/>
  <c r="K27" i="48"/>
  <c r="H28" i="1"/>
  <c r="C6" i="37"/>
  <c r="E19" i="43"/>
  <c r="F10" i="43"/>
  <c r="F17" i="43"/>
  <c r="F18" i="43"/>
  <c r="F11" i="43"/>
  <c r="F15" i="43"/>
  <c r="F16" i="43"/>
  <c r="F20" i="43"/>
  <c r="F12" i="43"/>
  <c r="F13" i="43"/>
  <c r="F14" i="43"/>
  <c r="M31" i="43"/>
  <c r="H106" i="3" s="1"/>
  <c r="L31" i="43"/>
  <c r="G29" i="3"/>
  <c r="F29" i="3"/>
  <c r="I27" i="48" l="1"/>
  <c r="K28" i="48"/>
  <c r="D104" i="3"/>
  <c r="N31" i="43"/>
  <c r="N27" i="43"/>
  <c r="G102" i="3" s="1"/>
  <c r="I26" i="48" s="1"/>
  <c r="K26" i="48"/>
  <c r="F30" i="3"/>
  <c r="F35" i="3" s="1"/>
  <c r="G69" i="3"/>
  <c r="D29" i="3"/>
  <c r="D30" i="3" s="1"/>
  <c r="D35" i="3" s="1"/>
  <c r="K16" i="43"/>
  <c r="L16" i="43" s="1"/>
  <c r="N16" i="43" s="1"/>
  <c r="C23" i="37"/>
  <c r="E6" i="37"/>
  <c r="E23" i="37" s="1"/>
  <c r="H102" i="3"/>
  <c r="M32" i="43"/>
  <c r="M36" i="43" s="1"/>
  <c r="K15" i="43"/>
  <c r="L15" i="43" s="1"/>
  <c r="N15" i="43" s="1"/>
  <c r="F102" i="3"/>
  <c r="D102" i="3" s="1"/>
  <c r="E33" i="43"/>
  <c r="E36" i="43"/>
  <c r="K11" i="43"/>
  <c r="L11" i="43" s="1"/>
  <c r="N11" i="43" s="1"/>
  <c r="J30" i="48"/>
  <c r="K18" i="43"/>
  <c r="L18" i="43" s="1"/>
  <c r="N18" i="43" s="1"/>
  <c r="C19" i="43"/>
  <c r="G30" i="3"/>
  <c r="G35" i="3" s="1"/>
  <c r="J69" i="3"/>
  <c r="K14" i="43"/>
  <c r="L14" i="43" s="1"/>
  <c r="N14" i="43" s="1"/>
  <c r="K17" i="43"/>
  <c r="L17" i="43" s="1"/>
  <c r="N17" i="43" s="1"/>
  <c r="K12" i="43"/>
  <c r="L12" i="43" s="1"/>
  <c r="N12" i="43" s="1"/>
  <c r="K20" i="43"/>
  <c r="F32" i="43"/>
  <c r="K13" i="43"/>
  <c r="L13" i="43" s="1"/>
  <c r="N13" i="43" s="1"/>
  <c r="K10" i="43"/>
  <c r="F19" i="43"/>
  <c r="C37" i="48" l="1"/>
  <c r="C33" i="48" s="1"/>
  <c r="C31" i="48"/>
  <c r="C1" i="48" s="1"/>
  <c r="F33" i="43"/>
  <c r="F36" i="43"/>
  <c r="J106" i="3"/>
  <c r="J107" i="3" s="1"/>
  <c r="J109" i="3" s="1"/>
  <c r="J70" i="3"/>
  <c r="J72" i="3" s="1"/>
  <c r="F69" i="3"/>
  <c r="G70" i="3"/>
  <c r="G72" i="3" s="1"/>
  <c r="C31" i="43"/>
  <c r="K32" i="43"/>
  <c r="L20" i="43"/>
  <c r="E40" i="3"/>
  <c r="G40" i="3" s="1"/>
  <c r="F39" i="3"/>
  <c r="J26" i="48"/>
  <c r="J31" i="48" s="1"/>
  <c r="H107" i="3"/>
  <c r="L10" i="43"/>
  <c r="K19" i="43"/>
  <c r="C33" i="43"/>
  <c r="N20" i="43" l="1"/>
  <c r="N32" i="43" s="1"/>
  <c r="L32" i="43"/>
  <c r="H109" i="3"/>
  <c r="H111" i="3"/>
  <c r="D69" i="3"/>
  <c r="D70" i="3" s="1"/>
  <c r="D72" i="3" s="1"/>
  <c r="D74" i="3" s="1"/>
  <c r="F70" i="3"/>
  <c r="F72" i="3" s="1"/>
  <c r="E73" i="3" s="1"/>
  <c r="K33" i="43"/>
  <c r="K36" i="43"/>
  <c r="H31" i="43"/>
  <c r="G106" i="3" s="1"/>
  <c r="C32" i="43"/>
  <c r="C36" i="43" s="1"/>
  <c r="N10" i="43"/>
  <c r="N19" i="43" s="1"/>
  <c r="L19" i="43"/>
  <c r="C37" i="43"/>
  <c r="I38" i="43" s="1"/>
  <c r="G73" i="3"/>
  <c r="E74" i="3"/>
  <c r="N36" i="43" l="1"/>
  <c r="F106" i="3"/>
  <c r="I30" i="48"/>
  <c r="L36" i="43"/>
  <c r="L33" i="43"/>
  <c r="N33" i="43" s="1"/>
  <c r="O31" i="43"/>
  <c r="P31" i="43" s="1"/>
  <c r="D32" i="43"/>
  <c r="Q31" i="43" l="1"/>
  <c r="E106" i="3" s="1"/>
  <c r="D36" i="43"/>
  <c r="G17" i="43"/>
  <c r="G13" i="43"/>
  <c r="G10" i="43"/>
  <c r="G14" i="43"/>
  <c r="G18" i="43"/>
  <c r="G20" i="43"/>
  <c r="G16" i="43"/>
  <c r="G11" i="43"/>
  <c r="G15" i="43"/>
  <c r="G12" i="43"/>
  <c r="K30" i="48" l="1"/>
  <c r="D106" i="3"/>
  <c r="O16" i="43"/>
  <c r="P16" i="43" s="1"/>
  <c r="Q16" i="43" s="1"/>
  <c r="E91" i="3" s="1"/>
  <c r="H16" i="43"/>
  <c r="G91" i="3" s="1"/>
  <c r="G32" i="43"/>
  <c r="O20" i="43"/>
  <c r="H20" i="43"/>
  <c r="O10" i="43"/>
  <c r="G19" i="43"/>
  <c r="H10" i="43"/>
  <c r="O13" i="43"/>
  <c r="P13" i="43" s="1"/>
  <c r="Q13" i="43" s="1"/>
  <c r="E88" i="3" s="1"/>
  <c r="H13" i="43"/>
  <c r="G88" i="3" s="1"/>
  <c r="O15" i="43"/>
  <c r="P15" i="43" s="1"/>
  <c r="Q15" i="43" s="1"/>
  <c r="E90" i="3" s="1"/>
  <c r="H15" i="43"/>
  <c r="G90" i="3" s="1"/>
  <c r="O17" i="43"/>
  <c r="P17" i="43" s="1"/>
  <c r="Q17" i="43" s="1"/>
  <c r="E92" i="3" s="1"/>
  <c r="H17" i="43"/>
  <c r="G92" i="3" s="1"/>
  <c r="O18" i="43"/>
  <c r="P18" i="43" s="1"/>
  <c r="Q18" i="43" s="1"/>
  <c r="E93" i="3" s="1"/>
  <c r="H18" i="43"/>
  <c r="G93" i="3" s="1"/>
  <c r="O14" i="43"/>
  <c r="P14" i="43" s="1"/>
  <c r="Q14" i="43" s="1"/>
  <c r="E89" i="3" s="1"/>
  <c r="H14" i="43"/>
  <c r="G89" i="3" s="1"/>
  <c r="O12" i="43"/>
  <c r="P12" i="43" s="1"/>
  <c r="Q12" i="43" s="1"/>
  <c r="E87" i="3" s="1"/>
  <c r="H12" i="43"/>
  <c r="G87" i="3" s="1"/>
  <c r="O11" i="43"/>
  <c r="P11" i="43" s="1"/>
  <c r="Q11" i="43" s="1"/>
  <c r="E86" i="3" s="1"/>
  <c r="K12" i="48" s="1"/>
  <c r="H11" i="43"/>
  <c r="G86" i="3" s="1"/>
  <c r="K19" i="48" l="1"/>
  <c r="I19" i="48"/>
  <c r="F93" i="3"/>
  <c r="D93" i="3" s="1"/>
  <c r="G85" i="3"/>
  <c r="H19" i="43"/>
  <c r="I12" i="48"/>
  <c r="F86" i="3"/>
  <c r="D86" i="3" s="1"/>
  <c r="F92" i="3"/>
  <c r="D92" i="3" s="1"/>
  <c r="I18" i="48"/>
  <c r="P10" i="43"/>
  <c r="O19" i="43"/>
  <c r="K18" i="48"/>
  <c r="G95" i="3"/>
  <c r="H32" i="43"/>
  <c r="F87" i="3"/>
  <c r="D87" i="3" s="1"/>
  <c r="I13" i="48"/>
  <c r="I16" i="48"/>
  <c r="F90" i="3"/>
  <c r="D90" i="3" s="1"/>
  <c r="O32" i="43"/>
  <c r="P20" i="43"/>
  <c r="Q20" i="43" s="1"/>
  <c r="G36" i="43"/>
  <c r="G33" i="43"/>
  <c r="K16" i="48"/>
  <c r="K13" i="48"/>
  <c r="I15" i="48"/>
  <c r="F89" i="3"/>
  <c r="D89" i="3" s="1"/>
  <c r="F88" i="3"/>
  <c r="D88" i="3" s="1"/>
  <c r="I14" i="48"/>
  <c r="I17" i="48"/>
  <c r="F91" i="3"/>
  <c r="D91" i="3" s="1"/>
  <c r="K15" i="48"/>
  <c r="K14" i="48"/>
  <c r="K17" i="48"/>
  <c r="I20" i="48" l="1"/>
  <c r="F95" i="3"/>
  <c r="F107" i="3" s="1"/>
  <c r="G107" i="3"/>
  <c r="I111" i="3" s="1"/>
  <c r="J111" i="3" s="1"/>
  <c r="H36" i="43"/>
  <c r="H33" i="43"/>
  <c r="G94" i="3"/>
  <c r="F85" i="3"/>
  <c r="F94" i="3" s="1"/>
  <c r="I11" i="48"/>
  <c r="I31" i="48" s="1"/>
  <c r="O33" i="43"/>
  <c r="O36" i="43"/>
  <c r="Q10" i="43"/>
  <c r="P19" i="43"/>
  <c r="P32" i="43"/>
  <c r="G109" i="3" l="1"/>
  <c r="G110" i="3" s="1"/>
  <c r="E85" i="3"/>
  <c r="Q19" i="43"/>
  <c r="E95" i="3"/>
  <c r="Q32" i="43"/>
  <c r="P36" i="43"/>
  <c r="P33" i="43"/>
  <c r="F109" i="3" l="1"/>
  <c r="Q33" i="43"/>
  <c r="Q36" i="43"/>
  <c r="E107" i="3"/>
  <c r="K20" i="48"/>
  <c r="D95" i="3"/>
  <c r="D107" i="3" s="1"/>
  <c r="E94" i="3"/>
  <c r="D85" i="3"/>
  <c r="D94" i="3" s="1"/>
  <c r="K11" i="48"/>
  <c r="K31" i="48" l="1"/>
  <c r="E109" i="3"/>
  <c r="E110" i="3" s="1"/>
  <c r="D109" i="3"/>
</calcChain>
</file>

<file path=xl/comments1.xml><?xml version="1.0" encoding="utf-8"?>
<comments xmlns="http://schemas.openxmlformats.org/spreadsheetml/2006/main">
  <authors>
    <author>RMU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RMU:</t>
        </r>
        <r>
          <rPr>
            <sz val="9"/>
            <color indexed="81"/>
            <rFont val="Tahoma"/>
            <family val="2"/>
            <charset val="238"/>
          </rPr>
          <t xml:space="preserve">
list aktualizován 6. 2. 2017
komárek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38"/>
          </rPr>
          <t>RMU:</t>
        </r>
        <r>
          <rPr>
            <sz val="9"/>
            <color indexed="81"/>
            <rFont val="Tahoma"/>
            <family val="2"/>
            <charset val="238"/>
          </rPr>
          <t xml:space="preserve">
přesunuto do CP2</t>
        </r>
      </text>
    </comment>
  </commentList>
</comments>
</file>

<file path=xl/sharedStrings.xml><?xml version="1.0" encoding="utf-8"?>
<sst xmlns="http://schemas.openxmlformats.org/spreadsheetml/2006/main" count="1419" uniqueCount="694">
  <si>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</si>
  <si>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</si>
  <si>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</si>
  <si>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</si>
  <si>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</si>
  <si>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</si>
  <si>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</si>
  <si>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</si>
  <si>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</si>
  <si>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</si>
  <si>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</si>
  <si>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</si>
  <si>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</si>
  <si>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</si>
  <si>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</si>
  <si>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</si>
  <si>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</si>
  <si>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</si>
  <si>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</si>
  <si>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</si>
  <si>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</si>
  <si>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podíl</t>
  </si>
  <si>
    <t>přínos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</si>
  <si>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</si>
  <si>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</si>
  <si>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</si>
  <si>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</si>
  <si>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</si>
  <si>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</si>
  <si>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</si>
  <si>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</si>
  <si>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z toho</t>
  </si>
  <si>
    <t>bez CA</t>
  </si>
  <si>
    <t>RR</t>
  </si>
  <si>
    <t>č.ř.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</si>
  <si>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</si>
  <si>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</si>
  <si>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</si>
  <si>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</si>
  <si>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</si>
  <si>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</si>
  <si>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</si>
  <si>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</si>
  <si>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</si>
  <si>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</si>
  <si>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</si>
  <si>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</si>
  <si>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</si>
  <si>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</si>
  <si>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</si>
  <si>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</si>
  <si>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</si>
  <si>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</si>
  <si>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</si>
  <si>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</si>
  <si>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</si>
  <si>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</si>
  <si>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</si>
  <si>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</si>
  <si>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151*,161*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</si>
  <si>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</si>
  <si>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</si>
  <si>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</si>
  <si>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</si>
  <si>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</si>
  <si>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</si>
  <si>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</si>
  <si>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</si>
  <si>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Celkem MU</t>
  </si>
  <si>
    <t>SKM</t>
  </si>
  <si>
    <t xml:space="preserve">příloha 3 -  </t>
  </si>
  <si>
    <t>Celkem</t>
  </si>
  <si>
    <t>RS</t>
  </si>
  <si>
    <t>Schváleno v AS fakulty dne:</t>
  </si>
  <si>
    <t>Podpis:</t>
  </si>
  <si>
    <t>energetický management</t>
  </si>
  <si>
    <t>audit vč.účet. a daň.poradenství, služby INTRASTAT</t>
  </si>
  <si>
    <t xml:space="preserve"> celkem nové náklady - účtováno přes ÚVT</t>
  </si>
  <si>
    <t>bez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</si>
  <si>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</si>
  <si>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</si>
  <si>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</si>
  <si>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</si>
  <si>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</si>
  <si>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</si>
  <si>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</si>
  <si>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</si>
  <si>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ediční činnost</t>
  </si>
  <si>
    <t>Universitas</t>
  </si>
  <si>
    <t>nájem Řečkovice</t>
  </si>
  <si>
    <t>daň z nemovitostí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</si>
  <si>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</si>
  <si>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</si>
  <si>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</si>
  <si>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</si>
  <si>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</si>
  <si>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</si>
  <si>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</si>
  <si>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nájem Šumavská</t>
  </si>
  <si>
    <t xml:space="preserve"> celkem účtováno přes SPSSN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</si>
  <si>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</si>
  <si>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</si>
  <si>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</si>
  <si>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</si>
  <si>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</si>
  <si>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</si>
  <si>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</si>
  <si>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</si>
  <si>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</si>
  <si>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 xml:space="preserve"> A-vzděl.č.,specif.VaV,SKM,vlastní,fondy:</t>
  </si>
  <si>
    <t>13* bez 139*,14*</t>
  </si>
  <si>
    <t>119*, 139*</t>
  </si>
  <si>
    <t xml:space="preserve">Účelové příspěvky  na VaV </t>
  </si>
  <si>
    <t>251*</t>
  </si>
  <si>
    <t>A-příspěvek na vzdělávací činnost</t>
  </si>
  <si>
    <t>Dotace na SKM, přísp.na ubytovací a soc.stip.</t>
  </si>
  <si>
    <t>Účelové příspěvky bez VaV</t>
  </si>
  <si>
    <t>VaV - ze SR a od úz.celků</t>
  </si>
  <si>
    <t>Vlastní zdroje (hl.č.za úplatu)</t>
  </si>
  <si>
    <t>Komentář:</t>
  </si>
  <si>
    <t>Výměnu NEI příspěvku za příspěvek na kapitálové výdaje plánujte v nákladech do ř.13 a plánovanou částku uveďte zde: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</si>
  <si>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</si>
  <si>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</si>
  <si>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</si>
  <si>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</si>
  <si>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odvody</t>
  </si>
  <si>
    <t>Centrum pro radiační,chem.a biol.bezpečnost</t>
  </si>
  <si>
    <t>výroční zprávy</t>
  </si>
  <si>
    <t>Mendel muzeum</t>
  </si>
  <si>
    <t>CTT</t>
  </si>
  <si>
    <t>celkem účtováno přes CTT</t>
  </si>
  <si>
    <t>Schválil:</t>
  </si>
  <si>
    <t>Příkazce operace:</t>
  </si>
  <si>
    <t>Správce rozpočtu:</t>
  </si>
  <si>
    <t>datum a podpis</t>
  </si>
  <si>
    <t>přidělené</t>
  </si>
  <si>
    <t>prostředky</t>
  </si>
  <si>
    <t>Fsoc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</si>
  <si>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</si>
  <si>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</si>
  <si>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</si>
  <si>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</si>
  <si>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</si>
  <si>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</si>
  <si>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>Khonovo stipendium (CZS)</t>
  </si>
  <si>
    <t>nájem archiv</t>
  </si>
  <si>
    <t xml:space="preserve">akademické soutěže studentů </t>
  </si>
  <si>
    <t xml:space="preserve">   institucionální podpora VaV</t>
  </si>
  <si>
    <t>institucionální podpora VaV</t>
  </si>
  <si>
    <t xml:space="preserve">výměna NIV/INV </t>
  </si>
  <si>
    <t xml:space="preserve">  na spolufin.VaVpI</t>
  </si>
  <si>
    <t>1c</t>
  </si>
  <si>
    <t>1d</t>
  </si>
  <si>
    <t>VaV - institucionální podpora</t>
  </si>
  <si>
    <t>z toho vnitro - ú.549 ?</t>
  </si>
  <si>
    <t>odbor veřejných zakázek</t>
  </si>
  <si>
    <t>Botanická zahrada</t>
  </si>
  <si>
    <t>4* bez FÚUP z dotací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</si>
  <si>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</si>
  <si>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</si>
  <si>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</si>
  <si>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</si>
  <si>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</si>
  <si>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</si>
  <si>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</si>
  <si>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</si>
  <si>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</si>
  <si>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</si>
  <si>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</si>
  <si>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</si>
  <si>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</si>
  <si>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</si>
  <si>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</si>
  <si>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t xml:space="preserve">VII. Rozpis příspěvku a institucionální podpory VaV na jednotlivá hospodářská střediska </t>
  </si>
  <si>
    <t>propagační akce VaV (Festival vědy, …)</t>
  </si>
  <si>
    <t>Antarktická stanice</t>
  </si>
  <si>
    <t>IP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</si>
  <si>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</si>
  <si>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</si>
  <si>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</si>
  <si>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</si>
  <si>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</si>
  <si>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152*,153*,157*,159*,167*,169*,19*,257*,259*,267*,269*</t>
  </si>
  <si>
    <t>Příspěvek 2. Celkem (CP1+CP2)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</si>
  <si>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</si>
  <si>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</si>
  <si>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</si>
  <si>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</si>
  <si>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</si>
  <si>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</si>
  <si>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</si>
  <si>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</si>
  <si>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</si>
  <si>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</si>
  <si>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</si>
  <si>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</si>
  <si>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</si>
  <si>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</si>
  <si>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</si>
  <si>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</si>
  <si>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</si>
  <si>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</si>
  <si>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</si>
  <si>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</si>
  <si>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 xml:space="preserve">  za INV příspěvek na centraliz.akce (zejm.stavby)</t>
  </si>
  <si>
    <t>ProvO</t>
  </si>
  <si>
    <t>IO</t>
  </si>
  <si>
    <t>OVZ</t>
  </si>
  <si>
    <t>OVVM</t>
  </si>
  <si>
    <t>NMU</t>
  </si>
  <si>
    <t>Nakladatelství</t>
  </si>
  <si>
    <t>x</t>
  </si>
  <si>
    <t>MM</t>
  </si>
  <si>
    <t xml:space="preserve">Komenského nám. </t>
  </si>
  <si>
    <t>nájem pro FI</t>
  </si>
  <si>
    <t>studentské aktivity</t>
  </si>
  <si>
    <t xml:space="preserve"> celkem účtováno přes UCT</t>
  </si>
  <si>
    <t>CEITEC CŘS</t>
  </si>
  <si>
    <t xml:space="preserve">   Institucionální podpora pro Ceitec, ÚVT a IBA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</si>
  <si>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</si>
  <si>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</si>
  <si>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</si>
  <si>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</si>
  <si>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</si>
  <si>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</si>
  <si>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</si>
  <si>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Celkem fak.</t>
  </si>
  <si>
    <t>po zaokr.</t>
  </si>
  <si>
    <t>Prof. prům. přep. stav</t>
  </si>
  <si>
    <t>Doc. prům. přep. stav</t>
  </si>
  <si>
    <t>Započítané body RIV v tis. Kč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</si>
  <si>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</si>
  <si>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</si>
  <si>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</si>
  <si>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</si>
  <si>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</si>
  <si>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</si>
  <si>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</si>
  <si>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</si>
  <si>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</si>
  <si>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</si>
  <si>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</si>
  <si>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</si>
  <si>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</si>
  <si>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</si>
  <si>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</si>
  <si>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rozdíl = chybí (ř.5-6)</t>
  </si>
  <si>
    <t>dofinancovat RMU z FPP (ř.8-9=ř.7)</t>
  </si>
  <si>
    <t>MV</t>
  </si>
  <si>
    <t>CP1 bez RR</t>
  </si>
  <si>
    <t>Nedot.odpisy rež.souč.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</si>
  <si>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</si>
  <si>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</si>
  <si>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</si>
  <si>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</si>
  <si>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</si>
  <si>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</si>
  <si>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</si>
  <si>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</si>
  <si>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</si>
  <si>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</si>
  <si>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</si>
  <si>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Přidělená IP</t>
  </si>
  <si>
    <t>K rozdělení</t>
  </si>
  <si>
    <t>body po převodech</t>
  </si>
  <si>
    <t>převod mezi HS</t>
  </si>
  <si>
    <t>FSS + MPÚ</t>
  </si>
  <si>
    <t>CEITEC</t>
  </si>
  <si>
    <t>RMU-GA MU</t>
  </si>
  <si>
    <t>Ceitec CŘS</t>
  </si>
  <si>
    <t>CP2</t>
  </si>
  <si>
    <t xml:space="preserve">  splátky NFV</t>
  </si>
  <si>
    <t>Kariérní centrum</t>
  </si>
  <si>
    <t>organizační zajištění projektů RMU - OVaV</t>
  </si>
  <si>
    <t>nájem FF (Veveří)</t>
  </si>
  <si>
    <t>kino Scala</t>
  </si>
  <si>
    <t>Antiviry - celouniverzitní licence</t>
  </si>
  <si>
    <t>VMWare roční podpora (virtuální servery)</t>
  </si>
  <si>
    <t>Statistica celouniverzitní licence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</si>
  <si>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</si>
  <si>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</si>
  <si>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</si>
  <si>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</si>
  <si>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</si>
  <si>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</si>
  <si>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MS Campus licence</t>
  </si>
  <si>
    <t>servisní podpora zařízení páteřní sítě (Cisco)</t>
  </si>
  <si>
    <t>licence ESRI, budovy/BMS, GIS, Archibus</t>
  </si>
  <si>
    <t>inteligentní budovy,BMS,podpora dostavby UKB, technol.pasport apod.</t>
  </si>
  <si>
    <t xml:space="preserve"> celkem účtováno přes SUKB</t>
  </si>
  <si>
    <t>Přiděleno 1</t>
  </si>
  <si>
    <t>3 = 1 + 2</t>
  </si>
  <si>
    <t>Přínos</t>
  </si>
  <si>
    <t>po úpravě</t>
  </si>
  <si>
    <t>Převod</t>
  </si>
  <si>
    <t>CJV + CUS</t>
  </si>
  <si>
    <t>Přiděleno 2</t>
  </si>
  <si>
    <t>pův.</t>
  </si>
  <si>
    <t>k výměně za IP</t>
  </si>
  <si>
    <t>pův. IP</t>
  </si>
  <si>
    <t>navýšení příspěvku</t>
  </si>
  <si>
    <t>snížení příspěvku</t>
  </si>
  <si>
    <t>CP1</t>
  </si>
  <si>
    <t>pův</t>
  </si>
  <si>
    <t>výměny NEI / INV</t>
  </si>
  <si>
    <t xml:space="preserve"> = snížení IP</t>
  </si>
  <si>
    <t>poměr</t>
  </si>
  <si>
    <t>nová</t>
  </si>
  <si>
    <t>6= 1+2+5</t>
  </si>
  <si>
    <t>10 = 7+8+9</t>
  </si>
  <si>
    <t>11= -2 -5 -8 -9</t>
  </si>
  <si>
    <t>bez GAMU:</t>
  </si>
  <si>
    <t>č.1112</t>
  </si>
  <si>
    <t>změny IP</t>
  </si>
  <si>
    <t>10a</t>
  </si>
  <si>
    <t>10b</t>
  </si>
  <si>
    <t>dle pom. tab.3</t>
  </si>
  <si>
    <r>
      <t xml:space="preserve">Hodnocení výsledků </t>
    </r>
    <r>
      <rPr>
        <sz val="10"/>
        <color indexed="8"/>
        <rFont val="Calibri"/>
        <family val="2"/>
      </rPr>
      <t>v bodech</t>
    </r>
  </si>
  <si>
    <r>
      <t xml:space="preserve">dohodnuté převody </t>
    </r>
    <r>
      <rPr>
        <sz val="10"/>
        <color indexed="8"/>
        <rFont val="Calibri"/>
        <family val="2"/>
      </rPr>
      <t>v bodech</t>
    </r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</si>
  <si>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</si>
  <si>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</si>
  <si>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</t>
    </r>
    <r>
      <rPr>
        <sz val="8"/>
        <rFont val="Calibri"/>
        <family val="2"/>
      </rPr>
      <t>výměna NEI příspěvku za příspěvek na kapitálové výdaje+spoluf. OP VaVpI PO4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</si>
  <si>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</si>
  <si>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</si>
  <si>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</si>
  <si>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</si>
  <si>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r>
      <t xml:space="preserve">a) Rozpis příspěvku a a institucionální podpory VaV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</si>
  <si>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institucionální podpory VaV </t>
    </r>
    <r>
      <rPr>
        <sz val="10"/>
        <rFont val="Calibri"/>
        <family val="2"/>
      </rPr>
      <t>včetně rozpisu centralizovaných prostředků na příslušná HS</t>
    </r>
  </si>
  <si>
    <t>zaokr.</t>
  </si>
  <si>
    <t>Prof. + doc. v tis. Kč</t>
  </si>
  <si>
    <t>10</t>
  </si>
  <si>
    <t>Po zokr.</t>
  </si>
  <si>
    <t>č. 1111</t>
  </si>
  <si>
    <r>
      <t>č.</t>
    </r>
    <r>
      <rPr>
        <sz val="9"/>
        <color indexed="10"/>
        <rFont val="Calibri"/>
        <family val="2"/>
      </rPr>
      <t xml:space="preserve">1112 </t>
    </r>
    <r>
      <rPr>
        <sz val="9"/>
        <rFont val="Calibri"/>
        <family val="2"/>
      </rPr>
      <t>/ 1111</t>
    </r>
  </si>
  <si>
    <t>č.1111</t>
  </si>
  <si>
    <t>*včetně nedot.odpisů</t>
  </si>
  <si>
    <t>Fakulty celkem</t>
  </si>
  <si>
    <t>Režijní prac.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</si>
  <si>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</si>
  <si>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</si>
  <si>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</si>
  <si>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</si>
  <si>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</si>
  <si>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</si>
  <si>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</si>
  <si>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</si>
  <si>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stěhování do UKB</t>
  </si>
  <si>
    <t>plošné snížení nákladů ÚVT</t>
  </si>
  <si>
    <t>licence budovy / BMS - roční údržba</t>
  </si>
  <si>
    <t>podpora dostavby UKB a souvis. Náklady</t>
  </si>
  <si>
    <t>rozvoj koncepce  Facility mangementu</t>
  </si>
  <si>
    <t>vybavení a provoz. Laboratoří BMS</t>
  </si>
  <si>
    <t xml:space="preserve"> celkem účtováno přes CEITEC CŘS</t>
  </si>
  <si>
    <t>kurzy češtiny</t>
  </si>
  <si>
    <t xml:space="preserve"> celkem účtováno přes CZS</t>
  </si>
  <si>
    <t xml:space="preserve"> celkem účtováno přes FF</t>
  </si>
  <si>
    <t>rozdělovaná částka</t>
  </si>
  <si>
    <t xml:space="preserve"> Ceitec CŘS</t>
  </si>
  <si>
    <t>IRP</t>
  </si>
  <si>
    <t>MV - výměna NEI na INV a dotaci na OP VaVpI</t>
  </si>
  <si>
    <t>výměna NIV/INV + VaVpI</t>
  </si>
  <si>
    <t>PŘÍSPĚVEK CELKEM</t>
  </si>
  <si>
    <t>Přerozdělení IRP</t>
  </si>
  <si>
    <t>č.č. 1111</t>
  </si>
  <si>
    <t>NEI OPRAVY - PLÁN (tis. Kč)</t>
  </si>
  <si>
    <t>č.č. 1182</t>
  </si>
  <si>
    <t>č.č. 1112</t>
  </si>
  <si>
    <t>č.č. 2112</t>
  </si>
  <si>
    <t>z toho RMU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</si>
  <si>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</si>
  <si>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</si>
  <si>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</si>
  <si>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</si>
  <si>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</si>
  <si>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</si>
  <si>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</si>
  <si>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</si>
  <si>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</si>
  <si>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</si>
  <si>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</si>
  <si>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</si>
  <si>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FAKULTY CELKEM</t>
  </si>
  <si>
    <t>FR MU</t>
  </si>
  <si>
    <t>č.č. 1183</t>
  </si>
  <si>
    <t>FR MU (odbor rozvoje)</t>
  </si>
  <si>
    <t>Příspěvek 111*</t>
  </si>
  <si>
    <t>IRP*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</si>
  <si>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</si>
  <si>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</si>
  <si>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</si>
  <si>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</si>
  <si>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</si>
  <si>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</si>
  <si>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</si>
  <si>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</si>
  <si>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</si>
  <si>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</si>
  <si>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</si>
  <si>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</si>
  <si>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1025</t>
  </si>
  <si>
    <t>1026</t>
  </si>
  <si>
    <t>1028</t>
  </si>
  <si>
    <t>1027</t>
  </si>
  <si>
    <t>1029</t>
  </si>
  <si>
    <t>1032</t>
  </si>
  <si>
    <t>1037</t>
  </si>
  <si>
    <t>1040</t>
  </si>
  <si>
    <t>1052</t>
  </si>
  <si>
    <t>1053</t>
  </si>
  <si>
    <t>1060</t>
  </si>
  <si>
    <t>1061</t>
  </si>
  <si>
    <t>1062</t>
  </si>
  <si>
    <t>1063</t>
  </si>
  <si>
    <t>1064</t>
  </si>
  <si>
    <t>1074</t>
  </si>
  <si>
    <t>1055</t>
  </si>
  <si>
    <t>1075</t>
  </si>
  <si>
    <t>1078</t>
  </si>
  <si>
    <t>1081</t>
  </si>
  <si>
    <t>1084</t>
  </si>
  <si>
    <t>1085</t>
  </si>
  <si>
    <t>nová zak.</t>
  </si>
  <si>
    <t>1086</t>
  </si>
  <si>
    <t>1088</t>
  </si>
  <si>
    <t>1105</t>
  </si>
  <si>
    <t>1403</t>
  </si>
  <si>
    <t>1054</t>
  </si>
  <si>
    <t xml:space="preserve"> celkem účtováno přes FSS</t>
  </si>
  <si>
    <t>poplatek INTERGRAM - Rádio R</t>
  </si>
  <si>
    <t>ERA CHAIR</t>
  </si>
  <si>
    <t>skupina dr. Říhy</t>
  </si>
  <si>
    <t xml:space="preserve"> celkem účtováno přes SKM</t>
  </si>
  <si>
    <t>oprava krytiny střechy</t>
  </si>
  <si>
    <t>výměna podlahy v jídelně</t>
  </si>
  <si>
    <t>oprava zborcené kanalizace botanické zahrady + předláždění</t>
  </si>
  <si>
    <t>rekonstrukce chodby IV.NP - spojené neinvestice</t>
  </si>
  <si>
    <t>oprava chodby - studijní odbor- podhledy, omítky</t>
  </si>
  <si>
    <t>oprava výměnou - 2ks vnitřních požárních dveří v 3.a 4.NP- schodiště 1</t>
  </si>
  <si>
    <t>114*, 115*, 118*,</t>
  </si>
  <si>
    <t>114*, 115*, 118*</t>
  </si>
  <si>
    <t>117*, 12*</t>
  </si>
  <si>
    <t>zakázka</t>
  </si>
  <si>
    <t>KQ</t>
  </si>
  <si>
    <t>StudO</t>
  </si>
  <si>
    <t>OPR</t>
  </si>
  <si>
    <t>OAZ</t>
  </si>
  <si>
    <t>personální poradenství (překlady, inzerce, poradenství apod.)</t>
  </si>
  <si>
    <t>TO</t>
  </si>
  <si>
    <t>Odbor</t>
  </si>
  <si>
    <t>meziroční srovnání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</si>
  <si>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</si>
  <si>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</si>
  <si>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</si>
  <si>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</si>
  <si>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</si>
  <si>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</si>
  <si>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</si>
  <si>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</si>
  <si>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85 IBA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</si>
  <si>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</si>
  <si>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</si>
  <si>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</si>
  <si>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</si>
  <si>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</si>
  <si>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</si>
  <si>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</si>
  <si>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</si>
  <si>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</si>
  <si>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</si>
  <si>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</si>
  <si>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</si>
  <si>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</si>
  <si>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</si>
  <si>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CEITEC CŘS</t>
  </si>
  <si>
    <t>provoz SKM</t>
  </si>
  <si>
    <t>provoz SUKB</t>
  </si>
  <si>
    <t>provoz SPSSN</t>
  </si>
  <si>
    <t>provoz IBA</t>
  </si>
  <si>
    <t>provoz CTT</t>
  </si>
  <si>
    <t>provoz ÚVT</t>
  </si>
  <si>
    <t>provoz CJV</t>
  </si>
  <si>
    <t>provoz CZS</t>
  </si>
  <si>
    <t>provoz RMU</t>
  </si>
  <si>
    <t>mezisoučet CP1</t>
  </si>
  <si>
    <t>mezisoučet CP2</t>
  </si>
  <si>
    <t>mezisoučet MV</t>
  </si>
  <si>
    <r>
      <t xml:space="preserve">Hosp.středisko: </t>
    </r>
    <r>
      <rPr>
        <sz val="10"/>
        <color indexed="12"/>
        <rFont val="Calibri"/>
        <family val="2"/>
      </rPr>
      <t/>
    </r>
  </si>
  <si>
    <t>Náklady celkem (ř.2+14až23)</t>
  </si>
  <si>
    <t>13a</t>
  </si>
  <si>
    <t>13b</t>
  </si>
  <si>
    <t>Strukturální fondy aj.proj.spoluf.EU</t>
  </si>
  <si>
    <t>Výnosy celkem (ř.25 až 39)</t>
  </si>
  <si>
    <t>Hospodářský výsledek dílčí (ř.25+29+33+37+38+39-2-23)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</si>
  <si>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</si>
  <si>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</si>
  <si>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</si>
  <si>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</si>
  <si>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Akademický senát</t>
  </si>
  <si>
    <t>mezisoučet MV+CP1+CP2</t>
  </si>
  <si>
    <t>mezisoučty pro podrobnosti pracovišť</t>
  </si>
  <si>
    <t xml:space="preserve">               RMU - odvod</t>
  </si>
  <si>
    <t>správa budov Tvrdého 14</t>
  </si>
  <si>
    <t>1087</t>
  </si>
  <si>
    <t>1091</t>
  </si>
  <si>
    <t>tis. Kč</t>
  </si>
  <si>
    <t>součet ř.24  až 26</t>
  </si>
  <si>
    <t>režijní prac.(ř.39 až 50)</t>
  </si>
  <si>
    <t>režijní prac.(ř.64 až 75)</t>
  </si>
  <si>
    <t>1073</t>
  </si>
  <si>
    <t>1005</t>
  </si>
  <si>
    <t>1006</t>
  </si>
  <si>
    <t xml:space="preserve">MV + CP1 </t>
  </si>
  <si>
    <t>přiděleno</t>
  </si>
  <si>
    <t>přiděleno bez CP1</t>
  </si>
  <si>
    <t xml:space="preserve">nové </t>
  </si>
  <si>
    <t xml:space="preserve"> nové</t>
  </si>
  <si>
    <t xml:space="preserve"> CP1 *</t>
  </si>
  <si>
    <t>CP1*</t>
  </si>
  <si>
    <t>12 = 3 + 11</t>
  </si>
  <si>
    <t>podíl na odvodech</t>
  </si>
  <si>
    <t>ÚSTAVY CELKEM</t>
  </si>
  <si>
    <t>1182+1183</t>
  </si>
  <si>
    <t>podklad k zaokr. pro rozpis</t>
  </si>
  <si>
    <t>č.č. 4769</t>
  </si>
  <si>
    <t>RR (rezerva rektora)</t>
  </si>
  <si>
    <r>
      <t>(</t>
    </r>
    <r>
      <rPr>
        <sz val="10"/>
        <rFont val="Calibri"/>
        <family val="2"/>
        <charset val="238"/>
      </rPr>
      <t>z příspěvku MŠMT na ukazatel A+K a z IP na rozvoj) - v tis. Kč</t>
    </r>
  </si>
  <si>
    <r>
      <t>CP1</t>
    </r>
    <r>
      <rPr>
        <sz val="8"/>
        <color indexed="9"/>
        <rFont val="Calibri"/>
        <family val="2"/>
        <charset val="238"/>
      </rPr>
      <t xml:space="preserve"> (č.č.1112)</t>
    </r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</si>
  <si>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</si>
  <si>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zajištění udržitelnosti projektu COV</t>
  </si>
  <si>
    <t>rezerva (1% z příspěvku na ukazatel A)</t>
  </si>
  <si>
    <r>
      <t xml:space="preserve">rezerva rektora </t>
    </r>
    <r>
      <rPr>
        <sz val="8"/>
        <rFont val="Calibri"/>
        <family val="2"/>
        <charset val="238"/>
      </rPr>
      <t>(1% z příspěvku MŠMT)</t>
    </r>
  </si>
  <si>
    <t>výměna NEI/INV+ program</t>
  </si>
  <si>
    <t>výměna NEI/INV+VaVpI</t>
  </si>
  <si>
    <t xml:space="preserve"> z toho
 NEI</t>
  </si>
  <si>
    <t>INV</t>
  </si>
  <si>
    <t>11</t>
  </si>
  <si>
    <t>1065</t>
  </si>
  <si>
    <t>příprava projektu OP VVV (v r. 2015 Grant Office)</t>
  </si>
  <si>
    <t>1095</t>
  </si>
  <si>
    <t>CPP</t>
  </si>
  <si>
    <t>1096</t>
  </si>
  <si>
    <t>1089</t>
  </si>
  <si>
    <t>Ceny rektora (dřive součástí GA MU)</t>
  </si>
  <si>
    <t>1123</t>
  </si>
  <si>
    <t>93 ÚVT</t>
  </si>
  <si>
    <t>CP3</t>
  </si>
  <si>
    <t>94 ÚVT</t>
  </si>
  <si>
    <t>CP4</t>
  </si>
  <si>
    <t>95 ÚVT</t>
  </si>
  <si>
    <t>CP5</t>
  </si>
  <si>
    <t>96 ÚVT</t>
  </si>
  <si>
    <t>služby pro rekonstrukci webu</t>
  </si>
  <si>
    <t>maple upgrade</t>
  </si>
  <si>
    <t>rozšiřování pokrytí bezdrátové sítě</t>
  </si>
  <si>
    <t>* včetně rozdělení 56 572 tis. na fakulty a ústavy, viz list "Rozdělení IRP"</t>
  </si>
  <si>
    <t>oprava střešních oken + střechy 5.NP</t>
  </si>
  <si>
    <t>malá zasedačka AV technika, nábytek</t>
  </si>
  <si>
    <t>oprava stávajících opatření proti vlhkosti v 1.PP</t>
  </si>
  <si>
    <t>neinvestiční náklady spojené s akcí  zasedací místnost  201</t>
  </si>
  <si>
    <t>Odvod dle výnosů</t>
  </si>
  <si>
    <t>10 = 3 - 9</t>
  </si>
  <si>
    <t>9=6+8</t>
  </si>
  <si>
    <t>Odvod 
celkem</t>
  </si>
  <si>
    <t>Odvod dle ploch (KEN)</t>
  </si>
  <si>
    <t>12 = 10 + 11</t>
  </si>
  <si>
    <t>Odvod dle
 výnosů</t>
  </si>
  <si>
    <t>potřeba CP bez výměny (odvod sl.9 - ř.2)</t>
  </si>
  <si>
    <t>Podpora zájmové činnosti dětí</t>
  </si>
  <si>
    <t xml:space="preserve">Nájem FF Gorkého </t>
  </si>
  <si>
    <t>Symfonický orchestr</t>
  </si>
  <si>
    <t>Provozní náklady - dofinancování NPÚ II</t>
  </si>
  <si>
    <t>věcná břemena / od roku 2017 pronájem kolektorů</t>
  </si>
  <si>
    <t>Přerozdělení části IRP na fakulty 2017</t>
  </si>
  <si>
    <t>Rezerva</t>
  </si>
  <si>
    <t>rok 2017</t>
  </si>
  <si>
    <t>&lt;doplnit č.HS a název&gt;</t>
  </si>
  <si>
    <r>
      <t xml:space="preserve">111*,117*,12*,152*,153*,157*,159*,167*,169*,19*,211* (bez 2114, </t>
    </r>
    <r>
      <rPr>
        <sz val="8"/>
        <rFont val="Calibri"/>
        <family val="2"/>
        <charset val="238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</si>
  <si>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2114, 2115, 2116, 2117, 2125, 2126, 213*, 214*, 2151, 22*</t>
  </si>
  <si>
    <t>2195, 2196, 261*</t>
  </si>
  <si>
    <r>
      <t xml:space="preserve">2114, 2115, 2116, 2117, </t>
    </r>
    <r>
      <rPr>
        <sz val="8"/>
        <rFont val="Calibri"/>
        <family val="2"/>
      </rPr>
      <t xml:space="preserve">2125, 2126, 213*, 214*, 2151, 22*, </t>
    </r>
  </si>
  <si>
    <t>RVH MU</t>
  </si>
  <si>
    <t>Externí příjmy</t>
  </si>
  <si>
    <t>Započítané body RUV v tis. Kč</t>
  </si>
  <si>
    <t xml:space="preserve"> body RUV</t>
  </si>
  <si>
    <t>Cizojazyčné práce</t>
  </si>
  <si>
    <t>Externí příjmy v tis. Kč</t>
  </si>
  <si>
    <t>Zaměst. absolventi</t>
  </si>
  <si>
    <t>Zaměst. absolventů v tis. Kč</t>
  </si>
  <si>
    <t>Cizojazyčné práce v tis. Kč</t>
  </si>
  <si>
    <t>Vyslaní a přijatí studentodní</t>
  </si>
  <si>
    <t>Vyslaní a přijatí v rámci mobilitních programů v tis. Kč</t>
  </si>
  <si>
    <t>Koordinace strategických projektů</t>
  </si>
  <si>
    <t>fixní část</t>
  </si>
  <si>
    <t>výkonová část</t>
  </si>
  <si>
    <t>Fixní část</t>
  </si>
  <si>
    <t>Výkonová část</t>
  </si>
  <si>
    <t>K dokrytí z CP FPP</t>
  </si>
  <si>
    <t xml:space="preserve"> </t>
  </si>
  <si>
    <r>
      <t>Rozpočet 2018</t>
    </r>
    <r>
      <rPr>
        <b/>
        <sz val="12"/>
        <color indexed="10"/>
        <rFont val="Calibri"/>
        <family val="2"/>
      </rPr>
      <t xml:space="preserve"> (v tis.Kč)</t>
    </r>
  </si>
  <si>
    <t>Přerozdělení části IRP na fakulty 2018</t>
  </si>
  <si>
    <t>rok 2018</t>
  </si>
  <si>
    <t>Osnova rozpočtu na rok 2018</t>
  </si>
  <si>
    <t>V Brně 6. 3. 2018</t>
  </si>
  <si>
    <t>Mandatorní výdaje a financování celouniverzitních aktivit v roce 2018</t>
  </si>
  <si>
    <t>2018/17</t>
  </si>
  <si>
    <t>(dle výsledků 2016)</t>
  </si>
  <si>
    <t>Centralizace  IP (*)</t>
  </si>
  <si>
    <t>MUNIPRESS</t>
  </si>
  <si>
    <t>MPÚ</t>
  </si>
  <si>
    <r>
      <t xml:space="preserve"> IP - 1 2018 </t>
    </r>
    <r>
      <rPr>
        <sz val="10"/>
        <color indexed="8"/>
        <rFont val="Calibri"/>
        <family val="2"/>
      </rPr>
      <t>v tis. Kč</t>
    </r>
  </si>
  <si>
    <r>
      <t xml:space="preserve"> IP - 2 2018 </t>
    </r>
    <r>
      <rPr>
        <sz val="10"/>
        <color indexed="8"/>
        <rFont val="Calibri"/>
        <family val="2"/>
      </rPr>
      <t>v tis. Kč</t>
    </r>
  </si>
  <si>
    <t>r o k   2 0 18</t>
  </si>
  <si>
    <t>r o k   2 0 1 7</t>
  </si>
  <si>
    <t xml:space="preserve"> body RIV (2016)</t>
  </si>
  <si>
    <t>Cizinci zaměstnanci počet</t>
  </si>
  <si>
    <t>Cizinci studenti počet</t>
  </si>
  <si>
    <t>Cizinci studenti v tis. Kč</t>
  </si>
  <si>
    <t>Cizinci zaměstnanci v tis. Kč</t>
  </si>
  <si>
    <t>Graduation rate</t>
  </si>
  <si>
    <t>Graduation rate v Kč</t>
  </si>
  <si>
    <t>9</t>
  </si>
  <si>
    <t xml:space="preserve">Ukazatel K </t>
  </si>
  <si>
    <t xml:space="preserve">(*) Centralizace IP: GAMU + náklady na centralizované aktivity (EIZ, Etická komise, InCites, Seminar series,  studentské projekty Programu rektora) </t>
  </si>
  <si>
    <t>*IP - centralizace</t>
  </si>
  <si>
    <t>VI. Příspěvek fakult do centralizovaných zdrojů pro účetní období kalendářního roku 2018</t>
  </si>
  <si>
    <t>AS</t>
  </si>
  <si>
    <t>1098</t>
  </si>
  <si>
    <t>OpK</t>
  </si>
  <si>
    <t>1097</t>
  </si>
  <si>
    <t>1066</t>
  </si>
  <si>
    <t>SPOLUFIN OP VVV</t>
  </si>
  <si>
    <t>OV</t>
  </si>
  <si>
    <t>Dofinancování MUNI 4.0</t>
  </si>
  <si>
    <t>1661</t>
  </si>
  <si>
    <t>SPOLUFIN strategický projekt MUNI 4.0</t>
  </si>
  <si>
    <t>1196</t>
  </si>
  <si>
    <t>Implementace GDPR</t>
  </si>
  <si>
    <t>PO</t>
  </si>
  <si>
    <t>Údržba pozemků UKB</t>
  </si>
  <si>
    <t>Pasportizace nemovistostí</t>
  </si>
  <si>
    <t>1122</t>
  </si>
  <si>
    <t>Odměny senátorům</t>
  </si>
  <si>
    <t>Stipendia studentské komory</t>
  </si>
  <si>
    <t>EO</t>
  </si>
  <si>
    <t>OPŘ</t>
  </si>
  <si>
    <t>Přiděleno fak. + CJV+CUS+IBA</t>
  </si>
  <si>
    <t>oprava světlíku nad P51</t>
  </si>
  <si>
    <t>oprava fasády dvorečku</t>
  </si>
  <si>
    <t>sanace vlhkého zdivamístnosti 0.38 -0.41</t>
  </si>
  <si>
    <t>výměna oken ze strany dvora</t>
  </si>
  <si>
    <t>výměna ležatých rozvodů</t>
  </si>
  <si>
    <t>vstupní recepce - vybavení</t>
  </si>
  <si>
    <t xml:space="preserve">Kalkulace plánovaných nákladů, které mohou být uhrazeny z IP </t>
  </si>
  <si>
    <t>(v souladu s podmínkami poskytnutí dotace, dle Pravidel sestavování rozpočtu - čl. 7, odst. 5)</t>
  </si>
  <si>
    <t>Celkem:</t>
  </si>
  <si>
    <t>Částka v tis. Kč</t>
  </si>
  <si>
    <t>KR</t>
  </si>
  <si>
    <t>79 Ceitec - CŘS</t>
  </si>
  <si>
    <t>Činnost</t>
  </si>
  <si>
    <t>CP FPP</t>
  </si>
  <si>
    <t>Centralizace IP (OV)</t>
  </si>
  <si>
    <t>bez Centralizace IP, FR MU a RR</t>
  </si>
  <si>
    <t>Pom. tab.1  - Výpočet výkonové části na rok 2018</t>
  </si>
  <si>
    <t>Přínos podle počtu kredito-studentů</t>
  </si>
  <si>
    <r>
      <t>c) Rozpis příspěvku a IP</t>
    </r>
    <r>
      <rPr>
        <b/>
        <sz val="10"/>
        <color indexed="10"/>
        <rFont val="Calibri"/>
        <family val="2"/>
        <charset val="238"/>
      </rPr>
      <t xml:space="preserve"> konečný </t>
    </r>
    <r>
      <rPr>
        <b/>
        <sz val="10"/>
        <rFont val="Calibri"/>
        <family val="2"/>
      </rPr>
      <t>- po přerozdělení mezi fakultami + Ceitec a součástmi CTT, ÚVT, CŘS a RMU</t>
    </r>
  </si>
  <si>
    <t xml:space="preserve"> celkem účtováno přes CEITEC</t>
  </si>
  <si>
    <t>provoz CEITEC</t>
  </si>
  <si>
    <r>
      <rPr>
        <sz val="10"/>
        <rFont val="Calibri"/>
        <family val="2"/>
      </rPr>
      <t>Pom.tab.3 -</t>
    </r>
    <r>
      <rPr>
        <b/>
        <sz val="10"/>
        <rFont val="Calibri"/>
        <family val="2"/>
      </rPr>
      <t xml:space="preserve"> Podklady pro přerozdělení IP a příspěvku mezi fakultami + Ceitec a součástmi CTT, ÚVT, CŘS a RMU</t>
    </r>
  </si>
  <si>
    <t>Fakulty + Ceitec</t>
  </si>
  <si>
    <r>
      <t>Způsob rozdělení vychází z Pravidel sestavování rozpočtu Masarykovy univerzity pro rok 2018 (Směrnice Masarykovy univerzity č.</t>
    </r>
    <r>
      <rPr>
        <sz val="10"/>
        <rFont val="Calibri"/>
        <family val="2"/>
      </rPr>
      <t xml:space="preserve"> 2/2018)</t>
    </r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</si>
  <si>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institucionální podpory VaV na rok 2018 v rámci Masarykovy univerzity</t>
    </r>
  </si>
  <si>
    <t>II. Výpočet přínosu fakult na výši příspěvku MŠMT na vzdělávací činnost pro Masarykovu univerzitu na rok 2018</t>
  </si>
  <si>
    <t>podíl na celku</t>
  </si>
  <si>
    <t>III. Výpočet přínosu na institucionální podporu výzkumných organizací (dále IP) pro Masarykovu univerzitu na rok 2018</t>
  </si>
  <si>
    <r>
      <t xml:space="preserve">Celkem </t>
    </r>
    <r>
      <rPr>
        <i/>
        <sz val="10"/>
        <rFont val="Calibri"/>
        <family val="2"/>
      </rPr>
      <t>(ř.10+23+27)</t>
    </r>
  </si>
  <si>
    <t>periodické prohlídky zaměstnanců</t>
  </si>
  <si>
    <t>poplatky, spojené s členstvím univerzity v zahr.org.+RVŠ</t>
  </si>
  <si>
    <t>www stránky univerzity (překlady,digitalizace ...)</t>
  </si>
  <si>
    <t xml:space="preserve">Nájem pozemky </t>
  </si>
  <si>
    <t>Evaluace VaV na univerzitě</t>
  </si>
  <si>
    <t>zapojení publikací univerzity do světové distrib.sítě</t>
  </si>
  <si>
    <t xml:space="preserve">Služby CrossRef, koordinace DOI </t>
  </si>
  <si>
    <t>odborná školení (BOZP)</t>
  </si>
  <si>
    <t>Energetické audity</t>
  </si>
  <si>
    <t>Management Masarykovy univerzity</t>
  </si>
  <si>
    <t>Dokument ČT o Masarykově univerzitě</t>
  </si>
  <si>
    <t>100 let dějin Masarykovy univerzity</t>
  </si>
  <si>
    <t>Jazyková příprava zahraničích studentů</t>
  </si>
  <si>
    <t xml:space="preserve">IS Masarykovy univerzity (inf.systém) </t>
  </si>
  <si>
    <t>pěvecký sbor</t>
  </si>
  <si>
    <t>závazek vůči FMN - tvorba fondu na opravy (1% z FMN ročně)-Telč</t>
  </si>
  <si>
    <t>WebLogic - weby Masarykovy univerzity</t>
  </si>
  <si>
    <t>obnova staré generace AP v budovách</t>
  </si>
  <si>
    <t>pronájem licence 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</si>
</sst>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0.0%"/>
    <numFmt numFmtId="168" formatCode="0.00000"/>
    <numFmt numFmtId="169" formatCode="0.0000"/>
  </numFmts>
  <fonts count="16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b/>
      <sz val="10"/>
      <color indexed="10"/>
      <name val="Calibri"/>
      <family val="2"/>
      <charset val="238"/>
    </font>
    <font>
      <sz val="8"/>
      <name val="Arial CE"/>
    </font>
    <font>
      <i/>
      <sz val="8"/>
      <name val="Arial CE"/>
      <charset val="238"/>
    </font>
    <font>
      <i/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color indexed="21"/>
      <name val="Calibri"/>
      <family val="2"/>
      <scheme val="minor"/>
    </font>
    <font>
      <sz val="9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20651875362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</borders>
  <cellStyleXfs count="102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43" fontId="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9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4" fillId="8" borderId="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  <xf numFmtId="0" fontId="1" fillId="0" borderId="0"/>
  </cellStyleXfs>
  <cellXfs count="1601">
    <xf numFmtId="0" fontId="0" fillId="0" borderId="0" xfId="0"/>
    <xf numFmtId="0" fontId="4" fillId="0" borderId="0" xfId="50"/>
    <xf numFmtId="0" fontId="24" fillId="0" borderId="0" xfId="50" applyFont="1"/>
    <xf numFmtId="0" fontId="24" fillId="0" borderId="0" xfId="50" applyFont="1" applyAlignment="1">
      <alignment horizontal="center"/>
    </xf>
    <xf numFmtId="0" fontId="24" fillId="0" borderId="0" xfId="50" applyFont="1" applyFill="1"/>
    <xf numFmtId="0" fontId="4" fillId="0" borderId="0" xfId="50" applyFill="1"/>
    <xf numFmtId="0" fontId="27" fillId="0" borderId="0" xfId="50" applyFont="1" applyFill="1" applyAlignment="1">
      <alignment horizontal="left" vertical="justify"/>
    </xf>
    <xf numFmtId="0" fontId="26" fillId="0" borderId="0" xfId="50" applyFont="1" applyFill="1"/>
    <xf numFmtId="0" fontId="4" fillId="0" borderId="0" xfId="50" applyFont="1" applyAlignment="1">
      <alignment horizontal="center"/>
    </xf>
    <xf numFmtId="0" fontId="4" fillId="0" borderId="0" xfId="50" applyFont="1" applyFill="1"/>
    <xf numFmtId="0" fontId="25" fillId="0" borderId="0" xfId="50" applyFont="1" applyFill="1" applyAlignment="1">
      <alignment horizontal="left" vertical="justify"/>
    </xf>
    <xf numFmtId="0" fontId="58" fillId="0" borderId="0" xfId="0" applyFont="1"/>
    <xf numFmtId="0" fontId="59" fillId="0" borderId="0" xfId="0" applyFont="1"/>
    <xf numFmtId="0" fontId="60" fillId="0" borderId="0" xfId="0" applyFont="1"/>
    <xf numFmtId="4" fontId="59" fillId="0" borderId="10" xfId="0" applyNumberFormat="1" applyFont="1" applyBorder="1"/>
    <xf numFmtId="3" fontId="59" fillId="0" borderId="10" xfId="0" applyNumberFormat="1" applyFont="1" applyFill="1" applyBorder="1"/>
    <xf numFmtId="0" fontId="61" fillId="0" borderId="11" xfId="0" applyFont="1" applyFill="1" applyBorder="1"/>
    <xf numFmtId="3" fontId="62" fillId="0" borderId="10" xfId="0" applyNumberFormat="1" applyFont="1" applyBorder="1"/>
    <xf numFmtId="0" fontId="28" fillId="0" borderId="0" xfId="50" applyFont="1"/>
    <xf numFmtId="4" fontId="61" fillId="0" borderId="0" xfId="0" applyNumberFormat="1" applyFont="1" applyFill="1" applyBorder="1"/>
    <xf numFmtId="3" fontId="62" fillId="0" borderId="12" xfId="0" applyNumberFormat="1" applyFont="1" applyBorder="1"/>
    <xf numFmtId="0" fontId="63" fillId="0" borderId="13" xfId="0" applyFont="1" applyBorder="1"/>
    <xf numFmtId="0" fontId="63" fillId="0" borderId="14" xfId="0" applyFont="1" applyBorder="1" applyAlignment="1">
      <alignment horizontal="center" wrapText="1"/>
    </xf>
    <xf numFmtId="0" fontId="63" fillId="0" borderId="14" xfId="0" applyFont="1" applyFill="1" applyBorder="1" applyAlignment="1">
      <alignment horizontal="center" wrapText="1"/>
    </xf>
    <xf numFmtId="0" fontId="59" fillId="0" borderId="15" xfId="0" applyFont="1" applyBorder="1"/>
    <xf numFmtId="3" fontId="64" fillId="38" borderId="16" xfId="0" applyNumberFormat="1" applyFont="1" applyFill="1" applyBorder="1"/>
    <xf numFmtId="0" fontId="63" fillId="0" borderId="17" xfId="0" applyFont="1" applyFill="1" applyBorder="1"/>
    <xf numFmtId="4" fontId="63" fillId="0" borderId="18" xfId="0" applyNumberFormat="1" applyFont="1" applyBorder="1"/>
    <xf numFmtId="10" fontId="63" fillId="0" borderId="18" xfId="0" applyNumberFormat="1" applyFont="1" applyBorder="1"/>
    <xf numFmtId="3" fontId="63" fillId="0" borderId="18" xfId="0" applyNumberFormat="1" applyFont="1" applyBorder="1"/>
    <xf numFmtId="0" fontId="63" fillId="40" borderId="21" xfId="0" applyFont="1" applyFill="1" applyBorder="1" applyAlignment="1">
      <alignment horizontal="center" wrapText="1"/>
    </xf>
    <xf numFmtId="3" fontId="59" fillId="40" borderId="22" xfId="0" applyNumberFormat="1" applyFont="1" applyFill="1" applyBorder="1"/>
    <xf numFmtId="3" fontId="63" fillId="40" borderId="23" xfId="0" applyNumberFormat="1" applyFont="1" applyFill="1" applyBorder="1"/>
    <xf numFmtId="0" fontId="65" fillId="0" borderId="0" xfId="0" applyFont="1"/>
    <xf numFmtId="0" fontId="65" fillId="0" borderId="24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28" xfId="0" applyFont="1" applyBorder="1"/>
    <xf numFmtId="0" fontId="65" fillId="0" borderId="29" xfId="0" applyFont="1" applyBorder="1"/>
    <xf numFmtId="0" fontId="65" fillId="0" borderId="30" xfId="0" applyFont="1" applyBorder="1"/>
    <xf numFmtId="0" fontId="65" fillId="0" borderId="11" xfId="0" applyFont="1" applyBorder="1"/>
    <xf numFmtId="0" fontId="65" fillId="0" borderId="0" xfId="0" applyFont="1" applyBorder="1"/>
    <xf numFmtId="0" fontId="65" fillId="0" borderId="31" xfId="0" applyFont="1" applyBorder="1"/>
    <xf numFmtId="0" fontId="65" fillId="0" borderId="0" xfId="0" applyFont="1" applyFill="1"/>
    <xf numFmtId="0" fontId="66" fillId="0" borderId="0" xfId="0" applyFont="1"/>
    <xf numFmtId="0" fontId="66" fillId="0" borderId="0" xfId="0" applyFont="1" applyBorder="1"/>
    <xf numFmtId="0" fontId="66" fillId="0" borderId="0" xfId="0" applyFont="1" applyFill="1"/>
    <xf numFmtId="0" fontId="67" fillId="0" borderId="0" xfId="0" applyFont="1"/>
    <xf numFmtId="0" fontId="67" fillId="0" borderId="24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2" xfId="0" applyFont="1" applyBorder="1"/>
    <xf numFmtId="0" fontId="67" fillId="40" borderId="33" xfId="0" applyFont="1" applyFill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40" borderId="26" xfId="0" applyFont="1" applyFill="1" applyBorder="1" applyAlignment="1">
      <alignment horizontal="center"/>
    </xf>
    <xf numFmtId="0" fontId="67" fillId="40" borderId="34" xfId="0" applyFont="1" applyFill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/>
    </xf>
    <xf numFmtId="0" fontId="67" fillId="40" borderId="12" xfId="0" applyFont="1" applyFill="1" applyBorder="1" applyAlignment="1">
      <alignment horizontal="center"/>
    </xf>
    <xf numFmtId="0" fontId="67" fillId="40" borderId="10" xfId="0" applyFont="1" applyFill="1" applyBorder="1" applyAlignment="1">
      <alignment horizontal="center"/>
    </xf>
    <xf numFmtId="0" fontId="67" fillId="40" borderId="35" xfId="0" applyFont="1" applyFill="1" applyBorder="1" applyAlignment="1">
      <alignment horizontal="center"/>
    </xf>
    <xf numFmtId="3" fontId="67" fillId="0" borderId="15" xfId="0" applyNumberFormat="1" applyFont="1" applyBorder="1"/>
    <xf numFmtId="0" fontId="67" fillId="0" borderId="10" xfId="0" applyFont="1" applyBorder="1"/>
    <xf numFmtId="3" fontId="67" fillId="0" borderId="10" xfId="0" applyNumberFormat="1" applyFont="1" applyBorder="1"/>
    <xf numFmtId="4" fontId="67" fillId="0" borderId="10" xfId="0" applyNumberFormat="1" applyFont="1" applyBorder="1"/>
    <xf numFmtId="3" fontId="67" fillId="40" borderId="10" xfId="0" applyNumberFormat="1" applyFont="1" applyFill="1" applyBorder="1"/>
    <xf numFmtId="3" fontId="68" fillId="0" borderId="10" xfId="0" applyNumberFormat="1" applyFont="1" applyBorder="1"/>
    <xf numFmtId="3" fontId="67" fillId="40" borderId="22" xfId="0" applyNumberFormat="1" applyFont="1" applyFill="1" applyBorder="1"/>
    <xf numFmtId="3" fontId="67" fillId="0" borderId="36" xfId="0" applyNumberFormat="1" applyFont="1" applyBorder="1"/>
    <xf numFmtId="0" fontId="67" fillId="0" borderId="37" xfId="0" applyFont="1" applyBorder="1"/>
    <xf numFmtId="3" fontId="67" fillId="0" borderId="37" xfId="0" applyNumberFormat="1" applyFont="1" applyBorder="1"/>
    <xf numFmtId="4" fontId="67" fillId="0" borderId="37" xfId="0" applyNumberFormat="1" applyFont="1" applyBorder="1"/>
    <xf numFmtId="3" fontId="67" fillId="40" borderId="37" xfId="0" applyNumberFormat="1" applyFont="1" applyFill="1" applyBorder="1"/>
    <xf numFmtId="3" fontId="68" fillId="0" borderId="37" xfId="0" applyNumberFormat="1" applyFont="1" applyBorder="1"/>
    <xf numFmtId="3" fontId="67" fillId="40" borderId="38" xfId="0" applyNumberFormat="1" applyFont="1" applyFill="1" applyBorder="1"/>
    <xf numFmtId="3" fontId="69" fillId="0" borderId="17" xfId="0" applyNumberFormat="1" applyFont="1" applyBorder="1"/>
    <xf numFmtId="3" fontId="69" fillId="0" borderId="18" xfId="0" applyNumberFormat="1" applyFont="1" applyBorder="1"/>
    <xf numFmtId="4" fontId="69" fillId="0" borderId="18" xfId="0" applyNumberFormat="1" applyFont="1" applyBorder="1"/>
    <xf numFmtId="3" fontId="69" fillId="40" borderId="18" xfId="0" applyNumberFormat="1" applyFont="1" applyFill="1" applyBorder="1"/>
    <xf numFmtId="3" fontId="69" fillId="40" borderId="23" xfId="0" applyNumberFormat="1" applyFont="1" applyFill="1" applyBorder="1"/>
    <xf numFmtId="0" fontId="67" fillId="0" borderId="28" xfId="0" applyFont="1" applyBorder="1"/>
    <xf numFmtId="3" fontId="67" fillId="0" borderId="27" xfId="0" applyNumberFormat="1" applyFont="1" applyBorder="1"/>
    <xf numFmtId="0" fontId="67" fillId="0" borderId="12" xfId="0" applyFont="1" applyBorder="1"/>
    <xf numFmtId="3" fontId="67" fillId="0" borderId="12" xfId="0" applyNumberFormat="1" applyFont="1" applyBorder="1"/>
    <xf numFmtId="4" fontId="67" fillId="0" borderId="12" xfId="0" applyNumberFormat="1" applyFont="1" applyBorder="1"/>
    <xf numFmtId="3" fontId="67" fillId="40" borderId="12" xfId="0" applyNumberFormat="1" applyFont="1" applyFill="1" applyBorder="1"/>
    <xf numFmtId="3" fontId="68" fillId="0" borderId="12" xfId="0" applyNumberFormat="1" applyFont="1" applyBorder="1"/>
    <xf numFmtId="3" fontId="67" fillId="40" borderId="35" xfId="0" applyNumberFormat="1" applyFont="1" applyFill="1" applyBorder="1"/>
    <xf numFmtId="0" fontId="67" fillId="0" borderId="29" xfId="0" applyFont="1" applyBorder="1"/>
    <xf numFmtId="3" fontId="67" fillId="0" borderId="17" xfId="0" applyNumberFormat="1" applyFont="1" applyBorder="1"/>
    <xf numFmtId="3" fontId="67" fillId="0" borderId="18" xfId="0" applyNumberFormat="1" applyFont="1" applyBorder="1"/>
    <xf numFmtId="4" fontId="67" fillId="0" borderId="18" xfId="0" applyNumberFormat="1" applyFont="1" applyBorder="1"/>
    <xf numFmtId="3" fontId="67" fillId="40" borderId="18" xfId="0" applyNumberFormat="1" applyFont="1" applyFill="1" applyBorder="1"/>
    <xf numFmtId="3" fontId="67" fillId="40" borderId="23" xfId="0" applyNumberFormat="1" applyFont="1" applyFill="1" applyBorder="1"/>
    <xf numFmtId="0" fontId="67" fillId="0" borderId="0" xfId="0" applyFont="1" applyBorder="1"/>
    <xf numFmtId="0" fontId="67" fillId="0" borderId="15" xfId="0" applyFont="1" applyBorder="1"/>
    <xf numFmtId="0" fontId="67" fillId="0" borderId="36" xfId="0" applyFont="1" applyBorder="1"/>
    <xf numFmtId="0" fontId="67" fillId="0" borderId="39" xfId="0" applyFont="1" applyBorder="1"/>
    <xf numFmtId="0" fontId="67" fillId="0" borderId="0" xfId="0" applyFont="1" applyFill="1"/>
    <xf numFmtId="0" fontId="67" fillId="0" borderId="40" xfId="0" applyFont="1" applyFill="1" applyBorder="1"/>
    <xf numFmtId="0" fontId="67" fillId="0" borderId="40" xfId="0" applyFont="1" applyBorder="1"/>
    <xf numFmtId="3" fontId="67" fillId="0" borderId="40" xfId="0" applyNumberFormat="1" applyFont="1" applyBorder="1"/>
    <xf numFmtId="3" fontId="67" fillId="0" borderId="41" xfId="0" applyNumberFormat="1" applyFont="1" applyBorder="1"/>
    <xf numFmtId="0" fontId="70" fillId="0" borderId="0" xfId="0" applyFont="1" applyFill="1"/>
    <xf numFmtId="0" fontId="71" fillId="0" borderId="0" xfId="0" applyFont="1"/>
    <xf numFmtId="3" fontId="65" fillId="0" borderId="0" xfId="0" applyNumberFormat="1" applyFont="1"/>
    <xf numFmtId="0" fontId="70" fillId="0" borderId="0" xfId="79" applyFont="1"/>
    <xf numFmtId="0" fontId="65" fillId="0" borderId="42" xfId="0" applyFont="1" applyBorder="1"/>
    <xf numFmtId="0" fontId="72" fillId="0" borderId="0" xfId="0" applyFont="1"/>
    <xf numFmtId="0" fontId="73" fillId="0" borderId="0" xfId="0" applyFont="1"/>
    <xf numFmtId="0" fontId="68" fillId="0" borderId="0" xfId="0" applyFont="1" applyFill="1"/>
    <xf numFmtId="0" fontId="68" fillId="0" borderId="0" xfId="0" applyFont="1"/>
    <xf numFmtId="3" fontId="67" fillId="0" borderId="0" xfId="0" applyNumberFormat="1" applyFont="1"/>
    <xf numFmtId="0" fontId="72" fillId="0" borderId="0" xfId="0" applyFont="1" applyFill="1"/>
    <xf numFmtId="0" fontId="71" fillId="0" borderId="0" xfId="0" applyFont="1" applyFill="1"/>
    <xf numFmtId="0" fontId="74" fillId="0" borderId="0" xfId="0" applyFont="1" applyFill="1"/>
    <xf numFmtId="0" fontId="75" fillId="0" borderId="0" xfId="0" applyFont="1" applyFill="1"/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0" fontId="66" fillId="0" borderId="43" xfId="0" applyFont="1" applyBorder="1"/>
    <xf numFmtId="0" fontId="65" fillId="0" borderId="42" xfId="0" applyFont="1" applyFill="1" applyBorder="1"/>
    <xf numFmtId="0" fontId="65" fillId="0" borderId="44" xfId="0" applyFont="1" applyFill="1" applyBorder="1"/>
    <xf numFmtId="0" fontId="65" fillId="0" borderId="45" xfId="0" applyFont="1" applyFill="1" applyBorder="1" applyAlignment="1">
      <alignment horizontal="center"/>
    </xf>
    <xf numFmtId="0" fontId="65" fillId="0" borderId="45" xfId="0" applyFont="1" applyFill="1" applyBorder="1"/>
    <xf numFmtId="0" fontId="71" fillId="0" borderId="46" xfId="0" applyFont="1" applyFill="1" applyBorder="1" applyAlignment="1">
      <alignment horizontal="center"/>
    </xf>
    <xf numFmtId="0" fontId="71" fillId="27" borderId="46" xfId="0" applyFont="1" applyFill="1" applyBorder="1" applyAlignment="1">
      <alignment horizontal="center"/>
    </xf>
    <xf numFmtId="0" fontId="65" fillId="0" borderId="46" xfId="0" applyFont="1" applyFill="1" applyBorder="1" applyAlignment="1">
      <alignment horizontal="center"/>
    </xf>
    <xf numFmtId="0" fontId="65" fillId="0" borderId="47" xfId="0" applyFont="1" applyFill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65" fillId="0" borderId="49" xfId="0" applyFont="1" applyFill="1" applyBorder="1"/>
    <xf numFmtId="0" fontId="65" fillId="0" borderId="43" xfId="0" applyFont="1" applyFill="1" applyBorder="1" applyAlignment="1">
      <alignment horizontal="center"/>
    </xf>
    <xf numFmtId="0" fontId="65" fillId="0" borderId="43" xfId="0" applyFont="1" applyFill="1" applyBorder="1"/>
    <xf numFmtId="0" fontId="71" fillId="0" borderId="50" xfId="0" applyFont="1" applyFill="1" applyBorder="1" applyAlignment="1">
      <alignment horizontal="center"/>
    </xf>
    <xf numFmtId="0" fontId="71" fillId="27" borderId="50" xfId="0" applyFont="1" applyFill="1" applyBorder="1" applyAlignment="1">
      <alignment horizontal="center"/>
    </xf>
    <xf numFmtId="0" fontId="65" fillId="28" borderId="50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0" fontId="65" fillId="0" borderId="53" xfId="0" applyFont="1" applyFill="1" applyBorder="1"/>
    <xf numFmtId="3" fontId="65" fillId="0" borderId="54" xfId="0" applyNumberFormat="1" applyFont="1" applyFill="1" applyBorder="1"/>
    <xf numFmtId="0" fontId="65" fillId="0" borderId="54" xfId="0" applyFont="1" applyFill="1" applyBorder="1"/>
    <xf numFmtId="3" fontId="71" fillId="0" borderId="55" xfId="0" applyNumberFormat="1" applyFont="1" applyFill="1" applyBorder="1"/>
    <xf numFmtId="3" fontId="71" fillId="27" borderId="55" xfId="0" applyNumberFormat="1" applyFont="1" applyFill="1" applyBorder="1"/>
    <xf numFmtId="3" fontId="65" fillId="28" borderId="55" xfId="0" applyNumberFormat="1" applyFont="1" applyFill="1" applyBorder="1"/>
    <xf numFmtId="3" fontId="65" fillId="0" borderId="55" xfId="0" applyNumberFormat="1" applyFont="1" applyFill="1" applyBorder="1"/>
    <xf numFmtId="2" fontId="65" fillId="0" borderId="56" xfId="0" applyNumberFormat="1" applyFont="1" applyFill="1" applyBorder="1" applyAlignment="1">
      <alignment horizontal="center"/>
    </xf>
    <xf numFmtId="3" fontId="76" fillId="0" borderId="0" xfId="0" applyNumberFormat="1" applyFont="1" applyFill="1" applyAlignment="1">
      <alignment horizontal="left"/>
    </xf>
    <xf numFmtId="0" fontId="65" fillId="0" borderId="57" xfId="0" applyFont="1" applyFill="1" applyBorder="1" applyAlignment="1">
      <alignment horizontal="center"/>
    </xf>
    <xf numFmtId="0" fontId="65" fillId="0" borderId="11" xfId="0" applyFont="1" applyFill="1" applyBorder="1"/>
    <xf numFmtId="3" fontId="65" fillId="0" borderId="0" xfId="0" applyNumberFormat="1" applyFont="1" applyFill="1" applyBorder="1"/>
    <xf numFmtId="0" fontId="65" fillId="0" borderId="0" xfId="0" applyFont="1" applyFill="1" applyBorder="1"/>
    <xf numFmtId="3" fontId="71" fillId="0" borderId="58" xfId="0" applyNumberFormat="1" applyFont="1" applyFill="1" applyBorder="1"/>
    <xf numFmtId="3" fontId="71" fillId="27" borderId="58" xfId="0" applyNumberFormat="1" applyFont="1" applyFill="1" applyBorder="1"/>
    <xf numFmtId="3" fontId="65" fillId="28" borderId="58" xfId="0" applyNumberFormat="1" applyFont="1" applyFill="1" applyBorder="1"/>
    <xf numFmtId="3" fontId="65" fillId="0" borderId="58" xfId="0" applyNumberFormat="1" applyFont="1" applyFill="1" applyBorder="1"/>
    <xf numFmtId="2" fontId="65" fillId="0" borderId="59" xfId="0" applyNumberFormat="1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60" xfId="0" applyFont="1" applyFill="1" applyBorder="1"/>
    <xf numFmtId="3" fontId="65" fillId="0" borderId="31" xfId="0" applyNumberFormat="1" applyFont="1" applyFill="1" applyBorder="1"/>
    <xf numFmtId="0" fontId="65" fillId="0" borderId="31" xfId="0" applyFont="1" applyFill="1" applyBorder="1"/>
    <xf numFmtId="3" fontId="71" fillId="0" borderId="61" xfId="0" applyNumberFormat="1" applyFont="1" applyFill="1" applyBorder="1"/>
    <xf numFmtId="3" fontId="71" fillId="27" borderId="61" xfId="0" applyNumberFormat="1" applyFont="1" applyFill="1" applyBorder="1"/>
    <xf numFmtId="3" fontId="65" fillId="28" borderId="61" xfId="0" applyNumberFormat="1" applyFont="1" applyFill="1" applyBorder="1"/>
    <xf numFmtId="3" fontId="65" fillId="0" borderId="61" xfId="0" applyNumberFormat="1" applyFont="1" applyFill="1" applyBorder="1"/>
    <xf numFmtId="2" fontId="65" fillId="0" borderId="62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0" fontId="77" fillId="0" borderId="0" xfId="0" applyFont="1" applyFill="1"/>
    <xf numFmtId="0" fontId="65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29" borderId="50" xfId="0" applyFont="1" applyFill="1" applyBorder="1" applyAlignment="1">
      <alignment horizontal="center"/>
    </xf>
    <xf numFmtId="3" fontId="67" fillId="29" borderId="63" xfId="0" applyNumberFormat="1" applyFont="1" applyFill="1" applyBorder="1"/>
    <xf numFmtId="0" fontId="66" fillId="0" borderId="64" xfId="0" applyFont="1" applyFill="1" applyBorder="1" applyAlignment="1">
      <alignment horizontal="center"/>
    </xf>
    <xf numFmtId="3" fontId="66" fillId="0" borderId="15" xfId="0" applyNumberFormat="1" applyFont="1" applyFill="1" applyBorder="1"/>
    <xf numFmtId="3" fontId="66" fillId="0" borderId="10" xfId="0" applyNumberFormat="1" applyFont="1" applyFill="1" applyBorder="1"/>
    <xf numFmtId="3" fontId="66" fillId="0" borderId="22" xfId="0" applyNumberFormat="1" applyFont="1" applyFill="1" applyBorder="1"/>
    <xf numFmtId="3" fontId="67" fillId="29" borderId="65" xfId="0" applyNumberFormat="1" applyFont="1" applyFill="1" applyBorder="1"/>
    <xf numFmtId="0" fontId="66" fillId="0" borderId="57" xfId="0" applyFont="1" applyFill="1" applyBorder="1" applyAlignment="1">
      <alignment horizontal="center"/>
    </xf>
    <xf numFmtId="3" fontId="67" fillId="29" borderId="61" xfId="0" applyNumberFormat="1" applyFont="1" applyFill="1" applyBorder="1"/>
    <xf numFmtId="0" fontId="78" fillId="0" borderId="0" xfId="0" applyFont="1" applyFill="1" applyBorder="1"/>
    <xf numFmtId="4" fontId="67" fillId="0" borderId="0" xfId="0" applyNumberFormat="1" applyFont="1" applyFill="1" applyBorder="1"/>
    <xf numFmtId="3" fontId="67" fillId="0" borderId="0" xfId="0" applyNumberFormat="1" applyFont="1" applyFill="1" applyBorder="1"/>
    <xf numFmtId="0" fontId="79" fillId="0" borderId="0" xfId="0" applyFont="1"/>
    <xf numFmtId="0" fontId="73" fillId="0" borderId="0" xfId="0" applyFont="1" applyFill="1"/>
    <xf numFmtId="0" fontId="67" fillId="0" borderId="60" xfId="0" applyFont="1" applyFill="1" applyBorder="1"/>
    <xf numFmtId="0" fontId="65" fillId="0" borderId="66" xfId="0" applyFont="1" applyFill="1" applyBorder="1" applyAlignment="1">
      <alignment horizontal="center"/>
    </xf>
    <xf numFmtId="0" fontId="65" fillId="0" borderId="67" xfId="0" applyFont="1" applyFill="1" applyBorder="1"/>
    <xf numFmtId="3" fontId="65" fillId="0" borderId="27" xfId="0" applyNumberFormat="1" applyFont="1" applyFill="1" applyBorder="1"/>
    <xf numFmtId="3" fontId="65" fillId="0" borderId="35" xfId="0" applyNumberFormat="1" applyFont="1" applyFill="1" applyBorder="1"/>
    <xf numFmtId="0" fontId="65" fillId="0" borderId="64" xfId="0" applyFont="1" applyFill="1" applyBorder="1" applyAlignment="1">
      <alignment horizontal="center"/>
    </xf>
    <xf numFmtId="0" fontId="65" fillId="0" borderId="68" xfId="0" applyFont="1" applyFill="1" applyBorder="1"/>
    <xf numFmtId="3" fontId="65" fillId="0" borderId="15" xfId="0" applyNumberFormat="1" applyFont="1" applyFill="1" applyBorder="1"/>
    <xf numFmtId="3" fontId="65" fillId="0" borderId="10" xfId="0" applyNumberFormat="1" applyFont="1" applyFill="1" applyBorder="1"/>
    <xf numFmtId="3" fontId="65" fillId="0" borderId="22" xfId="0" applyNumberFormat="1" applyFont="1" applyFill="1" applyBorder="1"/>
    <xf numFmtId="0" fontId="65" fillId="25" borderId="68" xfId="0" applyFont="1" applyFill="1" applyBorder="1"/>
    <xf numFmtId="0" fontId="65" fillId="25" borderId="59" xfId="0" applyFont="1" applyFill="1" applyBorder="1"/>
    <xf numFmtId="3" fontId="65" fillId="0" borderId="25" xfId="0" applyNumberFormat="1" applyFont="1" applyFill="1" applyBorder="1"/>
    <xf numFmtId="3" fontId="65" fillId="0" borderId="26" xfId="0" applyNumberFormat="1" applyFont="1" applyFill="1" applyBorder="1"/>
    <xf numFmtId="0" fontId="65" fillId="0" borderId="17" xfId="0" applyFont="1" applyFill="1" applyBorder="1"/>
    <xf numFmtId="0" fontId="65" fillId="0" borderId="23" xfId="0" applyFont="1" applyFill="1" applyBorder="1"/>
    <xf numFmtId="3" fontId="65" fillId="0" borderId="17" xfId="0" applyNumberFormat="1" applyFont="1" applyFill="1" applyBorder="1"/>
    <xf numFmtId="10" fontId="65" fillId="0" borderId="18" xfId="0" applyNumberFormat="1" applyFont="1" applyFill="1" applyBorder="1"/>
    <xf numFmtId="3" fontId="65" fillId="0" borderId="23" xfId="0" applyNumberFormat="1" applyFont="1" applyFill="1" applyBorder="1"/>
    <xf numFmtId="0" fontId="66" fillId="0" borderId="13" xfId="0" applyFont="1" applyBorder="1" applyAlignment="1">
      <alignment horizontal="center" wrapText="1"/>
    </xf>
    <xf numFmtId="0" fontId="80" fillId="0" borderId="21" xfId="0" applyFont="1" applyFill="1" applyBorder="1" applyAlignment="1"/>
    <xf numFmtId="0" fontId="66" fillId="0" borderId="13" xfId="0" applyFont="1" applyBorder="1" applyAlignment="1">
      <alignment wrapText="1"/>
    </xf>
    <xf numFmtId="0" fontId="81" fillId="26" borderId="13" xfId="53" applyFont="1" applyFill="1" applyBorder="1" applyAlignment="1">
      <alignment horizontal="center" vertical="center"/>
    </xf>
    <xf numFmtId="0" fontId="81" fillId="26" borderId="14" xfId="53" applyFont="1" applyFill="1" applyBorder="1" applyAlignment="1">
      <alignment horizontal="center" vertical="center"/>
    </xf>
    <xf numFmtId="0" fontId="66" fillId="25" borderId="14" xfId="53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49" fontId="66" fillId="42" borderId="22" xfId="0" applyNumberFormat="1" applyFont="1" applyFill="1" applyBorder="1" applyAlignment="1">
      <alignment horizontal="center" vertical="top" wrapText="1"/>
    </xf>
    <xf numFmtId="0" fontId="82" fillId="0" borderId="0" xfId="0" applyFont="1"/>
    <xf numFmtId="0" fontId="66" fillId="0" borderId="69" xfId="0" applyFont="1" applyFill="1" applyBorder="1" applyAlignment="1">
      <alignment horizontal="center"/>
    </xf>
    <xf numFmtId="0" fontId="66" fillId="0" borderId="70" xfId="0" applyFont="1" applyFill="1" applyBorder="1"/>
    <xf numFmtId="4" fontId="66" fillId="0" borderId="15" xfId="0" applyNumberFormat="1" applyFont="1" applyFill="1" applyBorder="1"/>
    <xf numFmtId="3" fontId="66" fillId="42" borderId="22" xfId="0" applyNumberFormat="1" applyFont="1" applyFill="1" applyBorder="1"/>
    <xf numFmtId="4" fontId="66" fillId="0" borderId="10" xfId="0" applyNumberFormat="1" applyFont="1" applyFill="1" applyBorder="1"/>
    <xf numFmtId="0" fontId="66" fillId="0" borderId="71" xfId="0" applyFont="1" applyFill="1" applyBorder="1"/>
    <xf numFmtId="0" fontId="66" fillId="0" borderId="0" xfId="0" applyFont="1" applyFill="1" applyBorder="1"/>
    <xf numFmtId="4" fontId="66" fillId="0" borderId="25" xfId="0" applyNumberFormat="1" applyFont="1" applyFill="1" applyBorder="1"/>
    <xf numFmtId="4" fontId="66" fillId="0" borderId="26" xfId="0" applyNumberFormat="1" applyFont="1" applyFill="1" applyBorder="1"/>
    <xf numFmtId="0" fontId="66" fillId="0" borderId="39" xfId="0" applyFont="1" applyFill="1" applyBorder="1"/>
    <xf numFmtId="0" fontId="80" fillId="0" borderId="39" xfId="0" applyFont="1" applyFill="1" applyBorder="1" applyAlignment="1">
      <alignment horizontal="left"/>
    </xf>
    <xf numFmtId="4" fontId="80" fillId="0" borderId="17" xfId="0" applyNumberFormat="1" applyFont="1" applyFill="1" applyBorder="1"/>
    <xf numFmtId="3" fontId="80" fillId="42" borderId="23" xfId="0" applyNumberFormat="1" applyFont="1" applyFill="1" applyBorder="1"/>
    <xf numFmtId="3" fontId="80" fillId="0" borderId="17" xfId="0" applyNumberFormat="1" applyFont="1" applyFill="1" applyBorder="1"/>
    <xf numFmtId="4" fontId="80" fillId="0" borderId="18" xfId="0" applyNumberFormat="1" applyFont="1" applyFill="1" applyBorder="1"/>
    <xf numFmtId="3" fontId="80" fillId="0" borderId="18" xfId="0" applyNumberFormat="1" applyFont="1" applyFill="1" applyBorder="1"/>
    <xf numFmtId="0" fontId="66" fillId="25" borderId="72" xfId="79" applyFont="1" applyFill="1" applyBorder="1" applyAlignment="1">
      <alignment vertical="center" wrapText="1"/>
    </xf>
    <xf numFmtId="166" fontId="66" fillId="0" borderId="10" xfId="0" applyNumberFormat="1" applyFont="1" applyFill="1" applyBorder="1"/>
    <xf numFmtId="0" fontId="80" fillId="26" borderId="15" xfId="0" applyFont="1" applyFill="1" applyBorder="1"/>
    <xf numFmtId="0" fontId="80" fillId="26" borderId="10" xfId="0" applyFont="1" applyFill="1" applyBorder="1"/>
    <xf numFmtId="4" fontId="80" fillId="26" borderId="10" xfId="0" applyNumberFormat="1" applyFont="1" applyFill="1" applyBorder="1"/>
    <xf numFmtId="0" fontId="67" fillId="29" borderId="46" xfId="0" applyFont="1" applyFill="1" applyBorder="1" applyAlignment="1">
      <alignment horizontal="center"/>
    </xf>
    <xf numFmtId="0" fontId="67" fillId="29" borderId="42" xfId="0" applyFont="1" applyFill="1" applyBorder="1" applyAlignment="1">
      <alignment horizontal="center"/>
    </xf>
    <xf numFmtId="0" fontId="67" fillId="29" borderId="48" xfId="0" applyFont="1" applyFill="1" applyBorder="1" applyAlignment="1">
      <alignment horizontal="center"/>
    </xf>
    <xf numFmtId="0" fontId="67" fillId="0" borderId="66" xfId="0" applyFont="1" applyFill="1" applyBorder="1" applyAlignment="1">
      <alignment horizontal="center"/>
    </xf>
    <xf numFmtId="0" fontId="67" fillId="0" borderId="73" xfId="0" applyFont="1" applyFill="1" applyBorder="1"/>
    <xf numFmtId="4" fontId="67" fillId="29" borderId="63" xfId="0" applyNumberFormat="1" applyFont="1" applyFill="1" applyBorder="1"/>
    <xf numFmtId="0" fontId="67" fillId="0" borderId="64" xfId="0" applyFont="1" applyFill="1" applyBorder="1" applyAlignment="1">
      <alignment horizontal="center"/>
    </xf>
    <xf numFmtId="0" fontId="67" fillId="0" borderId="71" xfId="0" applyFont="1" applyFill="1" applyBorder="1"/>
    <xf numFmtId="4" fontId="67" fillId="29" borderId="65" xfId="0" applyNumberFormat="1" applyFont="1" applyFill="1" applyBorder="1"/>
    <xf numFmtId="4" fontId="67" fillId="29" borderId="74" xfId="0" applyNumberFormat="1" applyFont="1" applyFill="1" applyBorder="1"/>
    <xf numFmtId="0" fontId="67" fillId="0" borderId="75" xfId="0" applyFont="1" applyFill="1" applyBorder="1" applyAlignment="1">
      <alignment horizontal="center"/>
    </xf>
    <xf numFmtId="0" fontId="67" fillId="0" borderId="76" xfId="0" applyFont="1" applyFill="1" applyBorder="1"/>
    <xf numFmtId="3" fontId="67" fillId="29" borderId="16" xfId="0" applyNumberFormat="1" applyFont="1" applyFill="1" applyBorder="1"/>
    <xf numFmtId="4" fontId="67" fillId="29" borderId="16" xfId="0" applyNumberFormat="1" applyFont="1" applyFill="1" applyBorder="1"/>
    <xf numFmtId="0" fontId="67" fillId="0" borderId="17" xfId="0" applyFont="1" applyFill="1" applyBorder="1"/>
    <xf numFmtId="4" fontId="67" fillId="29" borderId="39" xfId="0" applyNumberFormat="1" applyFont="1" applyFill="1" applyBorder="1"/>
    <xf numFmtId="0" fontId="69" fillId="0" borderId="0" xfId="0" applyFont="1"/>
    <xf numFmtId="0" fontId="83" fillId="0" borderId="0" xfId="0" applyFont="1"/>
    <xf numFmtId="0" fontId="66" fillId="0" borderId="0" xfId="79" applyFont="1"/>
    <xf numFmtId="3" fontId="65" fillId="40" borderId="63" xfId="0" applyNumberFormat="1" applyFont="1" applyFill="1" applyBorder="1"/>
    <xf numFmtId="166" fontId="65" fillId="0" borderId="0" xfId="0" applyNumberFormat="1" applyFont="1"/>
    <xf numFmtId="4" fontId="65" fillId="0" borderId="0" xfId="0" applyNumberFormat="1" applyFont="1"/>
    <xf numFmtId="0" fontId="65" fillId="0" borderId="0" xfId="79" applyFont="1"/>
    <xf numFmtId="0" fontId="66" fillId="0" borderId="48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 wrapText="1"/>
    </xf>
    <xf numFmtId="0" fontId="66" fillId="0" borderId="51" xfId="0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3" fontId="68" fillId="0" borderId="33" xfId="0" applyNumberFormat="1" applyFont="1" applyFill="1" applyBorder="1"/>
    <xf numFmtId="3" fontId="67" fillId="0" borderId="77" xfId="0" applyNumberFormat="1" applyFont="1" applyFill="1" applyBorder="1"/>
    <xf numFmtId="3" fontId="67" fillId="0" borderId="14" xfId="0" applyNumberFormat="1" applyFont="1" applyFill="1" applyBorder="1"/>
    <xf numFmtId="3" fontId="65" fillId="0" borderId="0" xfId="0" applyNumberFormat="1" applyFont="1" applyFill="1"/>
    <xf numFmtId="3" fontId="68" fillId="0" borderId="22" xfId="0" applyNumberFormat="1" applyFont="1" applyFill="1" applyBorder="1"/>
    <xf numFmtId="3" fontId="67" fillId="0" borderId="72" xfId="0" applyNumberFormat="1" applyFont="1" applyFill="1" applyBorder="1"/>
    <xf numFmtId="3" fontId="67" fillId="0" borderId="10" xfId="0" applyNumberFormat="1" applyFont="1" applyFill="1" applyBorder="1"/>
    <xf numFmtId="3" fontId="65" fillId="25" borderId="37" xfId="0" applyNumberFormat="1" applyFont="1" applyFill="1" applyBorder="1"/>
    <xf numFmtId="3" fontId="65" fillId="25" borderId="78" xfId="0" applyNumberFormat="1" applyFont="1" applyFill="1" applyBorder="1"/>
    <xf numFmtId="3" fontId="84" fillId="0" borderId="0" xfId="0" applyNumberFormat="1" applyFont="1"/>
    <xf numFmtId="3" fontId="84" fillId="0" borderId="0" xfId="0" applyNumberFormat="1" applyFont="1" applyFill="1" applyBorder="1"/>
    <xf numFmtId="0" fontId="68" fillId="0" borderId="0" xfId="0" applyFont="1" applyBorder="1"/>
    <xf numFmtId="0" fontId="85" fillId="0" borderId="0" xfId="0" applyFont="1"/>
    <xf numFmtId="0" fontId="70" fillId="0" borderId="0" xfId="0" applyFont="1"/>
    <xf numFmtId="0" fontId="67" fillId="0" borderId="79" xfId="80" applyFont="1" applyBorder="1"/>
    <xf numFmtId="0" fontId="65" fillId="0" borderId="45" xfId="0" applyFont="1" applyBorder="1"/>
    <xf numFmtId="3" fontId="65" fillId="0" borderId="46" xfId="0" applyNumberFormat="1" applyFont="1" applyBorder="1"/>
    <xf numFmtId="0" fontId="65" fillId="0" borderId="80" xfId="0" applyFont="1" applyBorder="1" applyAlignment="1">
      <alignment horizontal="center"/>
    </xf>
    <xf numFmtId="3" fontId="65" fillId="0" borderId="81" xfId="0" applyNumberFormat="1" applyFont="1" applyFill="1" applyBorder="1"/>
    <xf numFmtId="3" fontId="65" fillId="0" borderId="58" xfId="0" applyNumberFormat="1" applyFont="1" applyBorder="1"/>
    <xf numFmtId="0" fontId="80" fillId="0" borderId="0" xfId="0" applyFont="1"/>
    <xf numFmtId="0" fontId="65" fillId="0" borderId="17" xfId="0" applyFont="1" applyBorder="1" applyAlignment="1">
      <alignment horizontal="center"/>
    </xf>
    <xf numFmtId="3" fontId="71" fillId="0" borderId="61" xfId="0" applyNumberFormat="1" applyFont="1" applyBorder="1"/>
    <xf numFmtId="3" fontId="86" fillId="0" borderId="0" xfId="0" applyNumberFormat="1" applyFont="1" applyBorder="1"/>
    <xf numFmtId="0" fontId="87" fillId="0" borderId="0" xfId="0" applyFont="1"/>
    <xf numFmtId="0" fontId="69" fillId="0" borderId="0" xfId="0" applyFont="1" applyFill="1" applyBorder="1"/>
    <xf numFmtId="0" fontId="86" fillId="0" borderId="0" xfId="0" applyFont="1"/>
    <xf numFmtId="0" fontId="65" fillId="0" borderId="52" xfId="0" applyFont="1" applyBorder="1" applyAlignment="1">
      <alignment horizontal="center"/>
    </xf>
    <xf numFmtId="0" fontId="65" fillId="0" borderId="54" xfId="0" applyFont="1" applyBorder="1"/>
    <xf numFmtId="3" fontId="65" fillId="0" borderId="55" xfId="0" applyNumberFormat="1" applyFont="1" applyBorder="1"/>
    <xf numFmtId="3" fontId="88" fillId="0" borderId="0" xfId="0" applyNumberFormat="1" applyFont="1"/>
    <xf numFmtId="0" fontId="89" fillId="0" borderId="0" xfId="0" applyFont="1"/>
    <xf numFmtId="0" fontId="90" fillId="0" borderId="0" xfId="0" applyFont="1"/>
    <xf numFmtId="0" fontId="90" fillId="0" borderId="24" xfId="0" applyFont="1" applyBorder="1" applyAlignment="1">
      <alignment horizontal="center"/>
    </xf>
    <xf numFmtId="3" fontId="90" fillId="0" borderId="46" xfId="0" applyNumberFormat="1" applyFont="1" applyBorder="1"/>
    <xf numFmtId="3" fontId="86" fillId="0" borderId="0" xfId="0" applyNumberFormat="1" applyFont="1"/>
    <xf numFmtId="0" fontId="65" fillId="0" borderId="36" xfId="0" applyFont="1" applyBorder="1" applyAlignment="1">
      <alignment horizontal="center"/>
    </xf>
    <xf numFmtId="0" fontId="65" fillId="0" borderId="82" xfId="0" applyFont="1" applyBorder="1"/>
    <xf numFmtId="3" fontId="65" fillId="0" borderId="74" xfId="0" applyNumberFormat="1" applyFont="1" applyBorder="1"/>
    <xf numFmtId="3" fontId="71" fillId="0" borderId="0" xfId="0" applyNumberFormat="1" applyFont="1"/>
    <xf numFmtId="0" fontId="65" fillId="0" borderId="0" xfId="0" applyFont="1" applyBorder="1" applyAlignment="1">
      <alignment horizontal="center"/>
    </xf>
    <xf numFmtId="0" fontId="86" fillId="0" borderId="0" xfId="0" applyFont="1" applyFill="1"/>
    <xf numFmtId="0" fontId="65" fillId="0" borderId="83" xfId="0" applyFont="1" applyFill="1" applyBorder="1" applyAlignment="1">
      <alignment horizontal="left"/>
    </xf>
    <xf numFmtId="0" fontId="65" fillId="0" borderId="84" xfId="0" applyFont="1" applyFill="1" applyBorder="1"/>
    <xf numFmtId="0" fontId="71" fillId="0" borderId="84" xfId="0" applyFont="1" applyFill="1" applyBorder="1"/>
    <xf numFmtId="0" fontId="71" fillId="0" borderId="85" xfId="0" applyFont="1" applyFill="1" applyBorder="1"/>
    <xf numFmtId="0" fontId="65" fillId="0" borderId="80" xfId="0" applyFont="1" applyFill="1" applyBorder="1" applyAlignment="1">
      <alignment horizontal="center"/>
    </xf>
    <xf numFmtId="0" fontId="65" fillId="0" borderId="86" xfId="0" applyFont="1" applyFill="1" applyBorder="1"/>
    <xf numFmtId="0" fontId="65" fillId="0" borderId="87" xfId="0" applyFont="1" applyFill="1" applyBorder="1"/>
    <xf numFmtId="0" fontId="71" fillId="0" borderId="87" xfId="0" applyFont="1" applyFill="1" applyBorder="1"/>
    <xf numFmtId="0" fontId="71" fillId="0" borderId="88" xfId="0" applyFont="1" applyFill="1" applyBorder="1"/>
    <xf numFmtId="3" fontId="71" fillId="0" borderId="81" xfId="0" applyNumberFormat="1" applyFont="1" applyFill="1" applyBorder="1"/>
    <xf numFmtId="0" fontId="65" fillId="0" borderId="89" xfId="0" applyFont="1" applyFill="1" applyBorder="1" applyAlignment="1">
      <alignment horizontal="center"/>
    </xf>
    <xf numFmtId="0" fontId="65" fillId="0" borderId="90" xfId="0" applyFont="1" applyFill="1" applyBorder="1"/>
    <xf numFmtId="0" fontId="65" fillId="0" borderId="91" xfId="0" applyFont="1" applyFill="1" applyBorder="1"/>
    <xf numFmtId="0" fontId="71" fillId="0" borderId="91" xfId="0" applyFont="1" applyFill="1" applyBorder="1"/>
    <xf numFmtId="0" fontId="71" fillId="0" borderId="92" xfId="0" applyFont="1" applyFill="1" applyBorder="1"/>
    <xf numFmtId="3" fontId="71" fillId="0" borderId="93" xfId="0" applyNumberFormat="1" applyFont="1" applyFill="1" applyBorder="1"/>
    <xf numFmtId="0" fontId="76" fillId="0" borderId="0" xfId="0" applyFont="1"/>
    <xf numFmtId="0" fontId="65" fillId="0" borderId="17" xfId="0" applyFont="1" applyFill="1" applyBorder="1" applyAlignment="1">
      <alignment horizontal="center"/>
    </xf>
    <xf numFmtId="0" fontId="71" fillId="0" borderId="94" xfId="0" applyFont="1" applyFill="1" applyBorder="1"/>
    <xf numFmtId="0" fontId="71" fillId="0" borderId="95" xfId="0" applyFont="1" applyFill="1" applyBorder="1"/>
    <xf numFmtId="0" fontId="71" fillId="0" borderId="96" xfId="0" applyFont="1" applyFill="1" applyBorder="1"/>
    <xf numFmtId="3" fontId="71" fillId="0" borderId="0" xfId="0" applyNumberFormat="1" applyFont="1" applyFill="1"/>
    <xf numFmtId="2" fontId="76" fillId="0" borderId="0" xfId="0" applyNumberFormat="1" applyFont="1"/>
    <xf numFmtId="0" fontId="91" fillId="0" borderId="0" xfId="0" applyFont="1" applyFill="1"/>
    <xf numFmtId="2" fontId="91" fillId="0" borderId="0" xfId="0" applyNumberFormat="1" applyFont="1" applyFill="1"/>
    <xf numFmtId="0" fontId="89" fillId="0" borderId="0" xfId="0" applyFont="1" applyFill="1" applyBorder="1"/>
    <xf numFmtId="0" fontId="89" fillId="0" borderId="0" xfId="0" applyFont="1" applyFill="1" applyBorder="1" applyAlignment="1"/>
    <xf numFmtId="0" fontId="89" fillId="0" borderId="0" xfId="0" applyFont="1" applyFill="1"/>
    <xf numFmtId="0" fontId="89" fillId="0" borderId="57" xfId="0" applyFont="1" applyFill="1" applyBorder="1"/>
    <xf numFmtId="164" fontId="92" fillId="0" borderId="0" xfId="0" applyNumberFormat="1" applyFont="1" applyFill="1" applyBorder="1"/>
    <xf numFmtId="164" fontId="92" fillId="0" borderId="42" xfId="0" applyNumberFormat="1" applyFont="1" applyFill="1" applyBorder="1"/>
    <xf numFmtId="0" fontId="89" fillId="0" borderId="59" xfId="0" applyFont="1" applyFill="1" applyBorder="1"/>
    <xf numFmtId="0" fontId="93" fillId="0" borderId="42" xfId="0" applyFont="1" applyFill="1" applyBorder="1" applyAlignment="1">
      <alignment horizontal="center"/>
    </xf>
    <xf numFmtId="0" fontId="90" fillId="0" borderId="42" xfId="0" applyFont="1" applyFill="1" applyBorder="1" applyAlignment="1">
      <alignment horizontal="center"/>
    </xf>
    <xf numFmtId="0" fontId="90" fillId="0" borderId="97" xfId="0" applyFont="1" applyFill="1" applyBorder="1" applyAlignment="1">
      <alignment horizontal="center" wrapText="1"/>
    </xf>
    <xf numFmtId="0" fontId="90" fillId="0" borderId="98" xfId="0" applyFont="1" applyFill="1" applyBorder="1" applyAlignment="1">
      <alignment horizontal="center"/>
    </xf>
    <xf numFmtId="0" fontId="90" fillId="0" borderId="45" xfId="0" applyFont="1" applyFill="1" applyBorder="1" applyAlignment="1">
      <alignment horizontal="center"/>
    </xf>
    <xf numFmtId="0" fontId="93" fillId="0" borderId="42" xfId="0" applyFont="1" applyFill="1" applyBorder="1" applyAlignment="1">
      <alignment horizontal="left"/>
    </xf>
    <xf numFmtId="0" fontId="93" fillId="0" borderId="33" xfId="0" applyFont="1" applyFill="1" applyBorder="1" applyAlignment="1">
      <alignment horizontal="center"/>
    </xf>
    <xf numFmtId="0" fontId="92" fillId="0" borderId="0" xfId="0" applyFont="1" applyFill="1"/>
    <xf numFmtId="0" fontId="90" fillId="0" borderId="57" xfId="0" applyFont="1" applyFill="1" applyBorder="1"/>
    <xf numFmtId="0" fontId="90" fillId="0" borderId="99" xfId="0" applyFont="1" applyFill="1" applyBorder="1" applyAlignment="1">
      <alignment horizontal="center" wrapText="1"/>
    </xf>
    <xf numFmtId="0" fontId="90" fillId="0" borderId="10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3" fillId="0" borderId="57" xfId="0" applyFont="1" applyFill="1" applyBorder="1" applyAlignment="1">
      <alignment horizontal="left"/>
    </xf>
    <xf numFmtId="0" fontId="93" fillId="0" borderId="34" xfId="0" applyFont="1" applyFill="1" applyBorder="1" applyAlignment="1">
      <alignment horizontal="center"/>
    </xf>
    <xf numFmtId="0" fontId="93" fillId="0" borderId="48" xfId="0" applyFont="1" applyFill="1" applyBorder="1"/>
    <xf numFmtId="0" fontId="90" fillId="0" borderId="101" xfId="0" applyFont="1" applyFill="1" applyBorder="1" applyAlignment="1">
      <alignment horizontal="center" wrapText="1"/>
    </xf>
    <xf numFmtId="0" fontId="90" fillId="0" borderId="102" xfId="0" applyFont="1" applyFill="1" applyBorder="1" applyAlignment="1">
      <alignment horizontal="center"/>
    </xf>
    <xf numFmtId="0" fontId="90" fillId="0" borderId="43" xfId="0" applyFont="1" applyFill="1" applyBorder="1" applyAlignment="1">
      <alignment horizontal="center"/>
    </xf>
    <xf numFmtId="0" fontId="90" fillId="0" borderId="103" xfId="0" applyFont="1" applyFill="1" applyBorder="1" applyAlignment="1">
      <alignment horizontal="center"/>
    </xf>
    <xf numFmtId="0" fontId="90" fillId="40" borderId="93" xfId="0" applyFont="1" applyFill="1" applyBorder="1" applyAlignment="1">
      <alignment horizontal="center"/>
    </xf>
    <xf numFmtId="0" fontId="93" fillId="0" borderId="48" xfId="0" applyFont="1" applyFill="1" applyBorder="1" applyAlignment="1">
      <alignment horizontal="left"/>
    </xf>
    <xf numFmtId="0" fontId="93" fillId="0" borderId="41" xfId="0" applyFont="1" applyFill="1" applyBorder="1"/>
    <xf numFmtId="0" fontId="90" fillId="0" borderId="104" xfId="0" applyFont="1" applyFill="1" applyBorder="1"/>
    <xf numFmtId="0" fontId="90" fillId="0" borderId="83" xfId="0" applyFont="1" applyFill="1" applyBorder="1" applyAlignment="1">
      <alignment horizontal="center"/>
    </xf>
    <xf numFmtId="0" fontId="90" fillId="0" borderId="84" xfId="0" applyFont="1" applyFill="1" applyBorder="1" applyAlignment="1">
      <alignment horizontal="center"/>
    </xf>
    <xf numFmtId="1" fontId="90" fillId="0" borderId="85" xfId="0" applyNumberFormat="1" applyFont="1" applyFill="1" applyBorder="1" applyAlignment="1">
      <alignment horizontal="center"/>
    </xf>
    <xf numFmtId="1" fontId="90" fillId="0" borderId="104" xfId="0" applyNumberFormat="1" applyFont="1" applyFill="1" applyBorder="1" applyAlignment="1">
      <alignment horizontal="center"/>
    </xf>
    <xf numFmtId="0" fontId="90" fillId="0" borderId="57" xfId="0" applyFont="1" applyFill="1" applyBorder="1" applyAlignment="1">
      <alignment horizontal="left"/>
    </xf>
    <xf numFmtId="0" fontId="90" fillId="0" borderId="34" xfId="0" applyFont="1" applyFill="1" applyBorder="1"/>
    <xf numFmtId="0" fontId="90" fillId="0" borderId="105" xfId="0" applyFont="1" applyFill="1" applyBorder="1"/>
    <xf numFmtId="0" fontId="90" fillId="0" borderId="106" xfId="0" applyFont="1" applyFill="1" applyBorder="1" applyAlignment="1">
      <alignment horizontal="center"/>
    </xf>
    <xf numFmtId="0" fontId="90" fillId="0" borderId="107" xfId="0" applyFont="1" applyFill="1" applyBorder="1" applyAlignment="1">
      <alignment horizontal="center"/>
    </xf>
    <xf numFmtId="0" fontId="90" fillId="0" borderId="108" xfId="0" applyFont="1" applyFill="1" applyBorder="1" applyAlignment="1">
      <alignment horizontal="center"/>
    </xf>
    <xf numFmtId="0" fontId="90" fillId="0" borderId="105" xfId="0" applyFont="1" applyFill="1" applyBorder="1" applyAlignment="1">
      <alignment horizontal="center"/>
    </xf>
    <xf numFmtId="0" fontId="90" fillId="40" borderId="109" xfId="0" applyFont="1" applyFill="1" applyBorder="1" applyAlignment="1">
      <alignment horizontal="center"/>
    </xf>
    <xf numFmtId="3" fontId="90" fillId="0" borderId="83" xfId="0" applyNumberFormat="1" applyFont="1" applyFill="1" applyBorder="1"/>
    <xf numFmtId="3" fontId="90" fillId="0" borderId="84" xfId="0" applyNumberFormat="1" applyFont="1" applyFill="1" applyBorder="1"/>
    <xf numFmtId="10" fontId="90" fillId="0" borderId="84" xfId="0" applyNumberFormat="1" applyFont="1" applyFill="1" applyBorder="1"/>
    <xf numFmtId="3" fontId="90" fillId="0" borderId="42" xfId="0" applyNumberFormat="1" applyFont="1" applyFill="1" applyBorder="1" applyAlignment="1">
      <alignment horizontal="left"/>
    </xf>
    <xf numFmtId="3" fontId="90" fillId="0" borderId="33" xfId="0" applyNumberFormat="1" applyFont="1" applyFill="1" applyBorder="1"/>
    <xf numFmtId="0" fontId="90" fillId="0" borderId="110" xfId="0" applyFont="1" applyFill="1" applyBorder="1"/>
    <xf numFmtId="3" fontId="90" fillId="0" borderId="86" xfId="0" applyNumberFormat="1" applyFont="1" applyFill="1" applyBorder="1"/>
    <xf numFmtId="3" fontId="90" fillId="0" borderId="87" xfId="0" applyNumberFormat="1" applyFont="1" applyFill="1" applyBorder="1"/>
    <xf numFmtId="10" fontId="90" fillId="0" borderId="87" xfId="0" applyNumberFormat="1" applyFont="1" applyFill="1" applyBorder="1"/>
    <xf numFmtId="3" fontId="90" fillId="0" borderId="110" xfId="0" applyNumberFormat="1" applyFont="1" applyFill="1" applyBorder="1"/>
    <xf numFmtId="3" fontId="90" fillId="0" borderId="110" xfId="0" applyNumberFormat="1" applyFont="1" applyFill="1" applyBorder="1" applyAlignment="1">
      <alignment horizontal="left"/>
    </xf>
    <xf numFmtId="3" fontId="90" fillId="0" borderId="111" xfId="0" applyNumberFormat="1" applyFont="1" applyFill="1" applyBorder="1"/>
    <xf numFmtId="3" fontId="90" fillId="0" borderId="112" xfId="0" applyNumberFormat="1" applyFont="1" applyFill="1" applyBorder="1" applyAlignment="1">
      <alignment horizontal="left"/>
    </xf>
    <xf numFmtId="3" fontId="90" fillId="0" borderId="113" xfId="0" applyNumberFormat="1" applyFont="1" applyFill="1" applyBorder="1"/>
    <xf numFmtId="3" fontId="93" fillId="40" borderId="57" xfId="0" applyNumberFormat="1" applyFont="1" applyFill="1" applyBorder="1" applyAlignment="1">
      <alignment horizontal="left"/>
    </xf>
    <xf numFmtId="3" fontId="90" fillId="40" borderId="34" xfId="0" applyNumberFormat="1" applyFont="1" applyFill="1" applyBorder="1"/>
    <xf numFmtId="3" fontId="93" fillId="40" borderId="48" xfId="0" applyNumberFormat="1" applyFont="1" applyFill="1" applyBorder="1" applyAlignment="1">
      <alignment horizontal="left"/>
    </xf>
    <xf numFmtId="3" fontId="90" fillId="40" borderId="41" xfId="0" applyNumberFormat="1" applyFont="1" applyFill="1" applyBorder="1"/>
    <xf numFmtId="0" fontId="65" fillId="0" borderId="110" xfId="49" applyFont="1" applyFill="1" applyBorder="1"/>
    <xf numFmtId="3" fontId="65" fillId="0" borderId="87" xfId="49" applyNumberFormat="1" applyFont="1" applyFill="1" applyBorder="1"/>
    <xf numFmtId="3" fontId="92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/>
    <xf numFmtId="0" fontId="65" fillId="0" borderId="110" xfId="0" applyFont="1" applyFill="1" applyBorder="1"/>
    <xf numFmtId="0" fontId="78" fillId="0" borderId="110" xfId="0" applyFont="1" applyFill="1" applyBorder="1" applyAlignment="1"/>
    <xf numFmtId="3" fontId="80" fillId="0" borderId="0" xfId="0" applyNumberFormat="1" applyFont="1" applyFill="1" applyBorder="1" applyAlignment="1">
      <alignment horizontal="right"/>
    </xf>
    <xf numFmtId="0" fontId="93" fillId="0" borderId="105" xfId="0" applyFont="1" applyFill="1" applyBorder="1"/>
    <xf numFmtId="3" fontId="93" fillId="0" borderId="106" xfId="0" applyNumberFormat="1" applyFont="1" applyFill="1" applyBorder="1"/>
    <xf numFmtId="3" fontId="93" fillId="0" borderId="107" xfId="0" applyNumberFormat="1" applyFont="1" applyFill="1" applyBorder="1"/>
    <xf numFmtId="10" fontId="93" fillId="0" borderId="107" xfId="0" applyNumberFormat="1" applyFont="1" applyFill="1" applyBorder="1"/>
    <xf numFmtId="3" fontId="93" fillId="0" borderId="105" xfId="0" applyNumberFormat="1" applyFont="1" applyFill="1" applyBorder="1"/>
    <xf numFmtId="3" fontId="66" fillId="0" borderId="0" xfId="0" applyNumberFormat="1" applyFont="1" applyFill="1" applyAlignment="1">
      <alignment horizontal="right"/>
    </xf>
    <xf numFmtId="0" fontId="76" fillId="0" borderId="0" xfId="0" applyFont="1" applyFill="1"/>
    <xf numFmtId="0" fontId="85" fillId="0" borderId="0" xfId="0" applyFont="1" applyFill="1" applyAlignment="1">
      <alignment horizontal="left"/>
    </xf>
    <xf numFmtId="3" fontId="66" fillId="0" borderId="0" xfId="0" applyNumberFormat="1" applyFont="1" applyFill="1"/>
    <xf numFmtId="0" fontId="89" fillId="0" borderId="13" xfId="0" applyFont="1" applyFill="1" applyBorder="1" applyAlignment="1">
      <alignment horizontal="center"/>
    </xf>
    <xf numFmtId="3" fontId="66" fillId="0" borderId="21" xfId="0" applyNumberFormat="1" applyFont="1" applyFill="1" applyBorder="1"/>
    <xf numFmtId="0" fontId="89" fillId="0" borderId="15" xfId="0" applyFont="1" applyFill="1" applyBorder="1" applyAlignment="1">
      <alignment horizontal="center"/>
    </xf>
    <xf numFmtId="3" fontId="89" fillId="0" borderId="22" xfId="0" applyNumberFormat="1" applyFont="1" applyFill="1" applyBorder="1"/>
    <xf numFmtId="0" fontId="89" fillId="0" borderId="19" xfId="0" applyFont="1" applyFill="1" applyBorder="1" applyAlignment="1">
      <alignment horizontal="center"/>
    </xf>
    <xf numFmtId="3" fontId="94" fillId="30" borderId="114" xfId="0" applyNumberFormat="1" applyFont="1" applyFill="1" applyBorder="1"/>
    <xf numFmtId="2" fontId="89" fillId="0" borderId="0" xfId="0" applyNumberFormat="1" applyFont="1" applyFill="1"/>
    <xf numFmtId="0" fontId="95" fillId="0" borderId="0" xfId="0" applyFont="1" applyFill="1"/>
    <xf numFmtId="0" fontId="89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1" fontId="89" fillId="0" borderId="0" xfId="0" applyNumberFormat="1" applyFont="1" applyFill="1" applyBorder="1"/>
    <xf numFmtId="1" fontId="89" fillId="0" borderId="0" xfId="0" applyNumberFormat="1" applyFont="1" applyFill="1"/>
    <xf numFmtId="3" fontId="89" fillId="0" borderId="0" xfId="0" applyNumberFormat="1" applyFont="1" applyFill="1"/>
    <xf numFmtId="0" fontId="96" fillId="0" borderId="0" xfId="0" applyFont="1"/>
    <xf numFmtId="0" fontId="77" fillId="0" borderId="0" xfId="0" applyFont="1"/>
    <xf numFmtId="0" fontId="65" fillId="0" borderId="44" xfId="0" applyFont="1" applyBorder="1"/>
    <xf numFmtId="0" fontId="65" fillId="0" borderId="57" xfId="0" applyFont="1" applyBorder="1"/>
    <xf numFmtId="0" fontId="65" fillId="0" borderId="115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65" fillId="0" borderId="49" xfId="0" applyFont="1" applyBorder="1"/>
    <xf numFmtId="0" fontId="65" fillId="0" borderId="43" xfId="0" applyFont="1" applyBorder="1"/>
    <xf numFmtId="0" fontId="65" fillId="0" borderId="43" xfId="0" applyFont="1" applyBorder="1" applyAlignment="1">
      <alignment horizontal="center"/>
    </xf>
    <xf numFmtId="0" fontId="65" fillId="0" borderId="116" xfId="0" applyFont="1" applyBorder="1" applyAlignment="1">
      <alignment horizontal="center"/>
    </xf>
    <xf numFmtId="0" fontId="97" fillId="0" borderId="117" xfId="0" applyFont="1" applyBorder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3" fontId="65" fillId="0" borderId="84" xfId="0" applyNumberFormat="1" applyFont="1" applyBorder="1"/>
    <xf numFmtId="3" fontId="97" fillId="0" borderId="118" xfId="0" applyNumberFormat="1" applyFont="1" applyBorder="1"/>
    <xf numFmtId="3" fontId="65" fillId="31" borderId="24" xfId="0" applyNumberFormat="1" applyFont="1" applyFill="1" applyBorder="1"/>
    <xf numFmtId="3" fontId="65" fillId="0" borderId="0" xfId="0" applyNumberFormat="1" applyFont="1" applyBorder="1"/>
    <xf numFmtId="3" fontId="77" fillId="0" borderId="0" xfId="0" applyNumberFormat="1" applyFont="1" applyFill="1" applyBorder="1"/>
    <xf numFmtId="3" fontId="98" fillId="0" borderId="0" xfId="0" applyNumberFormat="1" applyFont="1" applyFill="1" applyBorder="1"/>
    <xf numFmtId="0" fontId="65" fillId="0" borderId="110" xfId="0" applyFont="1" applyBorder="1" applyAlignment="1">
      <alignment horizontal="center"/>
    </xf>
    <xf numFmtId="0" fontId="65" fillId="0" borderId="119" xfId="0" applyFont="1" applyBorder="1" applyAlignment="1">
      <alignment horizontal="center"/>
    </xf>
    <xf numFmtId="3" fontId="65" fillId="0" borderId="120" xfId="0" applyNumberFormat="1" applyFont="1" applyBorder="1"/>
    <xf numFmtId="3" fontId="97" fillId="0" borderId="121" xfId="0" applyNumberFormat="1" applyFont="1" applyBorder="1"/>
    <xf numFmtId="3" fontId="65" fillId="31" borderId="80" xfId="0" applyNumberFormat="1" applyFont="1" applyFill="1" applyBorder="1"/>
    <xf numFmtId="3" fontId="65" fillId="0" borderId="86" xfId="0" applyNumberFormat="1" applyFont="1" applyBorder="1"/>
    <xf numFmtId="3" fontId="65" fillId="0" borderId="87" xfId="0" applyNumberFormat="1" applyFont="1" applyBorder="1"/>
    <xf numFmtId="0" fontId="65" fillId="0" borderId="122" xfId="0" applyFont="1" applyBorder="1" applyAlignment="1">
      <alignment horizontal="center"/>
    </xf>
    <xf numFmtId="3" fontId="97" fillId="0" borderId="123" xfId="0" applyNumberFormat="1" applyFont="1" applyBorder="1"/>
    <xf numFmtId="3" fontId="65" fillId="31" borderId="25" xfId="0" applyNumberFormat="1" applyFont="1" applyFill="1" applyBorder="1"/>
    <xf numFmtId="3" fontId="99" fillId="29" borderId="17" xfId="0" applyNumberFormat="1" applyFont="1" applyFill="1" applyBorder="1"/>
    <xf numFmtId="0" fontId="100" fillId="0" borderId="0" xfId="0" applyFont="1"/>
    <xf numFmtId="0" fontId="65" fillId="0" borderId="124" xfId="0" applyFont="1" applyBorder="1" applyAlignment="1">
      <alignment horizontal="center"/>
    </xf>
    <xf numFmtId="0" fontId="65" fillId="0" borderId="125" xfId="0" applyFont="1" applyBorder="1" applyAlignment="1">
      <alignment horizontal="center"/>
    </xf>
    <xf numFmtId="3" fontId="71" fillId="29" borderId="126" xfId="0" applyNumberFormat="1" applyFont="1" applyFill="1" applyBorder="1"/>
    <xf numFmtId="3" fontId="65" fillId="0" borderId="127" xfId="0" applyNumberFormat="1" applyFont="1" applyBorder="1"/>
    <xf numFmtId="3" fontId="65" fillId="0" borderId="128" xfId="0" applyNumberFormat="1" applyFont="1" applyBorder="1"/>
    <xf numFmtId="3" fontId="97" fillId="0" borderId="129" xfId="0" applyNumberFormat="1" applyFont="1" applyBorder="1"/>
    <xf numFmtId="3" fontId="97" fillId="0" borderId="88" xfId="0" applyNumberFormat="1" applyFont="1" applyBorder="1"/>
    <xf numFmtId="0" fontId="71" fillId="0" borderId="31" xfId="0" applyFont="1" applyBorder="1"/>
    <xf numFmtId="3" fontId="71" fillId="29" borderId="17" xfId="0" applyNumberFormat="1" applyFont="1" applyFill="1" applyBorder="1"/>
    <xf numFmtId="0" fontId="65" fillId="0" borderId="126" xfId="0" applyFont="1" applyBorder="1" applyAlignment="1">
      <alignment horizontal="center"/>
    </xf>
    <xf numFmtId="0" fontId="65" fillId="0" borderId="28" xfId="0" applyFont="1" applyFill="1" applyBorder="1"/>
    <xf numFmtId="0" fontId="65" fillId="0" borderId="29" xfId="0" applyFont="1" applyFill="1" applyBorder="1"/>
    <xf numFmtId="3" fontId="71" fillId="29" borderId="80" xfId="0" applyNumberFormat="1" applyFont="1" applyFill="1" applyBorder="1"/>
    <xf numFmtId="0" fontId="65" fillId="0" borderId="70" xfId="0" applyFont="1" applyFill="1" applyBorder="1"/>
    <xf numFmtId="3" fontId="65" fillId="0" borderId="130" xfId="0" applyNumberFormat="1" applyFont="1" applyBorder="1"/>
    <xf numFmtId="3" fontId="65" fillId="0" borderId="131" xfId="0" applyNumberFormat="1" applyFont="1" applyBorder="1"/>
    <xf numFmtId="3" fontId="97" fillId="0" borderId="132" xfId="0" applyNumberFormat="1" applyFont="1" applyBorder="1"/>
    <xf numFmtId="0" fontId="78" fillId="0" borderId="0" xfId="0" applyFont="1" applyBorder="1"/>
    <xf numFmtId="0" fontId="71" fillId="0" borderId="31" xfId="0" applyFont="1" applyFill="1" applyBorder="1"/>
    <xf numFmtId="0" fontId="101" fillId="0" borderId="0" xfId="0" applyFont="1"/>
    <xf numFmtId="0" fontId="102" fillId="0" borderId="0" xfId="0" applyFont="1"/>
    <xf numFmtId="3" fontId="103" fillId="0" borderId="0" xfId="0" applyNumberFormat="1" applyFont="1" applyFill="1"/>
    <xf numFmtId="0" fontId="65" fillId="0" borderId="40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133" xfId="0" applyFont="1" applyBorder="1" applyAlignment="1">
      <alignment horizontal="center"/>
    </xf>
    <xf numFmtId="0" fontId="78" fillId="0" borderId="43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31" xfId="0" applyFont="1" applyBorder="1" applyAlignment="1">
      <alignment horizontal="right"/>
    </xf>
    <xf numFmtId="0" fontId="65" fillId="0" borderId="31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78" fillId="0" borderId="60" xfId="0" applyFont="1" applyBorder="1" applyAlignment="1">
      <alignment horizontal="center"/>
    </xf>
    <xf numFmtId="0" fontId="78" fillId="0" borderId="95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65" fillId="24" borderId="17" xfId="0" applyFont="1" applyFill="1" applyBorder="1" applyAlignment="1">
      <alignment horizontal="center"/>
    </xf>
    <xf numFmtId="3" fontId="71" fillId="29" borderId="52" xfId="0" applyNumberFormat="1" applyFont="1" applyFill="1" applyBorder="1"/>
    <xf numFmtId="3" fontId="65" fillId="0" borderId="26" xfId="0" applyNumberFormat="1" applyFont="1" applyBorder="1"/>
    <xf numFmtId="3" fontId="78" fillId="0" borderId="11" xfId="0" applyNumberFormat="1" applyFont="1" applyBorder="1"/>
    <xf numFmtId="3" fontId="104" fillId="0" borderId="100" xfId="0" applyNumberFormat="1" applyFont="1" applyFill="1" applyBorder="1"/>
    <xf numFmtId="3" fontId="78" fillId="0" borderId="0" xfId="0" applyNumberFormat="1" applyFont="1" applyFill="1" applyBorder="1"/>
    <xf numFmtId="3" fontId="105" fillId="0" borderId="34" xfId="0" applyNumberFormat="1" applyFont="1" applyFill="1" applyBorder="1"/>
    <xf numFmtId="3" fontId="65" fillId="24" borderId="126" xfId="0" applyNumberFormat="1" applyFont="1" applyFill="1" applyBorder="1"/>
    <xf numFmtId="3" fontId="65" fillId="0" borderId="134" xfId="0" applyNumberFormat="1" applyFont="1" applyBorder="1"/>
    <xf numFmtId="0" fontId="65" fillId="0" borderId="29" xfId="0" applyFont="1" applyBorder="1" applyAlignment="1">
      <alignment horizontal="center"/>
    </xf>
    <xf numFmtId="3" fontId="65" fillId="0" borderId="135" xfId="0" applyNumberFormat="1" applyFont="1" applyBorder="1"/>
    <xf numFmtId="3" fontId="78" fillId="0" borderId="87" xfId="0" applyNumberFormat="1" applyFont="1" applyFill="1" applyBorder="1"/>
    <xf numFmtId="3" fontId="78" fillId="0" borderId="88" xfId="0" applyNumberFormat="1" applyFont="1" applyFill="1" applyBorder="1"/>
    <xf numFmtId="3" fontId="105" fillId="0" borderId="111" xfId="0" applyNumberFormat="1" applyFont="1" applyFill="1" applyBorder="1"/>
    <xf numFmtId="3" fontId="65" fillId="0" borderId="111" xfId="0" applyNumberFormat="1" applyFont="1" applyBorder="1"/>
    <xf numFmtId="3" fontId="106" fillId="0" borderId="87" xfId="0" applyNumberFormat="1" applyFont="1" applyFill="1" applyBorder="1"/>
    <xf numFmtId="0" fontId="65" fillId="0" borderId="136" xfId="0" applyFont="1" applyBorder="1" applyAlignment="1">
      <alignment horizontal="center"/>
    </xf>
    <xf numFmtId="0" fontId="65" fillId="0" borderId="136" xfId="0" applyFont="1" applyBorder="1"/>
    <xf numFmtId="3" fontId="78" fillId="0" borderId="137" xfId="0" applyNumberFormat="1" applyFont="1" applyFill="1" applyBorder="1"/>
    <xf numFmtId="3" fontId="105" fillId="0" borderId="113" xfId="0" applyNumberFormat="1" applyFont="1" applyFill="1" applyBorder="1"/>
    <xf numFmtId="3" fontId="65" fillId="0" borderId="138" xfId="0" applyNumberFormat="1" applyFont="1" applyBorder="1"/>
    <xf numFmtId="3" fontId="65" fillId="0" borderId="139" xfId="0" applyNumberFormat="1" applyFont="1" applyBorder="1"/>
    <xf numFmtId="0" fontId="78" fillId="0" borderId="70" xfId="0" applyFont="1" applyBorder="1" applyAlignment="1">
      <alignment horizontal="left"/>
    </xf>
    <xf numFmtId="0" fontId="78" fillId="0" borderId="70" xfId="0" applyFont="1" applyBorder="1"/>
    <xf numFmtId="3" fontId="78" fillId="0" borderId="71" xfId="0" applyNumberFormat="1" applyFont="1" applyBorder="1"/>
    <xf numFmtId="3" fontId="78" fillId="0" borderId="22" xfId="0" applyNumberFormat="1" applyFont="1" applyBorder="1"/>
    <xf numFmtId="3" fontId="78" fillId="0" borderId="135" xfId="0" applyNumberFormat="1" applyFont="1" applyBorder="1"/>
    <xf numFmtId="3" fontId="78" fillId="0" borderId="140" xfId="0" applyNumberFormat="1" applyFont="1" applyBorder="1"/>
    <xf numFmtId="3" fontId="78" fillId="0" borderId="34" xfId="0" applyNumberFormat="1" applyFont="1" applyBorder="1"/>
    <xf numFmtId="3" fontId="78" fillId="0" borderId="111" xfId="0" applyNumberFormat="1" applyFont="1" applyBorder="1"/>
    <xf numFmtId="0" fontId="65" fillId="0" borderId="141" xfId="0" applyFont="1" applyBorder="1" applyAlignment="1">
      <alignment horizontal="center"/>
    </xf>
    <xf numFmtId="3" fontId="78" fillId="0" borderId="92" xfId="0" applyNumberFormat="1" applyFont="1" applyFill="1" applyBorder="1"/>
    <xf numFmtId="3" fontId="105" fillId="0" borderId="139" xfId="0" applyNumberFormat="1" applyFont="1" applyFill="1" applyBorder="1"/>
    <xf numFmtId="3" fontId="78" fillId="0" borderId="139" xfId="0" applyNumberFormat="1" applyFont="1" applyBorder="1"/>
    <xf numFmtId="0" fontId="69" fillId="0" borderId="0" xfId="0" applyFont="1" applyBorder="1"/>
    <xf numFmtId="3" fontId="78" fillId="0" borderId="142" xfId="0" applyNumberFormat="1" applyFont="1" applyBorder="1"/>
    <xf numFmtId="0" fontId="78" fillId="0" borderId="0" xfId="0" applyFont="1"/>
    <xf numFmtId="3" fontId="78" fillId="0" borderId="72" xfId="0" applyNumberFormat="1" applyFont="1" applyBorder="1"/>
    <xf numFmtId="0" fontId="90" fillId="0" borderId="0" xfId="0" applyFont="1" applyFill="1"/>
    <xf numFmtId="0" fontId="65" fillId="0" borderId="98" xfId="0" applyFont="1" applyBorder="1" applyAlignment="1">
      <alignment horizontal="center"/>
    </xf>
    <xf numFmtId="0" fontId="66" fillId="0" borderId="47" xfId="0" applyFont="1" applyBorder="1" applyAlignment="1">
      <alignment horizontal="left"/>
    </xf>
    <xf numFmtId="0" fontId="71" fillId="0" borderId="24" xfId="0" applyFont="1" applyBorder="1" applyAlignment="1">
      <alignment horizontal="center"/>
    </xf>
    <xf numFmtId="0" fontId="67" fillId="0" borderId="97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5" fillId="0" borderId="48" xfId="0" applyFont="1" applyBorder="1"/>
    <xf numFmtId="0" fontId="71" fillId="0" borderId="43" xfId="0" applyFont="1" applyBorder="1"/>
    <xf numFmtId="0" fontId="65" fillId="0" borderId="102" xfId="0" applyFont="1" applyBorder="1" applyAlignment="1">
      <alignment horizontal="center"/>
    </xf>
    <xf numFmtId="0" fontId="71" fillId="0" borderId="51" xfId="0" applyFont="1" applyBorder="1" applyAlignment="1">
      <alignment horizontal="left"/>
    </xf>
    <xf numFmtId="0" fontId="71" fillId="0" borderId="143" xfId="0" applyFont="1" applyBorder="1" applyAlignment="1">
      <alignment horizontal="center"/>
    </xf>
    <xf numFmtId="0" fontId="67" fillId="0" borderId="101" xfId="0" applyFont="1" applyBorder="1" applyAlignment="1">
      <alignment horizontal="center"/>
    </xf>
    <xf numFmtId="0" fontId="67" fillId="0" borderId="102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71" fillId="29" borderId="48" xfId="0" applyFont="1" applyFill="1" applyBorder="1"/>
    <xf numFmtId="0" fontId="71" fillId="29" borderId="43" xfId="0" applyFont="1" applyFill="1" applyBorder="1"/>
    <xf numFmtId="0" fontId="67" fillId="29" borderId="95" xfId="0" applyFont="1" applyFill="1" applyBorder="1" applyAlignment="1">
      <alignment horizontal="center"/>
    </xf>
    <xf numFmtId="0" fontId="80" fillId="29" borderId="51" xfId="0" applyFont="1" applyFill="1" applyBorder="1" applyAlignment="1">
      <alignment horizontal="left"/>
    </xf>
    <xf numFmtId="3" fontId="71" fillId="29" borderId="31" xfId="0" applyNumberFormat="1" applyFont="1" applyFill="1" applyBorder="1"/>
    <xf numFmtId="3" fontId="68" fillId="29" borderId="31" xfId="0" applyNumberFormat="1" applyFont="1" applyFill="1" applyBorder="1"/>
    <xf numFmtId="3" fontId="68" fillId="29" borderId="95" xfId="0" applyNumberFormat="1" applyFont="1" applyFill="1" applyBorder="1"/>
    <xf numFmtId="3" fontId="66" fillId="29" borderId="61" xfId="0" applyNumberFormat="1" applyFont="1" applyFill="1" applyBorder="1"/>
    <xf numFmtId="0" fontId="67" fillId="0" borderId="57" xfId="0" applyFont="1" applyBorder="1"/>
    <xf numFmtId="0" fontId="69" fillId="0" borderId="57" xfId="0" applyFont="1" applyBorder="1"/>
    <xf numFmtId="0" fontId="69" fillId="0" borderId="28" xfId="0" applyFont="1" applyBorder="1"/>
    <xf numFmtId="0" fontId="69" fillId="0" borderId="128" xfId="0" applyFont="1" applyBorder="1" applyAlignment="1">
      <alignment horizontal="center"/>
    </xf>
    <xf numFmtId="0" fontId="85" fillId="0" borderId="144" xfId="0" applyFont="1" applyBorder="1" applyAlignment="1">
      <alignment horizontal="left"/>
    </xf>
    <xf numFmtId="3" fontId="78" fillId="0" borderId="126" xfId="0" applyNumberFormat="1" applyFont="1" applyBorder="1"/>
    <xf numFmtId="3" fontId="69" fillId="0" borderId="28" xfId="0" applyNumberFormat="1" applyFont="1" applyBorder="1"/>
    <xf numFmtId="3" fontId="69" fillId="0" borderId="127" xfId="0" applyNumberFormat="1" applyFont="1" applyBorder="1"/>
    <xf numFmtId="3" fontId="69" fillId="0" borderId="128" xfId="0" applyNumberFormat="1" applyFont="1" applyBorder="1"/>
    <xf numFmtId="3" fontId="85" fillId="0" borderId="145" xfId="0" applyNumberFormat="1" applyFont="1" applyBorder="1"/>
    <xf numFmtId="0" fontId="69" fillId="0" borderId="0" xfId="0" applyFont="1" applyAlignment="1">
      <alignment horizontal="center" wrapText="1"/>
    </xf>
    <xf numFmtId="0" fontId="85" fillId="0" borderId="57" xfId="0" applyFont="1" applyBorder="1"/>
    <xf numFmtId="0" fontId="85" fillId="0" borderId="0" xfId="0" applyFont="1" applyBorder="1"/>
    <xf numFmtId="0" fontId="85" fillId="32" borderId="28" xfId="0" applyFont="1" applyFill="1" applyBorder="1"/>
    <xf numFmtId="0" fontId="85" fillId="32" borderId="144" xfId="0" applyFont="1" applyFill="1" applyBorder="1" applyAlignment="1">
      <alignment horizontal="left"/>
    </xf>
    <xf numFmtId="3" fontId="85" fillId="32" borderId="126" xfId="0" applyNumberFormat="1" applyFont="1" applyFill="1" applyBorder="1"/>
    <xf numFmtId="3" fontId="85" fillId="32" borderId="28" xfId="0" applyNumberFormat="1" applyFont="1" applyFill="1" applyBorder="1"/>
    <xf numFmtId="3" fontId="85" fillId="32" borderId="127" xfId="0" applyNumberFormat="1" applyFont="1" applyFill="1" applyBorder="1"/>
    <xf numFmtId="3" fontId="85" fillId="32" borderId="128" xfId="0" applyNumberFormat="1" applyFont="1" applyFill="1" applyBorder="1"/>
    <xf numFmtId="0" fontId="67" fillId="0" borderId="128" xfId="0" applyFont="1" applyBorder="1" applyAlignment="1">
      <alignment horizontal="center"/>
    </xf>
    <xf numFmtId="0" fontId="66" fillId="0" borderId="144" xfId="0" applyFont="1" applyBorder="1" applyAlignment="1">
      <alignment horizontal="left"/>
    </xf>
    <xf numFmtId="3" fontId="65" fillId="0" borderId="126" xfId="0" applyNumberFormat="1" applyFont="1" applyBorder="1"/>
    <xf numFmtId="3" fontId="67" fillId="0" borderId="28" xfId="0" applyNumberFormat="1" applyFont="1" applyBorder="1"/>
    <xf numFmtId="3" fontId="67" fillId="0" borderId="127" xfId="0" applyNumberFormat="1" applyFont="1" applyBorder="1"/>
    <xf numFmtId="3" fontId="67" fillId="0" borderId="128" xfId="0" applyNumberFormat="1" applyFont="1" applyBorder="1"/>
    <xf numFmtId="3" fontId="66" fillId="0" borderId="145" xfId="0" applyNumberFormat="1" applyFont="1" applyBorder="1"/>
    <xf numFmtId="0" fontId="67" fillId="0" borderId="29" xfId="0" applyFont="1" applyFill="1" applyBorder="1"/>
    <xf numFmtId="0" fontId="67" fillId="0" borderId="28" xfId="0" applyFont="1" applyFill="1" applyBorder="1"/>
    <xf numFmtId="0" fontId="66" fillId="0" borderId="144" xfId="0" applyFont="1" applyFill="1" applyBorder="1" applyAlignment="1">
      <alignment horizontal="left"/>
    </xf>
    <xf numFmtId="0" fontId="66" fillId="0" borderId="146" xfId="0" applyFont="1" applyFill="1" applyBorder="1" applyAlignment="1">
      <alignment horizontal="left"/>
    </xf>
    <xf numFmtId="0" fontId="66" fillId="0" borderId="146" xfId="0" applyFont="1" applyBorder="1" applyAlignment="1">
      <alignment horizontal="left"/>
    </xf>
    <xf numFmtId="0" fontId="71" fillId="29" borderId="39" xfId="0" applyFont="1" applyFill="1" applyBorder="1"/>
    <xf numFmtId="0" fontId="71" fillId="29" borderId="31" xfId="0" applyFont="1" applyFill="1" applyBorder="1"/>
    <xf numFmtId="0" fontId="80" fillId="29" borderId="62" xfId="0" applyFont="1" applyFill="1" applyBorder="1" applyAlignment="1">
      <alignment horizontal="left"/>
    </xf>
    <xf numFmtId="0" fontId="67" fillId="0" borderId="69" xfId="0" applyFont="1" applyBorder="1"/>
    <xf numFmtId="0" fontId="67" fillId="0" borderId="136" xfId="0" applyFont="1" applyBorder="1"/>
    <xf numFmtId="0" fontId="67" fillId="0" borderId="137" xfId="0" applyFont="1" applyBorder="1" applyAlignment="1">
      <alignment horizontal="center"/>
    </xf>
    <xf numFmtId="0" fontId="66" fillId="0" borderId="147" xfId="0" applyFont="1" applyBorder="1" applyAlignment="1">
      <alignment horizontal="left"/>
    </xf>
    <xf numFmtId="3" fontId="67" fillId="0" borderId="136" xfId="0" applyNumberFormat="1" applyFont="1" applyBorder="1"/>
    <xf numFmtId="3" fontId="67" fillId="0" borderId="137" xfId="0" applyNumberFormat="1" applyFont="1" applyBorder="1"/>
    <xf numFmtId="3" fontId="66" fillId="0" borderId="148" xfId="0" applyNumberFormat="1" applyFont="1" applyBorder="1"/>
    <xf numFmtId="0" fontId="67" fillId="0" borderId="48" xfId="0" applyFont="1" applyBorder="1"/>
    <xf numFmtId="0" fontId="67" fillId="0" borderId="43" xfId="0" applyFont="1" applyBorder="1"/>
    <xf numFmtId="0" fontId="67" fillId="0" borderId="51" xfId="0" applyFont="1" applyBorder="1" applyAlignment="1">
      <alignment horizontal="left"/>
    </xf>
    <xf numFmtId="3" fontId="65" fillId="0" borderId="143" xfId="0" applyNumberFormat="1" applyFont="1" applyBorder="1"/>
    <xf numFmtId="3" fontId="67" fillId="0" borderId="43" xfId="0" applyNumberFormat="1" applyFont="1" applyBorder="1"/>
    <xf numFmtId="3" fontId="67" fillId="0" borderId="102" xfId="0" applyNumberFormat="1" applyFont="1" applyBorder="1"/>
    <xf numFmtId="3" fontId="66" fillId="0" borderId="50" xfId="0" applyNumberFormat="1" applyFont="1" applyBorder="1"/>
    <xf numFmtId="0" fontId="66" fillId="0" borderId="0" xfId="0" applyFont="1" applyAlignment="1">
      <alignment horizontal="left"/>
    </xf>
    <xf numFmtId="0" fontId="101" fillId="0" borderId="0" xfId="0" applyFont="1" applyFill="1"/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0" fontId="97" fillId="0" borderId="0" xfId="0" applyFont="1"/>
    <xf numFmtId="0" fontId="107" fillId="0" borderId="0" xfId="0" applyFont="1"/>
    <xf numFmtId="0" fontId="65" fillId="0" borderId="0" xfId="0" applyFont="1" applyAlignment="1">
      <alignment horizontal="center"/>
    </xf>
    <xf numFmtId="3" fontId="65" fillId="0" borderId="11" xfId="0" applyNumberFormat="1" applyFont="1" applyBorder="1"/>
    <xf numFmtId="3" fontId="65" fillId="0" borderId="119" xfId="0" applyNumberFormat="1" applyFont="1" applyBorder="1"/>
    <xf numFmtId="3" fontId="78" fillId="0" borderId="119" xfId="0" applyNumberFormat="1" applyFont="1" applyBorder="1"/>
    <xf numFmtId="3" fontId="78" fillId="0" borderId="29" xfId="0" applyNumberFormat="1" applyFont="1" applyFill="1" applyBorder="1"/>
    <xf numFmtId="3" fontId="78" fillId="0" borderId="136" xfId="0" applyNumberFormat="1" applyFont="1" applyFill="1" applyBorder="1"/>
    <xf numFmtId="3" fontId="65" fillId="0" borderId="100" xfId="0" applyNumberFormat="1" applyFont="1" applyBorder="1"/>
    <xf numFmtId="3" fontId="78" fillId="0" borderId="87" xfId="0" applyNumberFormat="1" applyFont="1" applyBorder="1"/>
    <xf numFmtId="0" fontId="71" fillId="29" borderId="36" xfId="0" applyFont="1" applyFill="1" applyBorder="1" applyAlignment="1">
      <alignment horizontal="center"/>
    </xf>
    <xf numFmtId="0" fontId="97" fillId="0" borderId="149" xfId="0" applyFont="1" applyBorder="1" applyAlignment="1">
      <alignment horizontal="center"/>
    </xf>
    <xf numFmtId="0" fontId="65" fillId="31" borderId="25" xfId="0" applyFont="1" applyFill="1" applyBorder="1" applyAlignment="1">
      <alignment horizontal="center"/>
    </xf>
    <xf numFmtId="0" fontId="71" fillId="29" borderId="25" xfId="0" applyFont="1" applyFill="1" applyBorder="1" applyAlignment="1">
      <alignment horizontal="center"/>
    </xf>
    <xf numFmtId="0" fontId="97" fillId="0" borderId="150" xfId="0" applyFont="1" applyBorder="1" applyAlignment="1">
      <alignment horizontal="center"/>
    </xf>
    <xf numFmtId="0" fontId="71" fillId="29" borderId="143" xfId="0" applyFont="1" applyFill="1" applyBorder="1" applyAlignment="1">
      <alignment horizontal="center"/>
    </xf>
    <xf numFmtId="0" fontId="65" fillId="31" borderId="143" xfId="0" applyFont="1" applyFill="1" applyBorder="1" applyAlignment="1">
      <alignment horizontal="center"/>
    </xf>
    <xf numFmtId="0" fontId="65" fillId="0" borderId="119" xfId="80" applyFont="1" applyBorder="1" applyAlignment="1">
      <alignment horizontal="center"/>
    </xf>
    <xf numFmtId="3" fontId="90" fillId="0" borderId="146" xfId="80" applyNumberFormat="1" applyFont="1" applyFill="1" applyBorder="1"/>
    <xf numFmtId="3" fontId="97" fillId="0" borderId="0" xfId="0" applyNumberFormat="1" applyFont="1"/>
    <xf numFmtId="0" fontId="108" fillId="0" borderId="0" xfId="0" applyFont="1"/>
    <xf numFmtId="0" fontId="97" fillId="0" borderId="38" xfId="0" applyFont="1" applyFill="1" applyBorder="1" applyAlignment="1">
      <alignment horizontal="center"/>
    </xf>
    <xf numFmtId="0" fontId="65" fillId="24" borderId="25" xfId="0" applyFont="1" applyFill="1" applyBorder="1" applyAlignment="1">
      <alignment horizontal="center"/>
    </xf>
    <xf numFmtId="0" fontId="97" fillId="0" borderId="34" xfId="0" applyFont="1" applyFill="1" applyBorder="1" applyAlignment="1">
      <alignment horizontal="center"/>
    </xf>
    <xf numFmtId="0" fontId="97" fillId="0" borderId="41" xfId="0" applyFont="1" applyFill="1" applyBorder="1" applyAlignment="1">
      <alignment horizontal="center"/>
    </xf>
    <xf numFmtId="0" fontId="65" fillId="24" borderId="143" xfId="0" applyFont="1" applyFill="1" applyBorder="1" applyAlignment="1">
      <alignment horizontal="center"/>
    </xf>
    <xf numFmtId="0" fontId="71" fillId="29" borderId="17" xfId="0" applyFont="1" applyFill="1" applyBorder="1" applyAlignment="1">
      <alignment horizontal="center"/>
    </xf>
    <xf numFmtId="0" fontId="97" fillId="0" borderId="23" xfId="0" applyFont="1" applyFill="1" applyBorder="1" applyAlignment="1">
      <alignment horizontal="center"/>
    </xf>
    <xf numFmtId="3" fontId="78" fillId="0" borderId="0" xfId="0" applyNumberFormat="1" applyFont="1"/>
    <xf numFmtId="0" fontId="109" fillId="0" borderId="0" xfId="0" applyFont="1"/>
    <xf numFmtId="0" fontId="110" fillId="0" borderId="0" xfId="0" applyFont="1"/>
    <xf numFmtId="3" fontId="109" fillId="0" borderId="0" xfId="0" applyNumberFormat="1" applyFont="1"/>
    <xf numFmtId="4" fontId="111" fillId="0" borderId="0" xfId="0" applyNumberFormat="1" applyFont="1"/>
    <xf numFmtId="0" fontId="90" fillId="29" borderId="0" xfId="0" applyFont="1" applyFill="1"/>
    <xf numFmtId="0" fontId="65" fillId="29" borderId="0" xfId="0" applyFont="1" applyFill="1"/>
    <xf numFmtId="4" fontId="112" fillId="0" borderId="18" xfId="0" applyNumberFormat="1" applyFont="1" applyBorder="1"/>
    <xf numFmtId="0" fontId="63" fillId="36" borderId="21" xfId="0" applyFont="1" applyFill="1" applyBorder="1" applyAlignment="1">
      <alignment horizontal="center" wrapText="1"/>
    </xf>
    <xf numFmtId="0" fontId="63" fillId="36" borderId="14" xfId="0" applyFont="1" applyFill="1" applyBorder="1" applyAlignment="1">
      <alignment horizontal="center" wrapText="1"/>
    </xf>
    <xf numFmtId="4" fontId="59" fillId="36" borderId="10" xfId="0" applyNumberFormat="1" applyFont="1" applyFill="1" applyBorder="1"/>
    <xf numFmtId="4" fontId="63" fillId="36" borderId="18" xfId="0" applyNumberFormat="1" applyFont="1" applyFill="1" applyBorder="1"/>
    <xf numFmtId="4" fontId="59" fillId="36" borderId="22" xfId="0" applyNumberFormat="1" applyFont="1" applyFill="1" applyBorder="1"/>
    <xf numFmtId="4" fontId="63" fillId="36" borderId="23" xfId="0" applyNumberFormat="1" applyFont="1" applyFill="1" applyBorder="1"/>
    <xf numFmtId="3" fontId="67" fillId="0" borderId="15" xfId="0" applyNumberFormat="1" applyFont="1" applyFill="1" applyBorder="1"/>
    <xf numFmtId="0" fontId="67" fillId="36" borderId="32" xfId="0" applyFont="1" applyFill="1" applyBorder="1" applyAlignment="1">
      <alignment horizontal="center"/>
    </xf>
    <xf numFmtId="0" fontId="67" fillId="36" borderId="12" xfId="0" applyFont="1" applyFill="1" applyBorder="1" applyAlignment="1">
      <alignment horizontal="center"/>
    </xf>
    <xf numFmtId="3" fontId="67" fillId="36" borderId="10" xfId="0" applyNumberFormat="1" applyFont="1" applyFill="1" applyBorder="1"/>
    <xf numFmtId="3" fontId="67" fillId="36" borderId="37" xfId="0" applyNumberFormat="1" applyFont="1" applyFill="1" applyBorder="1"/>
    <xf numFmtId="3" fontId="69" fillId="36" borderId="18" xfId="0" applyNumberFormat="1" applyFont="1" applyFill="1" applyBorder="1"/>
    <xf numFmtId="3" fontId="67" fillId="36" borderId="12" xfId="0" applyNumberFormat="1" applyFont="1" applyFill="1" applyBorder="1"/>
    <xf numFmtId="3" fontId="67" fillId="36" borderId="18" xfId="0" applyNumberFormat="1" applyFont="1" applyFill="1" applyBorder="1"/>
    <xf numFmtId="1" fontId="90" fillId="40" borderId="55" xfId="0" applyNumberFormat="1" applyFont="1" applyFill="1" applyBorder="1" applyAlignment="1">
      <alignment horizontal="center"/>
    </xf>
    <xf numFmtId="0" fontId="90" fillId="36" borderId="107" xfId="0" applyFont="1" applyFill="1" applyBorder="1" applyAlignment="1">
      <alignment horizontal="center"/>
    </xf>
    <xf numFmtId="0" fontId="90" fillId="36" borderId="103" xfId="0" applyFont="1" applyFill="1" applyBorder="1" applyAlignment="1">
      <alignment horizontal="center"/>
    </xf>
    <xf numFmtId="16" fontId="90" fillId="36" borderId="55" xfId="0" applyNumberFormat="1" applyFont="1" applyFill="1" applyBorder="1" applyAlignment="1">
      <alignment horizontal="center"/>
    </xf>
    <xf numFmtId="0" fontId="90" fillId="36" borderId="105" xfId="0" applyFont="1" applyFill="1" applyBorder="1" applyAlignment="1">
      <alignment horizontal="center"/>
    </xf>
    <xf numFmtId="4" fontId="90" fillId="36" borderId="124" xfId="0" applyNumberFormat="1" applyFont="1" applyFill="1" applyBorder="1"/>
    <xf numFmtId="0" fontId="90" fillId="36" borderId="42" xfId="0" applyFont="1" applyFill="1" applyBorder="1" applyAlignment="1">
      <alignment horizontal="center"/>
    </xf>
    <xf numFmtId="0" fontId="90" fillId="36" borderId="57" xfId="0" applyFont="1" applyFill="1" applyBorder="1" applyAlignment="1">
      <alignment horizontal="center"/>
    </xf>
    <xf numFmtId="0" fontId="90" fillId="36" borderId="151" xfId="0" applyFont="1" applyFill="1" applyBorder="1" applyAlignment="1">
      <alignment horizontal="center"/>
    </xf>
    <xf numFmtId="0" fontId="90" fillId="36" borderId="152" xfId="0" applyFont="1" applyFill="1" applyBorder="1" applyAlignment="1">
      <alignment horizontal="center"/>
    </xf>
    <xf numFmtId="3" fontId="90" fillId="36" borderId="153" xfId="0" applyNumberFormat="1" applyFont="1" applyFill="1" applyBorder="1"/>
    <xf numFmtId="3" fontId="93" fillId="36" borderId="152" xfId="0" applyNumberFormat="1" applyFont="1" applyFill="1" applyBorder="1"/>
    <xf numFmtId="4" fontId="62" fillId="0" borderId="0" xfId="0" applyNumberFormat="1" applyFont="1" applyFill="1"/>
    <xf numFmtId="4" fontId="89" fillId="0" borderId="0" xfId="0" applyNumberFormat="1" applyFont="1" applyFill="1"/>
    <xf numFmtId="4" fontId="67" fillId="40" borderId="22" xfId="0" applyNumberFormat="1" applyFont="1" applyFill="1" applyBorder="1"/>
    <xf numFmtId="4" fontId="67" fillId="40" borderId="38" xfId="0" applyNumberFormat="1" applyFont="1" applyFill="1" applyBorder="1"/>
    <xf numFmtId="4" fontId="69" fillId="40" borderId="23" xfId="0" applyNumberFormat="1" applyFont="1" applyFill="1" applyBorder="1"/>
    <xf numFmtId="4" fontId="67" fillId="40" borderId="35" xfId="0" applyNumberFormat="1" applyFont="1" applyFill="1" applyBorder="1"/>
    <xf numFmtId="4" fontId="67" fillId="40" borderId="23" xfId="0" applyNumberFormat="1" applyFont="1" applyFill="1" applyBorder="1"/>
    <xf numFmtId="10" fontId="66" fillId="0" borderId="17" xfId="0" applyNumberFormat="1" applyFont="1" applyBorder="1" applyAlignment="1">
      <alignment horizontal="center"/>
    </xf>
    <xf numFmtId="10" fontId="66" fillId="0" borderId="23" xfId="0" applyNumberFormat="1" applyFont="1" applyBorder="1" applyAlignment="1">
      <alignment horizontal="center"/>
    </xf>
    <xf numFmtId="3" fontId="65" fillId="24" borderId="15" xfId="0" applyNumberFormat="1" applyFont="1" applyFill="1" applyBorder="1"/>
    <xf numFmtId="0" fontId="67" fillId="37" borderId="0" xfId="0" applyFont="1" applyFill="1"/>
    <xf numFmtId="0" fontId="90" fillId="36" borderId="46" xfId="0" applyFont="1" applyFill="1" applyBorder="1" applyAlignment="1">
      <alignment horizontal="center"/>
    </xf>
    <xf numFmtId="0" fontId="90" fillId="40" borderId="46" xfId="0" applyFont="1" applyFill="1" applyBorder="1" applyAlignment="1">
      <alignment horizontal="center"/>
    </xf>
    <xf numFmtId="0" fontId="90" fillId="0" borderId="124" xfId="0" applyFont="1" applyFill="1" applyBorder="1" applyAlignment="1">
      <alignment horizontal="center"/>
    </xf>
    <xf numFmtId="0" fontId="90" fillId="36" borderId="124" xfId="0" applyFont="1" applyFill="1" applyBorder="1" applyAlignment="1">
      <alignment horizontal="center"/>
    </xf>
    <xf numFmtId="0" fontId="90" fillId="40" borderId="145" xfId="0" applyFont="1" applyFill="1" applyBorder="1" applyAlignment="1">
      <alignment horizontal="center"/>
    </xf>
    <xf numFmtId="0" fontId="85" fillId="0" borderId="14" xfId="0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3" fontId="65" fillId="37" borderId="87" xfId="0" applyNumberFormat="1" applyFont="1" applyFill="1" applyBorder="1"/>
    <xf numFmtId="3" fontId="66" fillId="40" borderId="22" xfId="0" applyNumberFormat="1" applyFont="1" applyFill="1" applyBorder="1"/>
    <xf numFmtId="3" fontId="93" fillId="37" borderId="109" xfId="0" applyNumberFormat="1" applyFont="1" applyFill="1" applyBorder="1"/>
    <xf numFmtId="4" fontId="90" fillId="37" borderId="124" xfId="0" applyNumberFormat="1" applyFont="1" applyFill="1" applyBorder="1"/>
    <xf numFmtId="4" fontId="93" fillId="37" borderId="105" xfId="0" applyNumberFormat="1" applyFont="1" applyFill="1" applyBorder="1"/>
    <xf numFmtId="4" fontId="67" fillId="40" borderId="10" xfId="0" applyNumberFormat="1" applyFont="1" applyFill="1" applyBorder="1"/>
    <xf numFmtId="4" fontId="67" fillId="40" borderId="37" xfId="0" applyNumberFormat="1" applyFont="1" applyFill="1" applyBorder="1"/>
    <xf numFmtId="4" fontId="69" fillId="40" borderId="18" xfId="0" applyNumberFormat="1" applyFont="1" applyFill="1" applyBorder="1"/>
    <xf numFmtId="4" fontId="67" fillId="40" borderId="12" xfId="0" applyNumberFormat="1" applyFont="1" applyFill="1" applyBorder="1"/>
    <xf numFmtId="4" fontId="67" fillId="40" borderId="18" xfId="0" applyNumberFormat="1" applyFont="1" applyFill="1" applyBorder="1"/>
    <xf numFmtId="0" fontId="65" fillId="40" borderId="39" xfId="0" applyFont="1" applyFill="1" applyBorder="1"/>
    <xf numFmtId="0" fontId="67" fillId="0" borderId="68" xfId="0" applyFont="1" applyFill="1" applyBorder="1"/>
    <xf numFmtId="0" fontId="67" fillId="0" borderId="154" xfId="0" applyFont="1" applyFill="1" applyBorder="1"/>
    <xf numFmtId="0" fontId="65" fillId="0" borderId="66" xfId="0" applyFont="1" applyFill="1" applyBorder="1" applyAlignment="1">
      <alignment horizontal="right"/>
    </xf>
    <xf numFmtId="0" fontId="65" fillId="0" borderId="64" xfId="0" applyFont="1" applyFill="1" applyBorder="1" applyAlignment="1">
      <alignment horizontal="right"/>
    </xf>
    <xf numFmtId="0" fontId="65" fillId="0" borderId="155" xfId="0" applyFont="1" applyFill="1" applyBorder="1" applyAlignment="1">
      <alignment horizontal="center"/>
    </xf>
    <xf numFmtId="0" fontId="65" fillId="25" borderId="156" xfId="0" applyFont="1" applyFill="1" applyBorder="1"/>
    <xf numFmtId="0" fontId="65" fillId="0" borderId="15" xfId="0" applyFont="1" applyBorder="1" applyAlignment="1">
      <alignment horizontal="center"/>
    </xf>
    <xf numFmtId="0" fontId="65" fillId="0" borderId="157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0" fontId="99" fillId="0" borderId="31" xfId="0" applyFont="1" applyFill="1" applyBorder="1"/>
    <xf numFmtId="3" fontId="99" fillId="0" borderId="0" xfId="0" applyNumberFormat="1" applyFont="1"/>
    <xf numFmtId="0" fontId="113" fillId="0" borderId="0" xfId="0" applyFont="1"/>
    <xf numFmtId="0" fontId="99" fillId="0" borderId="0" xfId="0" applyFont="1"/>
    <xf numFmtId="3" fontId="71" fillId="29" borderId="25" xfId="0" applyNumberFormat="1" applyFont="1" applyFill="1" applyBorder="1"/>
    <xf numFmtId="3" fontId="65" fillId="0" borderId="99" xfId="0" applyNumberFormat="1" applyFont="1" applyBorder="1"/>
    <xf numFmtId="3" fontId="65" fillId="0" borderId="158" xfId="0" applyNumberFormat="1" applyFont="1" applyBorder="1"/>
    <xf numFmtId="3" fontId="99" fillId="29" borderId="15" xfId="0" applyNumberFormat="1" applyFont="1" applyFill="1" applyBorder="1"/>
    <xf numFmtId="3" fontId="78" fillId="24" borderId="15" xfId="0" applyNumberFormat="1" applyFont="1" applyFill="1" applyBorder="1"/>
    <xf numFmtId="4" fontId="78" fillId="0" borderId="0" xfId="0" applyNumberFormat="1" applyFont="1"/>
    <xf numFmtId="0" fontId="4" fillId="0" borderId="0" xfId="50" applyFont="1" applyBorder="1" applyAlignment="1">
      <alignment horizontal="center"/>
    </xf>
    <xf numFmtId="0" fontId="4" fillId="0" borderId="0" xfId="50" applyFont="1" applyFill="1" applyBorder="1"/>
    <xf numFmtId="0" fontId="4" fillId="0" borderId="0" xfId="50" applyBorder="1"/>
    <xf numFmtId="9" fontId="79" fillId="0" borderId="0" xfId="0" applyNumberFormat="1" applyFont="1"/>
    <xf numFmtId="0" fontId="103" fillId="0" borderId="15" xfId="0" applyFont="1" applyBorder="1"/>
    <xf numFmtId="3" fontId="67" fillId="0" borderId="21" xfId="0" applyNumberFormat="1" applyFont="1" applyFill="1" applyBorder="1"/>
    <xf numFmtId="3" fontId="67" fillId="0" borderId="22" xfId="0" applyNumberFormat="1" applyFont="1" applyFill="1" applyBorder="1"/>
    <xf numFmtId="3" fontId="67" fillId="0" borderId="36" xfId="0" applyNumberFormat="1" applyFont="1" applyFill="1" applyBorder="1"/>
    <xf numFmtId="3" fontId="67" fillId="0" borderId="27" xfId="0" applyNumberFormat="1" applyFont="1" applyFill="1" applyBorder="1"/>
    <xf numFmtId="3" fontId="67" fillId="0" borderId="24" xfId="0" applyNumberFormat="1" applyFont="1" applyFill="1" applyBorder="1"/>
    <xf numFmtId="0" fontId="35" fillId="0" borderId="0" xfId="0" applyFont="1"/>
    <xf numFmtId="3" fontId="79" fillId="0" borderId="0" xfId="0" applyNumberFormat="1" applyFont="1"/>
    <xf numFmtId="3" fontId="78" fillId="0" borderId="10" xfId="0" applyNumberFormat="1" applyFont="1" applyBorder="1"/>
    <xf numFmtId="3" fontId="78" fillId="0" borderId="30" xfId="0" applyNumberFormat="1" applyFont="1" applyFill="1" applyBorder="1"/>
    <xf numFmtId="3" fontId="78" fillId="0" borderId="159" xfId="0" applyNumberFormat="1" applyFont="1" applyFill="1" applyBorder="1"/>
    <xf numFmtId="3" fontId="78" fillId="0" borderId="160" xfId="0" applyNumberFormat="1" applyFont="1" applyFill="1" applyBorder="1"/>
    <xf numFmtId="3" fontId="71" fillId="29" borderId="95" xfId="0" applyNumberFormat="1" applyFont="1" applyFill="1" applyBorder="1"/>
    <xf numFmtId="3" fontId="71" fillId="29" borderId="161" xfId="0" applyNumberFormat="1" applyFont="1" applyFill="1" applyBorder="1"/>
    <xf numFmtId="0" fontId="78" fillId="0" borderId="43" xfId="0" applyFont="1" applyBorder="1"/>
    <xf numFmtId="3" fontId="78" fillId="0" borderId="43" xfId="0" applyNumberFormat="1" applyFont="1" applyBorder="1"/>
    <xf numFmtId="3" fontId="78" fillId="0" borderId="49" xfId="0" applyNumberFormat="1" applyFont="1" applyBorder="1"/>
    <xf numFmtId="3" fontId="78" fillId="0" borderId="102" xfId="0" applyNumberFormat="1" applyFont="1" applyBorder="1"/>
    <xf numFmtId="3" fontId="105" fillId="0" borderId="41" xfId="0" applyNumberFormat="1" applyFont="1" applyFill="1" applyBorder="1"/>
    <xf numFmtId="3" fontId="78" fillId="24" borderId="25" xfId="0" applyNumberFormat="1" applyFont="1" applyFill="1" applyBorder="1"/>
    <xf numFmtId="0" fontId="78" fillId="0" borderId="71" xfId="0" applyFont="1" applyBorder="1"/>
    <xf numFmtId="3" fontId="99" fillId="29" borderId="160" xfId="0" applyNumberFormat="1" applyFont="1" applyFill="1" applyBorder="1"/>
    <xf numFmtId="3" fontId="99" fillId="29" borderId="72" xfId="0" applyNumberFormat="1" applyFont="1" applyFill="1" applyBorder="1"/>
    <xf numFmtId="3" fontId="78" fillId="24" borderId="64" xfId="0" applyNumberFormat="1" applyFont="1" applyFill="1" applyBorder="1"/>
    <xf numFmtId="0" fontId="42" fillId="0" borderId="0" xfId="0" applyFont="1"/>
    <xf numFmtId="3" fontId="0" fillId="0" borderId="0" xfId="0" applyNumberFormat="1"/>
    <xf numFmtId="4" fontId="67" fillId="0" borderId="0" xfId="0" applyNumberFormat="1" applyFont="1"/>
    <xf numFmtId="3" fontId="65" fillId="0" borderId="162" xfId="0" applyNumberFormat="1" applyFont="1" applyBorder="1"/>
    <xf numFmtId="3" fontId="65" fillId="0" borderId="141" xfId="0" applyNumberFormat="1" applyFont="1" applyBorder="1"/>
    <xf numFmtId="3" fontId="78" fillId="0" borderId="137" xfId="0" applyNumberFormat="1" applyFont="1" applyBorder="1"/>
    <xf numFmtId="3" fontId="114" fillId="40" borderId="41" xfId="0" applyNumberFormat="1" applyFont="1" applyFill="1" applyBorder="1"/>
    <xf numFmtId="3" fontId="65" fillId="0" borderId="122" xfId="0" applyNumberFormat="1" applyFont="1" applyBorder="1"/>
    <xf numFmtId="3" fontId="65" fillId="0" borderId="91" xfId="0" applyNumberFormat="1" applyFont="1" applyBorder="1"/>
    <xf numFmtId="3" fontId="65" fillId="24" borderId="25" xfId="0" applyNumberFormat="1" applyFont="1" applyFill="1" applyBorder="1"/>
    <xf numFmtId="3" fontId="65" fillId="0" borderId="163" xfId="0" applyNumberFormat="1" applyFont="1" applyBorder="1"/>
    <xf numFmtId="0" fontId="65" fillId="31" borderId="36" xfId="0" applyFont="1" applyFill="1" applyBorder="1" applyAlignment="1">
      <alignment horizontal="center"/>
    </xf>
    <xf numFmtId="3" fontId="99" fillId="29" borderId="164" xfId="0" applyNumberFormat="1" applyFont="1" applyFill="1" applyBorder="1"/>
    <xf numFmtId="3" fontId="99" fillId="29" borderId="95" xfId="0" applyNumberFormat="1" applyFont="1" applyFill="1" applyBorder="1"/>
    <xf numFmtId="3" fontId="65" fillId="31" borderId="75" xfId="0" applyNumberFormat="1" applyFont="1" applyFill="1" applyBorder="1"/>
    <xf numFmtId="3" fontId="65" fillId="31" borderId="165" xfId="0" applyNumberFormat="1" applyFont="1" applyFill="1" applyBorder="1"/>
    <xf numFmtId="3" fontId="99" fillId="29" borderId="31" xfId="0" applyNumberFormat="1" applyFont="1" applyFill="1" applyBorder="1"/>
    <xf numFmtId="3" fontId="78" fillId="31" borderId="39" xfId="0" applyNumberFormat="1" applyFont="1" applyFill="1" applyBorder="1"/>
    <xf numFmtId="3" fontId="78" fillId="31" borderId="95" xfId="0" applyNumberFormat="1" applyFont="1" applyFill="1" applyBorder="1"/>
    <xf numFmtId="3" fontId="78" fillId="0" borderId="160" xfId="0" applyNumberFormat="1" applyFont="1" applyBorder="1"/>
    <xf numFmtId="3" fontId="99" fillId="29" borderId="159" xfId="0" applyNumberFormat="1" applyFont="1" applyFill="1" applyBorder="1"/>
    <xf numFmtId="3" fontId="99" fillId="29" borderId="163" xfId="0" applyNumberFormat="1" applyFont="1" applyFill="1" applyBorder="1"/>
    <xf numFmtId="3" fontId="65" fillId="0" borderId="88" xfId="0" applyNumberFormat="1" applyFont="1" applyBorder="1"/>
    <xf numFmtId="0" fontId="71" fillId="43" borderId="0" xfId="0" applyFont="1" applyFill="1"/>
    <xf numFmtId="0" fontId="65" fillId="43" borderId="0" xfId="0" applyFont="1" applyFill="1"/>
    <xf numFmtId="0" fontId="96" fillId="43" borderId="0" xfId="0" applyFont="1" applyFill="1"/>
    <xf numFmtId="0" fontId="115" fillId="0" borderId="0" xfId="0" applyFont="1"/>
    <xf numFmtId="3" fontId="0" fillId="0" borderId="10" xfId="0" applyNumberFormat="1" applyBorder="1"/>
    <xf numFmtId="4" fontId="90" fillId="0" borderId="110" xfId="0" applyNumberFormat="1" applyFont="1" applyFill="1" applyBorder="1"/>
    <xf numFmtId="3" fontId="42" fillId="0" borderId="10" xfId="0" applyNumberFormat="1" applyFont="1" applyBorder="1"/>
    <xf numFmtId="3" fontId="71" fillId="29" borderId="39" xfId="0" applyNumberFormat="1" applyFont="1" applyFill="1" applyBorder="1"/>
    <xf numFmtId="3" fontId="71" fillId="29" borderId="23" xfId="0" applyNumberFormat="1" applyFont="1" applyFill="1" applyBorder="1"/>
    <xf numFmtId="3" fontId="67" fillId="0" borderId="12" xfId="0" applyNumberFormat="1" applyFont="1" applyFill="1" applyBorder="1"/>
    <xf numFmtId="0" fontId="116" fillId="0" borderId="0" xfId="0" applyFont="1"/>
    <xf numFmtId="0" fontId="117" fillId="0" borderId="0" xfId="0" applyFont="1"/>
    <xf numFmtId="0" fontId="119" fillId="44" borderId="194" xfId="0" applyFont="1" applyFill="1" applyBorder="1" applyAlignment="1">
      <alignment horizontal="left" vertical="center"/>
    </xf>
    <xf numFmtId="0" fontId="119" fillId="44" borderId="194" xfId="0" applyFont="1" applyFill="1" applyBorder="1" applyAlignment="1">
      <alignment horizontal="center" vertical="center"/>
    </xf>
    <xf numFmtId="0" fontId="116" fillId="40" borderId="0" xfId="0" applyFont="1" applyFill="1" applyBorder="1" applyAlignment="1">
      <alignment vertical="center"/>
    </xf>
    <xf numFmtId="3" fontId="116" fillId="40" borderId="0" xfId="0" applyNumberFormat="1" applyFont="1" applyFill="1" applyBorder="1" applyAlignment="1">
      <alignment vertical="center"/>
    </xf>
    <xf numFmtId="3" fontId="116" fillId="39" borderId="194" xfId="0" applyNumberFormat="1" applyFont="1" applyFill="1" applyBorder="1" applyAlignment="1">
      <alignment horizontal="right" vertical="center"/>
    </xf>
    <xf numFmtId="0" fontId="120" fillId="0" borderId="195" xfId="0" applyFont="1" applyBorder="1" applyAlignment="1">
      <alignment horizontal="left" indent="2"/>
    </xf>
    <xf numFmtId="3" fontId="120" fillId="0" borderId="194" xfId="0" applyNumberFormat="1" applyFont="1" applyBorder="1" applyAlignment="1">
      <alignment horizontal="right" vertical="center"/>
    </xf>
    <xf numFmtId="0" fontId="116" fillId="39" borderId="195" xfId="0" applyFont="1" applyFill="1" applyBorder="1" applyAlignment="1">
      <alignment horizontal="left"/>
    </xf>
    <xf numFmtId="0" fontId="121" fillId="0" borderId="0" xfId="50" applyFont="1"/>
    <xf numFmtId="0" fontId="118" fillId="0" borderId="0" xfId="50" applyFont="1"/>
    <xf numFmtId="3" fontId="71" fillId="29" borderId="60" xfId="0" applyNumberFormat="1" applyFont="1" applyFill="1" applyBorder="1"/>
    <xf numFmtId="3" fontId="71" fillId="29" borderId="94" xfId="0" applyNumberFormat="1" applyFont="1" applyFill="1" applyBorder="1"/>
    <xf numFmtId="3" fontId="71" fillId="29" borderId="18" xfId="0" applyNumberFormat="1" applyFont="1" applyFill="1" applyBorder="1"/>
    <xf numFmtId="3" fontId="65" fillId="24" borderId="39" xfId="0" applyNumberFormat="1" applyFont="1" applyFill="1" applyBorder="1"/>
    <xf numFmtId="3" fontId="65" fillId="24" borderId="18" xfId="0" applyNumberFormat="1" applyFont="1" applyFill="1" applyBorder="1"/>
    <xf numFmtId="3" fontId="65" fillId="0" borderId="167" xfId="0" applyNumberFormat="1" applyFont="1" applyBorder="1"/>
    <xf numFmtId="3" fontId="65" fillId="0" borderId="168" xfId="0" applyNumberFormat="1" applyFont="1" applyBorder="1"/>
    <xf numFmtId="3" fontId="78" fillId="0" borderId="71" xfId="0" applyNumberFormat="1" applyFont="1" applyFill="1" applyBorder="1"/>
    <xf numFmtId="3" fontId="99" fillId="29" borderId="71" xfId="0" applyNumberFormat="1" applyFont="1" applyFill="1" applyBorder="1"/>
    <xf numFmtId="3" fontId="99" fillId="29" borderId="169" xfId="0" applyNumberFormat="1" applyFont="1" applyFill="1" applyBorder="1"/>
    <xf numFmtId="3" fontId="99" fillId="29" borderId="22" xfId="0" applyNumberFormat="1" applyFont="1" applyFill="1" applyBorder="1"/>
    <xf numFmtId="3" fontId="78" fillId="24" borderId="71" xfId="0" applyNumberFormat="1" applyFont="1" applyFill="1" applyBorder="1"/>
    <xf numFmtId="3" fontId="78" fillId="24" borderId="10" xfId="0" applyNumberFormat="1" applyFont="1" applyFill="1" applyBorder="1"/>
    <xf numFmtId="3" fontId="71" fillId="29" borderId="170" xfId="0" applyNumberFormat="1" applyFont="1" applyFill="1" applyBorder="1"/>
    <xf numFmtId="3" fontId="78" fillId="0" borderId="37" xfId="0" applyNumberFormat="1" applyFont="1" applyBorder="1"/>
    <xf numFmtId="3" fontId="65" fillId="0" borderId="171" xfId="0" applyNumberFormat="1" applyFont="1" applyBorder="1"/>
    <xf numFmtId="3" fontId="65" fillId="0" borderId="171" xfId="0" applyNumberFormat="1" applyFont="1" applyFill="1" applyBorder="1"/>
    <xf numFmtId="3" fontId="65" fillId="0" borderId="129" xfId="0" applyNumberFormat="1" applyFont="1" applyBorder="1"/>
    <xf numFmtId="3" fontId="90" fillId="0" borderId="88" xfId="0" applyNumberFormat="1" applyFont="1" applyBorder="1"/>
    <xf numFmtId="3" fontId="90" fillId="0" borderId="88" xfId="80" applyNumberFormat="1" applyFont="1" applyFill="1" applyBorder="1"/>
    <xf numFmtId="3" fontId="65" fillId="0" borderId="172" xfId="0" applyNumberFormat="1" applyFont="1" applyBorder="1"/>
    <xf numFmtId="3" fontId="65" fillId="31" borderId="0" xfId="0" applyNumberFormat="1" applyFont="1" applyFill="1" applyBorder="1"/>
    <xf numFmtId="3" fontId="78" fillId="31" borderId="31" xfId="0" applyNumberFormat="1" applyFont="1" applyFill="1" applyBorder="1"/>
    <xf numFmtId="3" fontId="97" fillId="0" borderId="34" xfId="0" applyNumberFormat="1" applyFont="1" applyBorder="1" applyAlignment="1">
      <alignment horizontal="center"/>
    </xf>
    <xf numFmtId="3" fontId="97" fillId="0" borderId="41" xfId="0" applyNumberFormat="1" applyFont="1" applyBorder="1"/>
    <xf numFmtId="3" fontId="97" fillId="0" borderId="34" xfId="0" applyNumberFormat="1" applyFont="1" applyBorder="1"/>
    <xf numFmtId="3" fontId="97" fillId="0" borderId="111" xfId="0" applyNumberFormat="1" applyFont="1" applyBorder="1"/>
    <xf numFmtId="3" fontId="97" fillId="0" borderId="139" xfId="0" applyNumberFormat="1" applyFont="1" applyBorder="1"/>
    <xf numFmtId="3" fontId="65" fillId="0" borderId="173" xfId="0" applyNumberFormat="1" applyFont="1" applyBorder="1"/>
    <xf numFmtId="3" fontId="90" fillId="0" borderId="111" xfId="0" applyNumberFormat="1" applyFont="1" applyBorder="1"/>
    <xf numFmtId="3" fontId="90" fillId="0" borderId="111" xfId="80" applyNumberFormat="1" applyFont="1" applyFill="1" applyBorder="1"/>
    <xf numFmtId="0" fontId="78" fillId="0" borderId="111" xfId="0" applyFont="1" applyBorder="1"/>
    <xf numFmtId="3" fontId="78" fillId="0" borderId="113" xfId="0" applyNumberFormat="1" applyFont="1" applyFill="1" applyBorder="1"/>
    <xf numFmtId="3" fontId="65" fillId="31" borderId="34" xfId="0" applyNumberFormat="1" applyFont="1" applyFill="1" applyBorder="1"/>
    <xf numFmtId="3" fontId="78" fillId="31" borderId="23" xfId="0" applyNumberFormat="1" applyFont="1" applyFill="1" applyBorder="1"/>
    <xf numFmtId="3" fontId="97" fillId="0" borderId="38" xfId="0" applyNumberFormat="1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60" xfId="0" applyFont="1" applyBorder="1" applyAlignment="1">
      <alignment horizontal="center"/>
    </xf>
    <xf numFmtId="3" fontId="78" fillId="0" borderId="163" xfId="0" applyNumberFormat="1" applyFont="1" applyBorder="1"/>
    <xf numFmtId="3" fontId="78" fillId="0" borderId="122" xfId="0" applyNumberFormat="1" applyFont="1" applyBorder="1"/>
    <xf numFmtId="3" fontId="65" fillId="24" borderId="31" xfId="0" applyNumberFormat="1" applyFont="1" applyFill="1" applyBorder="1"/>
    <xf numFmtId="3" fontId="97" fillId="0" borderId="41" xfId="0" applyNumberFormat="1" applyFont="1" applyBorder="1" applyAlignment="1">
      <alignment horizontal="center"/>
    </xf>
    <xf numFmtId="3" fontId="97" fillId="0" borderId="23" xfId="0" applyNumberFormat="1" applyFont="1" applyBorder="1"/>
    <xf numFmtId="3" fontId="78" fillId="0" borderId="174" xfId="0" applyNumberFormat="1" applyFont="1" applyBorder="1"/>
    <xf numFmtId="3" fontId="78" fillId="0" borderId="125" xfId="0" applyNumberFormat="1" applyFont="1" applyBorder="1"/>
    <xf numFmtId="3" fontId="105" fillId="0" borderId="22" xfId="0" applyNumberFormat="1" applyFont="1" applyBorder="1"/>
    <xf numFmtId="3" fontId="122" fillId="0" borderId="111" xfId="0" applyNumberFormat="1" applyFont="1" applyBorder="1"/>
    <xf numFmtId="3" fontId="78" fillId="24" borderId="22" xfId="0" applyNumberFormat="1" applyFont="1" applyFill="1" applyBorder="1"/>
    <xf numFmtId="3" fontId="122" fillId="0" borderId="41" xfId="0" applyNumberFormat="1" applyFont="1" applyBorder="1"/>
    <xf numFmtId="0" fontId="65" fillId="0" borderId="89" xfId="0" applyFont="1" applyBorder="1" applyAlignment="1">
      <alignment horizontal="center"/>
    </xf>
    <xf numFmtId="0" fontId="65" fillId="0" borderId="143" xfId="0" applyFont="1" applyBorder="1" applyAlignment="1">
      <alignment horizontal="center"/>
    </xf>
    <xf numFmtId="0" fontId="78" fillId="0" borderId="82" xfId="0" applyFont="1" applyBorder="1"/>
    <xf numFmtId="3" fontId="99" fillId="29" borderId="36" xfId="0" applyNumberFormat="1" applyFont="1" applyFill="1" applyBorder="1"/>
    <xf numFmtId="3" fontId="78" fillId="0" borderId="175" xfId="0" applyNumberFormat="1" applyFont="1" applyBorder="1"/>
    <xf numFmtId="3" fontId="78" fillId="0" borderId="82" xfId="0" applyNumberFormat="1" applyFont="1" applyBorder="1"/>
    <xf numFmtId="3" fontId="78" fillId="24" borderId="36" xfId="0" applyNumberFormat="1" applyFont="1" applyFill="1" applyBorder="1"/>
    <xf numFmtId="3" fontId="105" fillId="0" borderId="38" xfId="0" applyNumberFormat="1" applyFont="1" applyFill="1" applyBorder="1"/>
    <xf numFmtId="0" fontId="78" fillId="0" borderId="19" xfId="0" applyFont="1" applyBorder="1" applyAlignment="1">
      <alignment horizontal="center"/>
    </xf>
    <xf numFmtId="0" fontId="78" fillId="0" borderId="76" xfId="0" applyFont="1" applyBorder="1"/>
    <xf numFmtId="3" fontId="99" fillId="29" borderId="19" xfId="0" applyNumberFormat="1" applyFont="1" applyFill="1" applyBorder="1"/>
    <xf numFmtId="3" fontId="78" fillId="0" borderId="76" xfId="0" applyNumberFormat="1" applyFont="1" applyBorder="1"/>
    <xf numFmtId="3" fontId="78" fillId="0" borderId="20" xfId="0" applyNumberFormat="1" applyFont="1" applyBorder="1"/>
    <xf numFmtId="3" fontId="78" fillId="0" borderId="176" xfId="0" applyNumberFormat="1" applyFont="1" applyBorder="1"/>
    <xf numFmtId="3" fontId="78" fillId="0" borderId="133" xfId="0" applyNumberFormat="1" applyFont="1" applyBorder="1"/>
    <xf numFmtId="3" fontId="105" fillId="0" borderId="114" xfId="0" applyNumberFormat="1" applyFont="1" applyFill="1" applyBorder="1"/>
    <xf numFmtId="3" fontId="78" fillId="24" borderId="19" xfId="0" applyNumberFormat="1" applyFont="1" applyFill="1" applyBorder="1"/>
    <xf numFmtId="3" fontId="78" fillId="0" borderId="114" xfId="0" applyNumberFormat="1" applyFont="1" applyBorder="1"/>
    <xf numFmtId="0" fontId="65" fillId="0" borderId="103" xfId="0" applyFont="1" applyBorder="1" applyAlignment="1">
      <alignment horizontal="center"/>
    </xf>
    <xf numFmtId="3" fontId="65" fillId="0" borderId="177" xfId="0" applyNumberFormat="1" applyFont="1" applyBorder="1"/>
    <xf numFmtId="0" fontId="99" fillId="0" borderId="64" xfId="0" applyFont="1" applyBorder="1" applyAlignment="1">
      <alignment horizontal="center"/>
    </xf>
    <xf numFmtId="0" fontId="99" fillId="0" borderId="163" xfId="0" applyFont="1" applyBorder="1" applyAlignment="1">
      <alignment horizontal="left"/>
    </xf>
    <xf numFmtId="0" fontId="99" fillId="0" borderId="71" xfId="0" applyFont="1" applyBorder="1"/>
    <xf numFmtId="3" fontId="99" fillId="0" borderId="178" xfId="0" applyNumberFormat="1" applyFont="1" applyBorder="1"/>
    <xf numFmtId="3" fontId="99" fillId="0" borderId="160" xfId="0" applyNumberFormat="1" applyFont="1" applyBorder="1"/>
    <xf numFmtId="3" fontId="123" fillId="0" borderId="179" xfId="0" applyNumberFormat="1" applyFont="1" applyBorder="1"/>
    <xf numFmtId="3" fontId="78" fillId="31" borderId="15" xfId="0" applyNumberFormat="1" applyFont="1" applyFill="1" applyBorder="1"/>
    <xf numFmtId="3" fontId="78" fillId="0" borderId="178" xfId="0" applyNumberFormat="1" applyFont="1" applyBorder="1"/>
    <xf numFmtId="0" fontId="65" fillId="0" borderId="11" xfId="80" applyFont="1" applyBorder="1" applyAlignment="1">
      <alignment horizontal="center"/>
    </xf>
    <xf numFmtId="3" fontId="90" fillId="0" borderId="59" xfId="80" applyNumberFormat="1" applyFont="1" applyFill="1" applyBorder="1"/>
    <xf numFmtId="3" fontId="65" fillId="0" borderId="90" xfId="0" applyNumberFormat="1" applyFont="1" applyBorder="1"/>
    <xf numFmtId="3" fontId="65" fillId="0" borderId="92" xfId="0" applyNumberFormat="1" applyFont="1" applyBorder="1"/>
    <xf numFmtId="3" fontId="65" fillId="31" borderId="126" xfId="0" applyNumberFormat="1" applyFont="1" applyFill="1" applyBorder="1"/>
    <xf numFmtId="3" fontId="78" fillId="0" borderId="173" xfId="0" applyNumberFormat="1" applyFont="1" applyBorder="1"/>
    <xf numFmtId="0" fontId="99" fillId="0" borderId="15" xfId="0" applyFont="1" applyBorder="1" applyAlignment="1">
      <alignment horizontal="center"/>
    </xf>
    <xf numFmtId="3" fontId="65" fillId="31" borderId="15" xfId="0" applyNumberFormat="1" applyFont="1" applyFill="1" applyBorder="1"/>
    <xf numFmtId="3" fontId="78" fillId="0" borderId="159" xfId="0" applyNumberFormat="1" applyFont="1" applyBorder="1"/>
    <xf numFmtId="3" fontId="78" fillId="0" borderId="169" xfId="0" applyNumberFormat="1" applyFont="1" applyBorder="1"/>
    <xf numFmtId="0" fontId="65" fillId="0" borderId="30" xfId="0" applyFont="1" applyBorder="1" applyAlignment="1">
      <alignment horizontal="center"/>
    </xf>
    <xf numFmtId="3" fontId="71" fillId="29" borderId="89" xfId="0" applyNumberFormat="1" applyFont="1" applyFill="1" applyBorder="1"/>
    <xf numFmtId="3" fontId="78" fillId="0" borderId="91" xfId="0" applyNumberFormat="1" applyFont="1" applyFill="1" applyBorder="1"/>
    <xf numFmtId="3" fontId="78" fillId="0" borderId="100" xfId="0" applyNumberFormat="1" applyFont="1" applyFill="1" applyBorder="1"/>
    <xf numFmtId="0" fontId="78" fillId="0" borderId="71" xfId="0" applyFont="1" applyBorder="1" applyAlignment="1">
      <alignment horizontal="left"/>
    </xf>
    <xf numFmtId="0" fontId="67" fillId="0" borderId="66" xfId="0" applyFont="1" applyFill="1" applyBorder="1" applyAlignment="1">
      <alignment horizontal="right"/>
    </xf>
    <xf numFmtId="0" fontId="67" fillId="0" borderId="67" xfId="0" applyFont="1" applyFill="1" applyBorder="1"/>
    <xf numFmtId="0" fontId="67" fillId="0" borderId="64" xfId="0" applyFont="1" applyFill="1" applyBorder="1" applyAlignment="1">
      <alignment horizontal="right"/>
    </xf>
    <xf numFmtId="0" fontId="67" fillId="0" borderId="155" xfId="0" applyFont="1" applyFill="1" applyBorder="1" applyAlignment="1">
      <alignment horizontal="right"/>
    </xf>
    <xf numFmtId="0" fontId="67" fillId="0" borderId="124" xfId="0" applyFont="1" applyBorder="1" applyAlignment="1">
      <alignment horizontal="right"/>
    </xf>
    <xf numFmtId="0" fontId="67" fillId="0" borderId="144" xfId="0" applyFont="1" applyBorder="1"/>
    <xf numFmtId="0" fontId="67" fillId="0" borderId="110" xfId="0" applyFont="1" applyBorder="1" applyAlignment="1">
      <alignment horizontal="right"/>
    </xf>
    <xf numFmtId="0" fontId="67" fillId="0" borderId="146" xfId="0" applyFont="1" applyBorder="1"/>
    <xf numFmtId="0" fontId="67" fillId="0" borderId="103" xfId="0" applyFont="1" applyBorder="1" applyAlignment="1">
      <alignment horizontal="right"/>
    </xf>
    <xf numFmtId="0" fontId="67" fillId="0" borderId="180" xfId="0" applyFont="1" applyBorder="1"/>
    <xf numFmtId="0" fontId="66" fillId="0" borderId="57" xfId="0" applyFont="1" applyBorder="1"/>
    <xf numFmtId="0" fontId="66" fillId="0" borderId="59" xfId="0" applyFont="1" applyBorder="1"/>
    <xf numFmtId="0" fontId="67" fillId="0" borderId="62" xfId="0" applyFont="1" applyBorder="1"/>
    <xf numFmtId="0" fontId="0" fillId="0" borderId="0" xfId="0" applyFont="1"/>
    <xf numFmtId="3" fontId="0" fillId="0" borderId="71" xfId="0" applyNumberFormat="1" applyFont="1" applyBorder="1"/>
    <xf numFmtId="3" fontId="0" fillId="0" borderId="10" xfId="0" applyNumberFormat="1" applyFont="1" applyBorder="1"/>
    <xf numFmtId="3" fontId="115" fillId="0" borderId="10" xfId="0" applyNumberFormat="1" applyFont="1" applyBorder="1"/>
    <xf numFmtId="3" fontId="45" fillId="0" borderId="10" xfId="0" applyNumberFormat="1" applyFont="1" applyBorder="1"/>
    <xf numFmtId="0" fontId="124" fillId="36" borderId="36" xfId="0" applyFont="1" applyFill="1" applyBorder="1" applyAlignment="1">
      <alignment horizontal="center"/>
    </xf>
    <xf numFmtId="0" fontId="124" fillId="36" borderId="25" xfId="0" applyFont="1" applyFill="1" applyBorder="1" applyAlignment="1">
      <alignment horizontal="center"/>
    </xf>
    <xf numFmtId="0" fontId="124" fillId="36" borderId="143" xfId="0" applyFont="1" applyFill="1" applyBorder="1" applyAlignment="1">
      <alignment horizontal="center"/>
    </xf>
    <xf numFmtId="0" fontId="124" fillId="36" borderId="17" xfId="0" applyFont="1" applyFill="1" applyBorder="1" applyAlignment="1">
      <alignment horizontal="center"/>
    </xf>
    <xf numFmtId="3" fontId="124" fillId="36" borderId="126" xfId="0" applyNumberFormat="1" applyFont="1" applyFill="1" applyBorder="1"/>
    <xf numFmtId="3" fontId="124" fillId="36" borderId="80" xfId="0" applyNumberFormat="1" applyFont="1" applyFill="1" applyBorder="1"/>
    <xf numFmtId="3" fontId="125" fillId="36" borderId="15" xfId="0" applyNumberFormat="1" applyFont="1" applyFill="1" applyBorder="1"/>
    <xf numFmtId="3" fontId="124" fillId="36" borderId="36" xfId="0" applyNumberFormat="1" applyFont="1" applyFill="1" applyBorder="1"/>
    <xf numFmtId="3" fontId="124" fillId="36" borderId="89" xfId="0" applyNumberFormat="1" applyFont="1" applyFill="1" applyBorder="1"/>
    <xf numFmtId="3" fontId="124" fillId="36" borderId="157" xfId="0" applyNumberFormat="1" applyFont="1" applyFill="1" applyBorder="1"/>
    <xf numFmtId="3" fontId="125" fillId="36" borderId="143" xfId="0" applyNumberFormat="1" applyFont="1" applyFill="1" applyBorder="1"/>
    <xf numFmtId="3" fontId="124" fillId="36" borderId="17" xfId="0" applyNumberFormat="1" applyFont="1" applyFill="1" applyBorder="1"/>
    <xf numFmtId="3" fontId="78" fillId="0" borderId="68" xfId="0" applyNumberFormat="1" applyFont="1" applyFill="1" applyBorder="1"/>
    <xf numFmtId="3" fontId="78" fillId="0" borderId="181" xfId="0" applyNumberFormat="1" applyFont="1" applyFill="1" applyBorder="1"/>
    <xf numFmtId="0" fontId="45" fillId="0" borderId="10" xfId="0" applyFont="1" applyFill="1" applyBorder="1"/>
    <xf numFmtId="0" fontId="46" fillId="0" borderId="10" xfId="0" applyFont="1" applyFill="1" applyBorder="1" applyAlignment="1">
      <alignment horizontal="right"/>
    </xf>
    <xf numFmtId="3" fontId="46" fillId="0" borderId="10" xfId="0" applyNumberFormat="1" applyFont="1" applyBorder="1"/>
    <xf numFmtId="3" fontId="126" fillId="0" borderId="0" xfId="0" applyNumberFormat="1" applyFont="1"/>
    <xf numFmtId="10" fontId="65" fillId="0" borderId="10" xfId="0" applyNumberFormat="1" applyFont="1" applyBorder="1"/>
    <xf numFmtId="3" fontId="42" fillId="0" borderId="0" xfId="0" applyNumberFormat="1" applyFont="1" applyBorder="1"/>
    <xf numFmtId="0" fontId="46" fillId="0" borderId="0" xfId="0" applyFont="1" applyFill="1" applyBorder="1" applyAlignment="1">
      <alignment horizontal="left"/>
    </xf>
    <xf numFmtId="0" fontId="0" fillId="0" borderId="42" xfId="0" applyBorder="1"/>
    <xf numFmtId="0" fontId="42" fillId="0" borderId="1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5" fillId="0" borderId="15" xfId="0" applyFont="1" applyBorder="1"/>
    <xf numFmtId="3" fontId="45" fillId="0" borderId="22" xfId="0" applyNumberFormat="1" applyFont="1" applyBorder="1"/>
    <xf numFmtId="0" fontId="67" fillId="0" borderId="57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9" fillId="0" borderId="128" xfId="0" applyFont="1" applyBorder="1" applyAlignment="1">
      <alignment horizontal="center" vertical="center"/>
    </xf>
    <xf numFmtId="0" fontId="66" fillId="0" borderId="56" xfId="0" applyFont="1" applyBorder="1" applyAlignment="1">
      <alignment horizontal="left" vertical="center" wrapText="1"/>
    </xf>
    <xf numFmtId="3" fontId="65" fillId="0" borderId="52" xfId="0" applyNumberFormat="1" applyFont="1" applyBorder="1" applyAlignment="1">
      <alignment vertical="center"/>
    </xf>
    <xf numFmtId="3" fontId="67" fillId="0" borderId="54" xfId="0" applyNumberFormat="1" applyFont="1" applyBorder="1" applyAlignment="1">
      <alignment vertical="center"/>
    </xf>
    <xf numFmtId="3" fontId="67" fillId="0" borderId="84" xfId="0" applyNumberFormat="1" applyFont="1" applyBorder="1" applyAlignment="1">
      <alignment vertical="center"/>
    </xf>
    <xf numFmtId="3" fontId="66" fillId="0" borderId="55" xfId="0" applyNumberFormat="1" applyFont="1" applyBorder="1" applyAlignment="1">
      <alignment vertical="center"/>
    </xf>
    <xf numFmtId="0" fontId="127" fillId="0" borderId="146" xfId="0" applyFont="1" applyFill="1" applyBorder="1" applyAlignment="1">
      <alignment horizontal="left"/>
    </xf>
    <xf numFmtId="4" fontId="59" fillId="0" borderId="10" xfId="0" applyNumberFormat="1" applyFont="1" applyFill="1" applyBorder="1"/>
    <xf numFmtId="3" fontId="59" fillId="0" borderId="74" xfId="0" applyNumberFormat="1" applyFont="1" applyBorder="1"/>
    <xf numFmtId="3" fontId="103" fillId="0" borderId="0" xfId="0" applyNumberFormat="1" applyFont="1" applyFill="1" applyAlignment="1">
      <alignment horizontal="left"/>
    </xf>
    <xf numFmtId="0" fontId="24" fillId="0" borderId="0" xfId="50" applyFont="1" applyFill="1" applyAlignment="1">
      <alignment vertical="center"/>
    </xf>
    <xf numFmtId="0" fontId="24" fillId="0" borderId="0" xfId="50" applyFont="1" applyAlignment="1">
      <alignment vertical="center"/>
    </xf>
    <xf numFmtId="0" fontId="116" fillId="39" borderId="196" xfId="0" applyFont="1" applyFill="1" applyBorder="1" applyAlignment="1">
      <alignment horizontal="left"/>
    </xf>
    <xf numFmtId="0" fontId="120" fillId="0" borderId="196" xfId="0" applyFont="1" applyBorder="1" applyAlignment="1">
      <alignment horizontal="left" indent="2"/>
    </xf>
    <xf numFmtId="0" fontId="120" fillId="0" borderId="196" xfId="0" applyFont="1" applyBorder="1" applyAlignment="1">
      <alignment horizontal="left" wrapText="1" indent="2"/>
    </xf>
    <xf numFmtId="10" fontId="65" fillId="0" borderId="14" xfId="0" applyNumberFormat="1" applyFont="1" applyBorder="1"/>
    <xf numFmtId="167" fontId="66" fillId="26" borderId="21" xfId="0" applyNumberFormat="1" applyFont="1" applyFill="1" applyBorder="1" applyAlignment="1">
      <alignment horizontal="center" wrapText="1"/>
    </xf>
    <xf numFmtId="167" fontId="66" fillId="26" borderId="14" xfId="0" applyNumberFormat="1" applyFont="1" applyFill="1" applyBorder="1" applyAlignment="1">
      <alignment horizontal="center" wrapText="1"/>
    </xf>
    <xf numFmtId="0" fontId="79" fillId="0" borderId="0" xfId="0" applyFont="1" applyAlignment="1">
      <alignment horizontal="right"/>
    </xf>
    <xf numFmtId="4" fontId="51" fillId="0" borderId="10" xfId="53" applyNumberFormat="1" applyFont="1" applyFill="1" applyBorder="1"/>
    <xf numFmtId="0" fontId="85" fillId="32" borderId="0" xfId="0" applyFont="1" applyFill="1" applyBorder="1"/>
    <xf numFmtId="0" fontId="69" fillId="0" borderId="100" xfId="0" applyFont="1" applyBorder="1" applyAlignment="1">
      <alignment horizontal="center"/>
    </xf>
    <xf numFmtId="0" fontId="85" fillId="32" borderId="59" xfId="0" applyFont="1" applyFill="1" applyBorder="1" applyAlignment="1">
      <alignment horizontal="left"/>
    </xf>
    <xf numFmtId="3" fontId="85" fillId="32" borderId="25" xfId="0" applyNumberFormat="1" applyFont="1" applyFill="1" applyBorder="1"/>
    <xf numFmtId="3" fontId="85" fillId="32" borderId="0" xfId="0" applyNumberFormat="1" applyFont="1" applyFill="1" applyBorder="1"/>
    <xf numFmtId="3" fontId="85" fillId="32" borderId="99" xfId="0" applyNumberFormat="1" applyFont="1" applyFill="1" applyBorder="1"/>
    <xf numFmtId="3" fontId="85" fillId="32" borderId="100" xfId="0" applyNumberFormat="1" applyFont="1" applyFill="1" applyBorder="1"/>
    <xf numFmtId="3" fontId="85" fillId="0" borderId="58" xfId="0" applyNumberFormat="1" applyFont="1" applyBorder="1"/>
    <xf numFmtId="0" fontId="67" fillId="0" borderId="182" xfId="0" applyFont="1" applyBorder="1"/>
    <xf numFmtId="0" fontId="69" fillId="0" borderId="142" xfId="0" applyFont="1" applyBorder="1" applyAlignment="1">
      <alignment horizontal="center"/>
    </xf>
    <xf numFmtId="0" fontId="66" fillId="0" borderId="183" xfId="0" applyFont="1" applyBorder="1" applyAlignment="1">
      <alignment horizontal="left"/>
    </xf>
    <xf numFmtId="3" fontId="65" fillId="0" borderId="184" xfId="0" applyNumberFormat="1" applyFont="1" applyBorder="1"/>
    <xf numFmtId="3" fontId="67" fillId="0" borderId="182" xfId="0" applyNumberFormat="1" applyFont="1" applyBorder="1"/>
    <xf numFmtId="3" fontId="67" fillId="0" borderId="185" xfId="0" applyNumberFormat="1" applyFont="1" applyBorder="1"/>
    <xf numFmtId="3" fontId="66" fillId="0" borderId="166" xfId="0" applyNumberFormat="1" applyFont="1" applyBorder="1"/>
    <xf numFmtId="3" fontId="65" fillId="0" borderId="27" xfId="0" applyNumberFormat="1" applyFont="1" applyBorder="1"/>
    <xf numFmtId="3" fontId="65" fillId="0" borderId="140" xfId="0" applyNumberFormat="1" applyFont="1" applyBorder="1"/>
    <xf numFmtId="3" fontId="78" fillId="0" borderId="186" xfId="0" applyNumberFormat="1" applyFont="1" applyBorder="1"/>
    <xf numFmtId="0" fontId="78" fillId="0" borderId="170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111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3" fontId="109" fillId="0" borderId="0" xfId="0" applyNumberFormat="1" applyFont="1" applyAlignment="1">
      <alignment vertical="center"/>
    </xf>
    <xf numFmtId="4" fontId="111" fillId="0" borderId="0" xfId="0" applyNumberFormat="1" applyFont="1" applyAlignment="1">
      <alignment vertical="center"/>
    </xf>
    <xf numFmtId="3" fontId="65" fillId="0" borderId="72" xfId="0" applyNumberFormat="1" applyFont="1" applyBorder="1"/>
    <xf numFmtId="3" fontId="65" fillId="0" borderId="71" xfId="0" applyNumberFormat="1" applyFont="1" applyBorder="1"/>
    <xf numFmtId="0" fontId="67" fillId="36" borderId="26" xfId="0" applyFont="1" applyFill="1" applyBorder="1" applyAlignment="1">
      <alignment horizontal="center" wrapText="1"/>
    </xf>
    <xf numFmtId="0" fontId="67" fillId="40" borderId="32" xfId="0" applyFont="1" applyFill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97" fillId="45" borderId="25" xfId="0" applyFont="1" applyFill="1" applyBorder="1" applyAlignment="1">
      <alignment horizontal="center"/>
    </xf>
    <xf numFmtId="0" fontId="97" fillId="45" borderId="34" xfId="0" applyFont="1" applyFill="1" applyBorder="1" applyAlignment="1">
      <alignment horizontal="center"/>
    </xf>
    <xf numFmtId="0" fontId="65" fillId="45" borderId="25" xfId="0" applyFont="1" applyFill="1" applyBorder="1" applyAlignment="1">
      <alignment horizontal="center"/>
    </xf>
    <xf numFmtId="0" fontId="65" fillId="45" borderId="34" xfId="0" applyFont="1" applyFill="1" applyBorder="1" applyAlignment="1">
      <alignment horizontal="center"/>
    </xf>
    <xf numFmtId="3" fontId="78" fillId="45" borderId="188" xfId="0" applyNumberFormat="1" applyFont="1" applyFill="1" applyBorder="1"/>
    <xf numFmtId="3" fontId="78" fillId="45" borderId="126" xfId="0" applyNumberFormat="1" applyFont="1" applyFill="1" applyBorder="1"/>
    <xf numFmtId="3" fontId="78" fillId="45" borderId="173" xfId="0" applyNumberFormat="1" applyFont="1" applyFill="1" applyBorder="1"/>
    <xf numFmtId="3" fontId="78" fillId="45" borderId="22" xfId="0" applyNumberFormat="1" applyFont="1" applyFill="1" applyBorder="1"/>
    <xf numFmtId="3" fontId="78" fillId="45" borderId="25" xfId="0" applyNumberFormat="1" applyFont="1" applyFill="1" applyBorder="1"/>
    <xf numFmtId="3" fontId="78" fillId="45" borderId="34" xfId="0" applyNumberFormat="1" applyFont="1" applyFill="1" applyBorder="1"/>
    <xf numFmtId="3" fontId="78" fillId="45" borderId="80" xfId="0" applyNumberFormat="1" applyFont="1" applyFill="1" applyBorder="1"/>
    <xf numFmtId="3" fontId="78" fillId="45" borderId="111" xfId="0" applyNumberFormat="1" applyFont="1" applyFill="1" applyBorder="1"/>
    <xf numFmtId="3" fontId="99" fillId="45" borderId="15" xfId="0" applyNumberFormat="1" applyFont="1" applyFill="1" applyBorder="1"/>
    <xf numFmtId="3" fontId="99" fillId="45" borderId="22" xfId="0" applyNumberFormat="1" applyFont="1" applyFill="1" applyBorder="1"/>
    <xf numFmtId="3" fontId="71" fillId="45" borderId="17" xfId="0" applyNumberFormat="1" applyFont="1" applyFill="1" applyBorder="1"/>
    <xf numFmtId="3" fontId="71" fillId="45" borderId="23" xfId="0" applyNumberFormat="1" applyFont="1" applyFill="1" applyBorder="1"/>
    <xf numFmtId="0" fontId="78" fillId="0" borderId="72" xfId="0" applyFont="1" applyBorder="1"/>
    <xf numFmtId="4" fontId="65" fillId="0" borderId="11" xfId="0" applyNumberFormat="1" applyFont="1" applyBorder="1"/>
    <xf numFmtId="4" fontId="78" fillId="0" borderId="167" xfId="0" applyNumberFormat="1" applyFont="1" applyBorder="1"/>
    <xf numFmtId="4" fontId="103" fillId="0" borderId="11" xfId="0" applyNumberFormat="1" applyFont="1" applyBorder="1"/>
    <xf numFmtId="3" fontId="65" fillId="0" borderId="10" xfId="0" applyNumberFormat="1" applyFont="1" applyBorder="1"/>
    <xf numFmtId="4" fontId="65" fillId="0" borderId="26" xfId="0" applyNumberFormat="1" applyFont="1" applyBorder="1"/>
    <xf numFmtId="0" fontId="66" fillId="45" borderId="17" xfId="0" applyFont="1" applyFill="1" applyBorder="1" applyAlignment="1">
      <alignment horizontal="center"/>
    </xf>
    <xf numFmtId="0" fontId="66" fillId="45" borderId="23" xfId="0" applyFont="1" applyFill="1" applyBorder="1" applyAlignment="1">
      <alignment horizontal="center"/>
    </xf>
    <xf numFmtId="0" fontId="129" fillId="0" borderId="0" xfId="0" applyFont="1" applyAlignment="1">
      <alignment vertical="center"/>
    </xf>
    <xf numFmtId="4" fontId="65" fillId="0" borderId="0" xfId="0" applyNumberFormat="1" applyFont="1" applyAlignment="1">
      <alignment vertical="center"/>
    </xf>
    <xf numFmtId="3" fontId="93" fillId="29" borderId="80" xfId="0" applyNumberFormat="1" applyFont="1" applyFill="1" applyBorder="1"/>
    <xf numFmtId="3" fontId="93" fillId="29" borderId="126" xfId="0" applyNumberFormat="1" applyFont="1" applyFill="1" applyBorder="1"/>
    <xf numFmtId="3" fontId="93" fillId="29" borderId="89" xfId="0" applyNumberFormat="1" applyFont="1" applyFill="1" applyBorder="1"/>
    <xf numFmtId="3" fontId="130" fillId="0" borderId="0" xfId="0" applyNumberFormat="1" applyFont="1" applyAlignment="1">
      <alignment vertical="center"/>
    </xf>
    <xf numFmtId="3" fontId="131" fillId="0" borderId="0" xfId="0" applyNumberFormat="1" applyFont="1" applyAlignment="1">
      <alignment vertical="center"/>
    </xf>
    <xf numFmtId="3" fontId="103" fillId="0" borderId="0" xfId="0" applyNumberFormat="1" applyFont="1"/>
    <xf numFmtId="3" fontId="130" fillId="0" borderId="0" xfId="0" applyNumberFormat="1" applyFont="1"/>
    <xf numFmtId="4" fontId="103" fillId="0" borderId="0" xfId="0" applyNumberFormat="1" applyFont="1"/>
    <xf numFmtId="3" fontId="65" fillId="41" borderId="63" xfId="0" applyNumberFormat="1" applyFont="1" applyFill="1" applyBorder="1"/>
    <xf numFmtId="3" fontId="65" fillId="41" borderId="61" xfId="0" applyNumberFormat="1" applyFont="1" applyFill="1" applyBorder="1"/>
    <xf numFmtId="3" fontId="90" fillId="40" borderId="145" xfId="0" applyNumberFormat="1" applyFont="1" applyFill="1" applyBorder="1"/>
    <xf numFmtId="3" fontId="90" fillId="36" borderId="98" xfId="0" applyNumberFormat="1" applyFont="1" applyFill="1" applyBorder="1"/>
    <xf numFmtId="3" fontId="90" fillId="36" borderId="87" xfId="0" applyNumberFormat="1" applyFont="1" applyFill="1" applyBorder="1"/>
    <xf numFmtId="3" fontId="90" fillId="36" borderId="128" xfId="0" applyNumberFormat="1" applyFont="1" applyFill="1" applyBorder="1"/>
    <xf numFmtId="3" fontId="132" fillId="0" borderId="0" xfId="0" applyNumberFormat="1" applyFont="1"/>
    <xf numFmtId="3" fontId="132" fillId="0" borderId="143" xfId="0" applyNumberFormat="1" applyFont="1" applyFill="1" applyBorder="1"/>
    <xf numFmtId="3" fontId="132" fillId="0" borderId="40" xfId="0" applyNumberFormat="1" applyFont="1" applyFill="1" applyBorder="1"/>
    <xf numFmtId="0" fontId="70" fillId="0" borderId="0" xfId="80" applyFont="1" applyAlignment="1">
      <alignment horizontal="left"/>
    </xf>
    <xf numFmtId="0" fontId="70" fillId="0" borderId="0" xfId="80" applyFont="1" applyAlignment="1">
      <alignment horizontal="center"/>
    </xf>
    <xf numFmtId="0" fontId="70" fillId="0" borderId="0" xfId="80" applyFont="1" applyAlignment="1"/>
    <xf numFmtId="0" fontId="133" fillId="0" borderId="0" xfId="80" applyFont="1"/>
    <xf numFmtId="0" fontId="127" fillId="0" borderId="0" xfId="80" applyFont="1"/>
    <xf numFmtId="0" fontId="134" fillId="0" borderId="0" xfId="80" applyFont="1"/>
    <xf numFmtId="0" fontId="79" fillId="0" borderId="0" xfId="80" applyFont="1" applyAlignment="1">
      <alignment horizontal="left"/>
    </xf>
    <xf numFmtId="0" fontId="135" fillId="0" borderId="0" xfId="80" applyFont="1" applyAlignment="1">
      <alignment horizontal="left"/>
    </xf>
    <xf numFmtId="49" fontId="136" fillId="0" borderId="0" xfId="80" applyNumberFormat="1" applyFont="1" applyAlignment="1">
      <alignment horizontal="center" wrapText="1"/>
    </xf>
    <xf numFmtId="0" fontId="137" fillId="0" borderId="0" xfId="80" applyFont="1" applyAlignment="1">
      <alignment horizontal="left"/>
    </xf>
    <xf numFmtId="0" fontId="137" fillId="0" borderId="0" xfId="80" applyFont="1" applyAlignment="1">
      <alignment horizontal="center"/>
    </xf>
    <xf numFmtId="0" fontId="137" fillId="0" borderId="0" xfId="80" applyFont="1" applyAlignment="1"/>
    <xf numFmtId="0" fontId="137" fillId="0" borderId="0" xfId="80" applyFont="1"/>
    <xf numFmtId="0" fontId="138" fillId="0" borderId="0" xfId="80" applyFont="1"/>
    <xf numFmtId="0" fontId="133" fillId="0" borderId="0" xfId="80" applyFont="1" applyAlignment="1">
      <alignment horizontal="center"/>
    </xf>
    <xf numFmtId="0" fontId="133" fillId="0" borderId="0" xfId="80" applyFont="1" applyAlignment="1"/>
    <xf numFmtId="0" fontId="139" fillId="0" borderId="0" xfId="80" applyFont="1"/>
    <xf numFmtId="14" fontId="140" fillId="0" borderId="0" xfId="80" applyNumberFormat="1" applyFont="1"/>
    <xf numFmtId="49" fontId="136" fillId="0" borderId="0" xfId="80" applyNumberFormat="1" applyFont="1" applyAlignment="1">
      <alignment horizontal="center"/>
    </xf>
    <xf numFmtId="0" fontId="127" fillId="0" borderId="66" xfId="80" applyFont="1" applyBorder="1" applyAlignment="1">
      <alignment horizontal="center"/>
    </xf>
    <xf numFmtId="0" fontId="127" fillId="0" borderId="32" xfId="80" applyFont="1" applyBorder="1" applyAlignment="1">
      <alignment horizontal="center"/>
    </xf>
    <xf numFmtId="0" fontId="127" fillId="0" borderId="44" xfId="80" applyFont="1" applyBorder="1" applyAlignment="1"/>
    <xf numFmtId="0" fontId="127" fillId="0" borderId="189" xfId="80" applyFont="1" applyBorder="1"/>
    <xf numFmtId="0" fontId="141" fillId="0" borderId="63" xfId="80" applyFont="1" applyBorder="1" applyAlignment="1">
      <alignment horizontal="center"/>
    </xf>
    <xf numFmtId="0" fontId="141" fillId="0" borderId="21" xfId="80" applyFont="1" applyBorder="1" applyAlignment="1">
      <alignment horizontal="center"/>
    </xf>
    <xf numFmtId="0" fontId="141" fillId="0" borderId="24" xfId="80" applyFont="1" applyBorder="1" applyAlignment="1">
      <alignment horizontal="center"/>
    </xf>
    <xf numFmtId="0" fontId="141" fillId="0" borderId="33" xfId="80" applyFont="1" applyBorder="1" applyAlignment="1">
      <alignment horizontal="center"/>
    </xf>
    <xf numFmtId="0" fontId="127" fillId="0" borderId="197" xfId="80" applyFont="1" applyBorder="1" applyAlignment="1">
      <alignment horizontal="center"/>
    </xf>
    <xf numFmtId="0" fontId="127" fillId="0" borderId="198" xfId="80" applyFont="1" applyBorder="1" applyAlignment="1">
      <alignment horizontal="center"/>
    </xf>
    <xf numFmtId="0" fontId="127" fillId="0" borderId="199" xfId="80" applyFont="1" applyBorder="1" applyAlignment="1"/>
    <xf numFmtId="0" fontId="127" fillId="0" borderId="199" xfId="80" applyFont="1" applyBorder="1"/>
    <xf numFmtId="0" fontId="141" fillId="0" borderId="200" xfId="80" applyFont="1" applyBorder="1" applyAlignment="1">
      <alignment horizontal="center"/>
    </xf>
    <xf numFmtId="0" fontId="141" fillId="0" borderId="201" xfId="80" applyFont="1" applyBorder="1" applyAlignment="1">
      <alignment horizontal="center"/>
    </xf>
    <xf numFmtId="0" fontId="141" fillId="0" borderId="203" xfId="80" applyFont="1" applyBorder="1" applyAlignment="1">
      <alignment horizontal="center"/>
    </xf>
    <xf numFmtId="0" fontId="141" fillId="0" borderId="202" xfId="80" applyFont="1" applyBorder="1" applyAlignment="1">
      <alignment horizontal="center"/>
    </xf>
    <xf numFmtId="0" fontId="142" fillId="33" borderId="69" xfId="80" applyFont="1" applyFill="1" applyBorder="1" applyAlignment="1">
      <alignment horizontal="center"/>
    </xf>
    <xf numFmtId="0" fontId="142" fillId="33" borderId="12" xfId="80" applyFont="1" applyFill="1" applyBorder="1" applyAlignment="1">
      <alignment horizontal="center"/>
    </xf>
    <xf numFmtId="0" fontId="142" fillId="33" borderId="12" xfId="80" applyFont="1" applyFill="1" applyBorder="1" applyAlignment="1"/>
    <xf numFmtId="0" fontId="142" fillId="33" borderId="190" xfId="80" applyFont="1" applyFill="1" applyBorder="1" applyAlignment="1">
      <alignment horizontal="left"/>
    </xf>
    <xf numFmtId="3" fontId="142" fillId="33" borderId="191" xfId="80" applyNumberFormat="1" applyFont="1" applyFill="1" applyBorder="1" applyAlignment="1">
      <alignment horizontal="right"/>
    </xf>
    <xf numFmtId="3" fontId="142" fillId="33" borderId="35" xfId="80" applyNumberFormat="1" applyFont="1" applyFill="1" applyBorder="1" applyAlignment="1">
      <alignment horizontal="right"/>
    </xf>
    <xf numFmtId="3" fontId="142" fillId="33" borderId="27" xfId="80" applyNumberFormat="1" applyFont="1" applyFill="1" applyBorder="1" applyAlignment="1">
      <alignment horizontal="right"/>
    </xf>
    <xf numFmtId="0" fontId="127" fillId="29" borderId="64" xfId="80" applyFont="1" applyFill="1" applyBorder="1" applyAlignment="1">
      <alignment horizontal="center"/>
    </xf>
    <xf numFmtId="0" fontId="127" fillId="29" borderId="10" xfId="80" applyFont="1" applyFill="1" applyBorder="1" applyAlignment="1">
      <alignment horizontal="center"/>
    </xf>
    <xf numFmtId="0" fontId="127" fillId="29" borderId="163" xfId="80" applyFont="1" applyFill="1" applyBorder="1" applyAlignment="1"/>
    <xf numFmtId="0" fontId="127" fillId="29" borderId="163" xfId="80" applyFont="1" applyFill="1" applyBorder="1"/>
    <xf numFmtId="3" fontId="141" fillId="29" borderId="65" xfId="80" applyNumberFormat="1" applyFont="1" applyFill="1" applyBorder="1"/>
    <xf numFmtId="3" fontId="141" fillId="29" borderId="22" xfId="80" applyNumberFormat="1" applyFont="1" applyFill="1" applyBorder="1"/>
    <xf numFmtId="3" fontId="141" fillId="29" borderId="15" xfId="80" applyNumberFormat="1" applyFont="1" applyFill="1" applyBorder="1"/>
    <xf numFmtId="3" fontId="141" fillId="29" borderId="10" xfId="80" applyNumberFormat="1" applyFont="1" applyFill="1" applyBorder="1"/>
    <xf numFmtId="0" fontId="127" fillId="0" borderId="64" xfId="80" applyFont="1" applyFill="1" applyBorder="1" applyAlignment="1">
      <alignment horizontal="center"/>
    </xf>
    <xf numFmtId="0" fontId="127" fillId="0" borderId="10" xfId="80" applyFont="1" applyFill="1" applyBorder="1" applyAlignment="1">
      <alignment horizontal="center"/>
    </xf>
    <xf numFmtId="0" fontId="127" fillId="0" borderId="163" xfId="80" applyFont="1" applyFill="1" applyBorder="1" applyAlignment="1"/>
    <xf numFmtId="0" fontId="127" fillId="0" borderId="163" xfId="80" applyFont="1" applyFill="1" applyBorder="1"/>
    <xf numFmtId="3" fontId="141" fillId="0" borderId="65" xfId="80" applyNumberFormat="1" applyFont="1" applyFill="1" applyBorder="1"/>
    <xf numFmtId="3" fontId="141" fillId="0" borderId="22" xfId="80" applyNumberFormat="1" applyFont="1" applyFill="1" applyBorder="1"/>
    <xf numFmtId="3" fontId="141" fillId="46" borderId="22" xfId="80" applyNumberFormat="1" applyFont="1" applyFill="1" applyBorder="1"/>
    <xf numFmtId="3" fontId="127" fillId="0" borderId="22" xfId="80" applyNumberFormat="1" applyFont="1" applyFill="1" applyBorder="1"/>
    <xf numFmtId="3" fontId="141" fillId="0" borderId="15" xfId="80" applyNumberFormat="1" applyFont="1" applyFill="1" applyBorder="1"/>
    <xf numFmtId="3" fontId="141" fillId="0" borderId="10" xfId="80" applyNumberFormat="1" applyFont="1" applyFill="1" applyBorder="1"/>
    <xf numFmtId="2" fontId="143" fillId="0" borderId="0" xfId="80" applyNumberFormat="1" applyFont="1" applyAlignment="1">
      <alignment horizontal="left" wrapText="1"/>
    </xf>
    <xf numFmtId="3" fontId="141" fillId="37" borderId="65" xfId="80" applyNumberFormat="1" applyFont="1" applyFill="1" applyBorder="1"/>
    <xf numFmtId="3" fontId="141" fillId="25" borderId="22" xfId="80" applyNumberFormat="1" applyFont="1" applyFill="1" applyBorder="1"/>
    <xf numFmtId="3" fontId="141" fillId="29" borderId="65" xfId="80" applyNumberFormat="1" applyFont="1" applyFill="1" applyBorder="1" applyAlignment="1">
      <alignment horizontal="right"/>
    </xf>
    <xf numFmtId="3" fontId="141" fillId="29" borderId="22" xfId="80" applyNumberFormat="1" applyFont="1" applyFill="1" applyBorder="1" applyAlignment="1">
      <alignment horizontal="right"/>
    </xf>
    <xf numFmtId="3" fontId="141" fillId="29" borderId="15" xfId="80" applyNumberFormat="1" applyFont="1" applyFill="1" applyBorder="1" applyAlignment="1">
      <alignment horizontal="right"/>
    </xf>
    <xf numFmtId="3" fontId="141" fillId="29" borderId="10" xfId="80" applyNumberFormat="1" applyFont="1" applyFill="1" applyBorder="1" applyAlignment="1">
      <alignment horizontal="right"/>
    </xf>
    <xf numFmtId="0" fontId="140" fillId="0" borderId="64" xfId="80" applyFont="1" applyBorder="1" applyAlignment="1">
      <alignment horizontal="center"/>
    </xf>
    <xf numFmtId="0" fontId="140" fillId="0" borderId="163" xfId="80" applyFont="1" applyBorder="1"/>
    <xf numFmtId="3" fontId="141" fillId="25" borderId="65" xfId="80" applyNumberFormat="1" applyFont="1" applyFill="1" applyBorder="1" applyAlignment="1">
      <alignment horizontal="right"/>
    </xf>
    <xf numFmtId="3" fontId="141" fillId="25" borderId="22" xfId="80" applyNumberFormat="1" applyFont="1" applyFill="1" applyBorder="1" applyAlignment="1">
      <alignment horizontal="right"/>
    </xf>
    <xf numFmtId="3" fontId="141" fillId="46" borderId="22" xfId="80" applyNumberFormat="1" applyFont="1" applyFill="1" applyBorder="1" applyAlignment="1">
      <alignment horizontal="right"/>
    </xf>
    <xf numFmtId="3" fontId="141" fillId="0" borderId="15" xfId="80" applyNumberFormat="1" applyFont="1" applyFill="1" applyBorder="1" applyAlignment="1">
      <alignment horizontal="right"/>
    </xf>
    <xf numFmtId="3" fontId="141" fillId="0" borderId="10" xfId="80" applyNumberFormat="1" applyFont="1" applyFill="1" applyBorder="1" applyAlignment="1">
      <alignment horizontal="right"/>
    </xf>
    <xf numFmtId="3" fontId="136" fillId="0" borderId="15" xfId="80" applyNumberFormat="1" applyFont="1" applyFill="1" applyBorder="1" applyAlignment="1">
      <alignment horizontal="right"/>
    </xf>
    <xf numFmtId="3" fontId="136" fillId="0" borderId="10" xfId="80" applyNumberFormat="1" applyFont="1" applyFill="1" applyBorder="1" applyAlignment="1">
      <alignment horizontal="right"/>
    </xf>
    <xf numFmtId="3" fontId="141" fillId="0" borderId="65" xfId="80" applyNumberFormat="1" applyFont="1" applyFill="1" applyBorder="1" applyAlignment="1">
      <alignment horizontal="right"/>
    </xf>
    <xf numFmtId="3" fontId="141" fillId="0" borderId="22" xfId="80" applyNumberFormat="1" applyFont="1" applyFill="1" applyBorder="1" applyAlignment="1">
      <alignment horizontal="right"/>
    </xf>
    <xf numFmtId="0" fontId="127" fillId="29" borderId="75" xfId="80" applyFont="1" applyFill="1" applyBorder="1" applyAlignment="1">
      <alignment horizontal="center" vertical="center"/>
    </xf>
    <xf numFmtId="0" fontId="127" fillId="29" borderId="20" xfId="80" applyFont="1" applyFill="1" applyBorder="1" applyAlignment="1">
      <alignment horizontal="center" vertical="center"/>
    </xf>
    <xf numFmtId="0" fontId="127" fillId="29" borderId="176" xfId="80" applyFont="1" applyFill="1" applyBorder="1" applyAlignment="1">
      <alignment vertical="center"/>
    </xf>
    <xf numFmtId="3" fontId="141" fillId="29" borderId="16" xfId="80" applyNumberFormat="1" applyFont="1" applyFill="1" applyBorder="1" applyAlignment="1">
      <alignment horizontal="right" vertical="center"/>
    </xf>
    <xf numFmtId="3" fontId="141" fillId="29" borderId="114" xfId="80" applyNumberFormat="1" applyFont="1" applyFill="1" applyBorder="1" applyAlignment="1">
      <alignment horizontal="right" vertical="center"/>
    </xf>
    <xf numFmtId="3" fontId="141" fillId="29" borderId="19" xfId="80" applyNumberFormat="1" applyFont="1" applyFill="1" applyBorder="1" applyAlignment="1">
      <alignment horizontal="right" vertical="center"/>
    </xf>
    <xf numFmtId="3" fontId="141" fillId="43" borderId="114" xfId="80" applyNumberFormat="1" applyFont="1" applyFill="1" applyBorder="1" applyAlignment="1">
      <alignment horizontal="right" vertical="center"/>
    </xf>
    <xf numFmtId="3" fontId="141" fillId="29" borderId="20" xfId="80" applyNumberFormat="1" applyFont="1" applyFill="1" applyBorder="1" applyAlignment="1">
      <alignment horizontal="right" vertical="center"/>
    </xf>
    <xf numFmtId="0" fontId="142" fillId="33" borderId="13" xfId="80" applyFont="1" applyFill="1" applyBorder="1" applyAlignment="1">
      <alignment horizontal="center"/>
    </xf>
    <xf numFmtId="0" fontId="142" fillId="33" borderId="73" xfId="80" applyFont="1" applyFill="1" applyBorder="1" applyAlignment="1">
      <alignment horizontal="center"/>
    </xf>
    <xf numFmtId="0" fontId="142" fillId="33" borderId="14" xfId="80" applyFont="1" applyFill="1" applyBorder="1" applyAlignment="1"/>
    <xf numFmtId="0" fontId="142" fillId="33" borderId="189" xfId="80" applyFont="1" applyFill="1" applyBorder="1" applyAlignment="1">
      <alignment horizontal="left"/>
    </xf>
    <xf numFmtId="3" fontId="142" fillId="33" borderId="63" xfId="80" applyNumberFormat="1" applyFont="1" applyFill="1" applyBorder="1" applyAlignment="1">
      <alignment horizontal="right"/>
    </xf>
    <xf numFmtId="3" fontId="142" fillId="33" borderId="21" xfId="80" applyNumberFormat="1" applyFont="1" applyFill="1" applyBorder="1" applyAlignment="1">
      <alignment horizontal="right"/>
    </xf>
    <xf numFmtId="3" fontId="142" fillId="33" borderId="13" xfId="80" applyNumberFormat="1" applyFont="1" applyFill="1" applyBorder="1" applyAlignment="1">
      <alignment horizontal="right"/>
    </xf>
    <xf numFmtId="0" fontId="144" fillId="33" borderId="13" xfId="80" applyFont="1" applyFill="1" applyBorder="1" applyAlignment="1">
      <alignment horizontal="center"/>
    </xf>
    <xf numFmtId="0" fontId="136" fillId="33" borderId="21" xfId="80" applyFont="1" applyFill="1" applyBorder="1" applyAlignment="1">
      <alignment horizontal="center"/>
    </xf>
    <xf numFmtId="0" fontId="127" fillId="0" borderId="15" xfId="80" applyFont="1" applyBorder="1" applyAlignment="1">
      <alignment horizontal="center"/>
    </xf>
    <xf numFmtId="0" fontId="127" fillId="0" borderId="71" xfId="80" applyFont="1" applyBorder="1" applyAlignment="1">
      <alignment horizontal="center"/>
    </xf>
    <xf numFmtId="3" fontId="145" fillId="0" borderId="65" xfId="80" applyNumberFormat="1" applyFont="1" applyFill="1" applyBorder="1"/>
    <xf numFmtId="49" fontId="143" fillId="0" borderId="15" xfId="80" applyNumberFormat="1" applyFont="1" applyFill="1" applyBorder="1" applyAlignment="1">
      <alignment horizontal="center"/>
    </xf>
    <xf numFmtId="0" fontId="143" fillId="0" borderId="22" xfId="80" applyFont="1" applyBorder="1" applyAlignment="1">
      <alignment horizontal="center"/>
    </xf>
    <xf numFmtId="0" fontId="127" fillId="0" borderId="163" xfId="80" applyFont="1" applyBorder="1"/>
    <xf numFmtId="3" fontId="141" fillId="25" borderId="65" xfId="80" applyNumberFormat="1" applyFont="1" applyFill="1" applyBorder="1"/>
    <xf numFmtId="0" fontId="146" fillId="0" borderId="163" xfId="80" applyFont="1" applyFill="1" applyBorder="1"/>
    <xf numFmtId="3" fontId="127" fillId="0" borderId="0" xfId="80" applyNumberFormat="1" applyFont="1" applyFill="1" applyBorder="1" applyAlignment="1">
      <alignment horizontal="left" wrapText="1"/>
    </xf>
    <xf numFmtId="0" fontId="127" fillId="47" borderId="15" xfId="80" applyFont="1" applyFill="1" applyBorder="1" applyAlignment="1">
      <alignment horizontal="center"/>
    </xf>
    <xf numFmtId="0" fontId="127" fillId="47" borderId="71" xfId="80" applyFont="1" applyFill="1" applyBorder="1" applyAlignment="1">
      <alignment horizontal="center"/>
    </xf>
    <xf numFmtId="0" fontId="127" fillId="47" borderId="163" xfId="80" applyFont="1" applyFill="1" applyBorder="1" applyAlignment="1"/>
    <xf numFmtId="3" fontId="141" fillId="47" borderId="65" xfId="80" applyNumberFormat="1" applyFont="1" applyFill="1" applyBorder="1"/>
    <xf numFmtId="3" fontId="141" fillId="47" borderId="22" xfId="80" applyNumberFormat="1" applyFont="1" applyFill="1" applyBorder="1"/>
    <xf numFmtId="3" fontId="141" fillId="47" borderId="15" xfId="80" applyNumberFormat="1" applyFont="1" applyFill="1" applyBorder="1"/>
    <xf numFmtId="49" fontId="143" fillId="47" borderId="15" xfId="80" applyNumberFormat="1" applyFont="1" applyFill="1" applyBorder="1" applyAlignment="1">
      <alignment horizontal="center"/>
    </xf>
    <xf numFmtId="0" fontId="143" fillId="47" borderId="22" xfId="80" applyFont="1" applyFill="1" applyBorder="1" applyAlignment="1">
      <alignment horizontal="center"/>
    </xf>
    <xf numFmtId="0" fontId="127" fillId="0" borderId="82" xfId="80" applyFont="1" applyBorder="1" applyAlignment="1">
      <alignment horizontal="center"/>
    </xf>
    <xf numFmtId="3" fontId="141" fillId="0" borderId="74" xfId="80" applyNumberFormat="1" applyFont="1" applyFill="1" applyBorder="1"/>
    <xf numFmtId="3" fontId="141" fillId="0" borderId="38" xfId="80" applyNumberFormat="1" applyFont="1" applyFill="1" applyBorder="1"/>
    <xf numFmtId="0" fontId="143" fillId="0" borderId="38" xfId="80" applyFont="1" applyBorder="1" applyAlignment="1">
      <alignment horizontal="center"/>
    </xf>
    <xf numFmtId="3" fontId="147" fillId="34" borderId="23" xfId="80" applyNumberFormat="1" applyFont="1" applyFill="1" applyBorder="1"/>
    <xf numFmtId="0" fontId="127" fillId="34" borderId="17" xfId="80" applyFont="1" applyFill="1" applyBorder="1" applyAlignment="1">
      <alignment horizontal="center"/>
    </xf>
    <xf numFmtId="0" fontId="140" fillId="29" borderId="27" xfId="80" applyFont="1" applyFill="1" applyBorder="1" applyAlignment="1">
      <alignment horizontal="center"/>
    </xf>
    <xf numFmtId="0" fontId="140" fillId="29" borderId="70" xfId="80" applyFont="1" applyFill="1" applyBorder="1" applyAlignment="1">
      <alignment horizontal="center"/>
    </xf>
    <xf numFmtId="0" fontId="140" fillId="29" borderId="12" xfId="80" applyFont="1" applyFill="1" applyBorder="1" applyAlignment="1"/>
    <xf numFmtId="0" fontId="140" fillId="29" borderId="190" xfId="80" applyFont="1" applyFill="1" applyBorder="1" applyAlignment="1">
      <alignment horizontal="center"/>
    </xf>
    <xf numFmtId="3" fontId="148" fillId="43" borderId="65" xfId="80" applyNumberFormat="1" applyFont="1" applyFill="1" applyBorder="1"/>
    <xf numFmtId="3" fontId="148" fillId="43" borderId="22" xfId="80" applyNumberFormat="1" applyFont="1" applyFill="1" applyBorder="1"/>
    <xf numFmtId="3" fontId="148" fillId="43" borderId="15" xfId="80" applyNumberFormat="1" applyFont="1" applyFill="1" applyBorder="1"/>
    <xf numFmtId="0" fontId="149" fillId="29" borderId="35" xfId="80" applyFont="1" applyFill="1" applyBorder="1" applyAlignment="1">
      <alignment horizontal="center"/>
    </xf>
    <xf numFmtId="0" fontId="127" fillId="0" borderId="10" xfId="80" applyFont="1" applyBorder="1" applyAlignment="1"/>
    <xf numFmtId="0" fontId="150" fillId="0" borderId="65" xfId="80" applyFont="1" applyBorder="1"/>
    <xf numFmtId="0" fontId="150" fillId="0" borderId="22" xfId="80" applyFont="1" applyBorder="1"/>
    <xf numFmtId="0" fontId="150" fillId="46" borderId="22" xfId="80" applyFont="1" applyFill="1" applyBorder="1"/>
    <xf numFmtId="0" fontId="140" fillId="29" borderId="15" xfId="80" applyFont="1" applyFill="1" applyBorder="1" applyAlignment="1">
      <alignment horizontal="center"/>
    </xf>
    <xf numFmtId="0" fontId="140" fillId="43" borderId="71" xfId="80" applyFont="1" applyFill="1" applyBorder="1" applyAlignment="1">
      <alignment horizontal="center"/>
    </xf>
    <xf numFmtId="0" fontId="140" fillId="43" borderId="10" xfId="80" applyFont="1" applyFill="1" applyBorder="1" applyAlignment="1"/>
    <xf numFmtId="0" fontId="140" fillId="43" borderId="163" xfId="80" applyFont="1" applyFill="1" applyBorder="1" applyAlignment="1">
      <alignment horizontal="center"/>
    </xf>
    <xf numFmtId="3" fontId="148" fillId="29" borderId="65" xfId="80" applyNumberFormat="1" applyFont="1" applyFill="1" applyBorder="1" applyAlignment="1">
      <alignment horizontal="right"/>
    </xf>
    <xf numFmtId="3" fontId="148" fillId="29" borderId="22" xfId="80" applyNumberFormat="1" applyFont="1" applyFill="1" applyBorder="1" applyAlignment="1">
      <alignment horizontal="right"/>
    </xf>
    <xf numFmtId="3" fontId="148" fillId="29" borderId="15" xfId="80" applyNumberFormat="1" applyFont="1" applyFill="1" applyBorder="1" applyAlignment="1">
      <alignment horizontal="right"/>
    </xf>
    <xf numFmtId="0" fontId="140" fillId="43" borderId="15" xfId="80" applyFont="1" applyFill="1" applyBorder="1" applyAlignment="1">
      <alignment horizontal="center"/>
    </xf>
    <xf numFmtId="0" fontId="149" fillId="29" borderId="22" xfId="80" applyFont="1" applyFill="1" applyBorder="1" applyAlignment="1">
      <alignment horizontal="center"/>
    </xf>
    <xf numFmtId="0" fontId="127" fillId="0" borderId="27" xfId="80" applyFont="1" applyBorder="1" applyAlignment="1">
      <alignment horizontal="center"/>
    </xf>
    <xf numFmtId="0" fontId="127" fillId="0" borderId="70" xfId="80" applyFont="1" applyBorder="1" applyAlignment="1">
      <alignment horizontal="center"/>
    </xf>
    <xf numFmtId="0" fontId="127" fillId="0" borderId="12" xfId="80" applyFont="1" applyBorder="1" applyAlignment="1"/>
    <xf numFmtId="0" fontId="127" fillId="0" borderId="190" xfId="80" applyFont="1" applyBorder="1"/>
    <xf numFmtId="3" fontId="141" fillId="25" borderId="191" xfId="80" applyNumberFormat="1" applyFont="1" applyFill="1" applyBorder="1" applyAlignment="1">
      <alignment horizontal="right"/>
    </xf>
    <xf numFmtId="3" fontId="141" fillId="25" borderId="35" xfId="80" applyNumberFormat="1" applyFont="1" applyFill="1" applyBorder="1" applyAlignment="1">
      <alignment horizontal="right"/>
    </xf>
    <xf numFmtId="3" fontId="141" fillId="46" borderId="35" xfId="80" applyNumberFormat="1" applyFont="1" applyFill="1" applyBorder="1" applyAlignment="1">
      <alignment horizontal="right"/>
    </xf>
    <xf numFmtId="0" fontId="143" fillId="0" borderId="35" xfId="80" applyFont="1" applyBorder="1" applyAlignment="1">
      <alignment horizontal="center"/>
    </xf>
    <xf numFmtId="3" fontId="148" fillId="29" borderId="22" xfId="80" applyNumberFormat="1" applyFont="1" applyFill="1" applyBorder="1"/>
    <xf numFmtId="0" fontId="149" fillId="43" borderId="22" xfId="80" applyFont="1" applyFill="1" applyBorder="1" applyAlignment="1">
      <alignment horizontal="center"/>
    </xf>
    <xf numFmtId="3" fontId="151" fillId="0" borderId="65" xfId="80" applyNumberFormat="1" applyFont="1" applyFill="1" applyBorder="1"/>
    <xf numFmtId="3" fontId="127" fillId="0" borderId="0" xfId="80" applyNumberFormat="1" applyFont="1" applyFill="1" applyBorder="1" applyAlignment="1">
      <alignment wrapText="1"/>
    </xf>
    <xf numFmtId="0" fontId="127" fillId="0" borderId="37" xfId="80" applyFont="1" applyBorder="1" applyAlignment="1"/>
    <xf numFmtId="0" fontId="127" fillId="0" borderId="174" xfId="80" applyFont="1" applyBorder="1" applyAlignment="1">
      <alignment horizontal="left"/>
    </xf>
    <xf numFmtId="0" fontId="127" fillId="0" borderId="36" xfId="80" applyFont="1" applyBorder="1" applyAlignment="1">
      <alignment horizontal="center"/>
    </xf>
    <xf numFmtId="3" fontId="148" fillId="0" borderId="65" xfId="80" applyNumberFormat="1" applyFont="1" applyFill="1" applyBorder="1"/>
    <xf numFmtId="3" fontId="148" fillId="0" borderId="22" xfId="80" applyNumberFormat="1" applyFont="1" applyFill="1" applyBorder="1"/>
    <xf numFmtId="3" fontId="141" fillId="25" borderId="74" xfId="80" applyNumberFormat="1" applyFont="1" applyFill="1" applyBorder="1" applyAlignment="1">
      <alignment horizontal="right"/>
    </xf>
    <xf numFmtId="3" fontId="141" fillId="25" borderId="38" xfId="80" applyNumberFormat="1" applyFont="1" applyFill="1" applyBorder="1" applyAlignment="1">
      <alignment horizontal="right"/>
    </xf>
    <xf numFmtId="3" fontId="141" fillId="0" borderId="74" xfId="80" applyNumberFormat="1" applyFont="1" applyFill="1" applyBorder="1" applyAlignment="1">
      <alignment horizontal="right"/>
    </xf>
    <xf numFmtId="3" fontId="141" fillId="0" borderId="38" xfId="80" applyNumberFormat="1" applyFont="1" applyFill="1" applyBorder="1" applyAlignment="1">
      <alignment horizontal="right"/>
    </xf>
    <xf numFmtId="0" fontId="146" fillId="0" borderId="163" xfId="80" applyFont="1" applyBorder="1"/>
    <xf numFmtId="0" fontId="142" fillId="33" borderId="96" xfId="80" applyFont="1" applyFill="1" applyBorder="1" applyAlignment="1">
      <alignment horizontal="left"/>
    </xf>
    <xf numFmtId="3" fontId="142" fillId="33" borderId="61" xfId="80" applyNumberFormat="1" applyFont="1" applyFill="1" applyBorder="1"/>
    <xf numFmtId="3" fontId="142" fillId="33" borderId="23" xfId="80" applyNumberFormat="1" applyFont="1" applyFill="1" applyBorder="1"/>
    <xf numFmtId="3" fontId="142" fillId="33" borderId="17" xfId="80" applyNumberFormat="1" applyFont="1" applyFill="1" applyBorder="1"/>
    <xf numFmtId="3" fontId="144" fillId="33" borderId="23" xfId="80" applyNumberFormat="1" applyFont="1" applyFill="1" applyBorder="1"/>
    <xf numFmtId="3" fontId="144" fillId="33" borderId="17" xfId="80" applyNumberFormat="1" applyFont="1" applyFill="1" applyBorder="1"/>
    <xf numFmtId="0" fontId="127" fillId="0" borderId="190" xfId="80" applyFont="1" applyBorder="1" applyAlignment="1">
      <alignment horizontal="center"/>
    </xf>
    <xf numFmtId="0" fontId="127" fillId="0" borderId="190" xfId="80" applyFont="1" applyBorder="1" applyAlignment="1"/>
    <xf numFmtId="3" fontId="150" fillId="0" borderId="191" xfId="80" applyNumberFormat="1" applyFont="1" applyBorder="1"/>
    <xf numFmtId="3" fontId="150" fillId="0" borderId="35" xfId="80" applyNumberFormat="1" applyFont="1" applyBorder="1"/>
    <xf numFmtId="3" fontId="150" fillId="46" borderId="35" xfId="80" applyNumberFormat="1" applyFont="1" applyFill="1" applyBorder="1"/>
    <xf numFmtId="2" fontId="127" fillId="0" borderId="190" xfId="80" applyNumberFormat="1" applyFont="1" applyBorder="1"/>
    <xf numFmtId="0" fontId="127" fillId="0" borderId="64" xfId="80" applyFont="1" applyBorder="1" applyAlignment="1">
      <alignment horizontal="center"/>
    </xf>
    <xf numFmtId="0" fontId="127" fillId="0" borderId="163" xfId="80" applyFont="1" applyBorder="1" applyAlignment="1">
      <alignment horizontal="center"/>
    </xf>
    <xf numFmtId="3" fontId="150" fillId="25" borderId="65" xfId="80" applyNumberFormat="1" applyFont="1" applyFill="1" applyBorder="1"/>
    <xf numFmtId="3" fontId="150" fillId="25" borderId="22" xfId="80" applyNumberFormat="1" applyFont="1" applyFill="1" applyBorder="1"/>
    <xf numFmtId="3" fontId="150" fillId="46" borderId="22" xfId="80" applyNumberFormat="1" applyFont="1" applyFill="1" applyBorder="1"/>
    <xf numFmtId="2" fontId="127" fillId="25" borderId="163" xfId="80" applyNumberFormat="1" applyFont="1" applyFill="1" applyBorder="1"/>
    <xf numFmtId="0" fontId="127" fillId="0" borderId="163" xfId="80" applyFont="1" applyBorder="1" applyAlignment="1"/>
    <xf numFmtId="2" fontId="127" fillId="0" borderId="163" xfId="80" applyNumberFormat="1" applyFont="1" applyFill="1" applyBorder="1"/>
    <xf numFmtId="49" fontId="136" fillId="0" borderId="0" xfId="80" applyNumberFormat="1" applyFont="1" applyAlignment="1">
      <alignment horizontal="left" wrapText="1"/>
    </xf>
    <xf numFmtId="0" fontId="127" fillId="0" borderId="176" xfId="80" applyFont="1" applyBorder="1" applyAlignment="1">
      <alignment horizontal="center"/>
    </xf>
    <xf numFmtId="0" fontId="127" fillId="0" borderId="176" xfId="80" applyFont="1" applyBorder="1" applyAlignment="1"/>
    <xf numFmtId="0" fontId="127" fillId="0" borderId="176" xfId="80" applyFont="1" applyBorder="1"/>
    <xf numFmtId="3" fontId="141" fillId="37" borderId="16" xfId="80" applyNumberFormat="1" applyFont="1" applyFill="1" applyBorder="1"/>
    <xf numFmtId="3" fontId="141" fillId="25" borderId="114" xfId="80" applyNumberFormat="1" applyFont="1" applyFill="1" applyBorder="1"/>
    <xf numFmtId="3" fontId="127" fillId="0" borderId="114" xfId="80" applyNumberFormat="1" applyFont="1" applyFill="1" applyBorder="1"/>
    <xf numFmtId="2" fontId="127" fillId="25" borderId="176" xfId="80" applyNumberFormat="1" applyFont="1" applyFill="1" applyBorder="1"/>
    <xf numFmtId="2" fontId="143" fillId="0" borderId="0" xfId="80" applyNumberFormat="1" applyFont="1" applyFill="1" applyAlignment="1">
      <alignment horizontal="left" vertical="center"/>
    </xf>
    <xf numFmtId="0" fontId="133" fillId="0" borderId="0" xfId="80" applyFont="1" applyAlignment="1">
      <alignment vertical="center"/>
    </xf>
    <xf numFmtId="0" fontId="152" fillId="0" borderId="0" xfId="80" applyFont="1"/>
    <xf numFmtId="0" fontId="153" fillId="0" borderId="0" xfId="80" applyFont="1"/>
    <xf numFmtId="0" fontId="127" fillId="0" borderId="45" xfId="80" applyFont="1" applyBorder="1" applyAlignment="1">
      <alignment horizontal="center"/>
    </xf>
    <xf numFmtId="0" fontId="127" fillId="0" borderId="45" xfId="80" applyFont="1" applyBorder="1" applyAlignment="1"/>
    <xf numFmtId="0" fontId="127" fillId="0" borderId="45" xfId="80" applyFont="1" applyBorder="1"/>
    <xf numFmtId="0" fontId="150" fillId="0" borderId="45" xfId="80" applyFont="1" applyBorder="1"/>
    <xf numFmtId="0" fontId="140" fillId="0" borderId="45" xfId="80" applyFont="1" applyBorder="1" applyAlignment="1">
      <alignment horizontal="left"/>
    </xf>
    <xf numFmtId="0" fontId="149" fillId="0" borderId="45" xfId="80" applyFont="1" applyBorder="1" applyAlignment="1">
      <alignment horizontal="left"/>
    </xf>
    <xf numFmtId="3" fontId="142" fillId="33" borderId="18" xfId="80" applyNumberFormat="1" applyFont="1" applyFill="1" applyBorder="1"/>
    <xf numFmtId="0" fontId="140" fillId="0" borderId="0" xfId="80" applyFont="1" applyAlignment="1">
      <alignment horizontal="left"/>
    </xf>
    <xf numFmtId="0" fontId="149" fillId="0" borderId="0" xfId="80" applyFont="1" applyAlignment="1">
      <alignment horizontal="left"/>
    </xf>
    <xf numFmtId="0" fontId="142" fillId="0" borderId="0" xfId="80" applyFont="1" applyFill="1" applyBorder="1" applyAlignment="1">
      <alignment horizontal="center"/>
    </xf>
    <xf numFmtId="0" fontId="142" fillId="0" borderId="0" xfId="80" applyFont="1" applyFill="1" applyBorder="1" applyAlignment="1"/>
    <xf numFmtId="3" fontId="142" fillId="0" borderId="0" xfId="80" applyNumberFormat="1" applyFont="1" applyFill="1" applyBorder="1"/>
    <xf numFmtId="3" fontId="150" fillId="0" borderId="0" xfId="80" applyNumberFormat="1" applyFont="1" applyFill="1" applyBorder="1"/>
    <xf numFmtId="0" fontId="133" fillId="0" borderId="0" xfId="80" applyFont="1" applyFill="1" applyBorder="1" applyAlignment="1">
      <alignment horizontal="center"/>
    </xf>
    <xf numFmtId="0" fontId="133" fillId="0" borderId="0" xfId="80" applyFont="1" applyFill="1" applyBorder="1" applyAlignment="1"/>
    <xf numFmtId="0" fontId="154" fillId="0" borderId="0" xfId="80" applyFont="1" applyFill="1" applyBorder="1" applyAlignment="1">
      <alignment horizontal="right"/>
    </xf>
    <xf numFmtId="9" fontId="136" fillId="0" borderId="0" xfId="80" applyNumberFormat="1" applyFont="1" applyFill="1" applyBorder="1"/>
    <xf numFmtId="0" fontId="150" fillId="0" borderId="0" xfId="80" applyFont="1"/>
    <xf numFmtId="0" fontId="155" fillId="0" borderId="0" xfId="80" applyFont="1" applyFill="1" applyBorder="1" applyAlignment="1">
      <alignment horizontal="right"/>
    </xf>
    <xf numFmtId="3" fontId="136" fillId="0" borderId="0" xfId="80" applyNumberFormat="1" applyFont="1" applyFill="1" applyBorder="1"/>
    <xf numFmtId="3" fontId="156" fillId="0" borderId="0" xfId="80" applyNumberFormat="1" applyFont="1" applyFill="1" applyBorder="1"/>
    <xf numFmtId="0" fontId="154" fillId="0" borderId="0" xfId="80" applyFont="1" applyFill="1" applyBorder="1" applyAlignment="1">
      <alignment horizontal="center"/>
    </xf>
    <xf numFmtId="0" fontId="127" fillId="0" borderId="0" xfId="80" applyFont="1" applyFill="1" applyBorder="1" applyAlignment="1">
      <alignment horizontal="left"/>
    </xf>
    <xf numFmtId="0" fontId="133" fillId="0" borderId="0" xfId="80" applyFont="1" applyFill="1" applyBorder="1"/>
    <xf numFmtId="0" fontId="127" fillId="0" borderId="39" xfId="80" applyFont="1" applyBorder="1" applyAlignment="1">
      <alignment horizontal="center"/>
    </xf>
    <xf numFmtId="0" fontId="127" fillId="0" borderId="31" xfId="80" applyFont="1" applyBorder="1" applyAlignment="1">
      <alignment horizontal="center"/>
    </xf>
    <xf numFmtId="0" fontId="127" fillId="0" borderId="31" xfId="80" applyFont="1" applyBorder="1" applyAlignment="1"/>
    <xf numFmtId="0" fontId="127" fillId="0" borderId="62" xfId="80" applyFont="1" applyBorder="1"/>
    <xf numFmtId="3" fontId="141" fillId="37" borderId="61" xfId="80" applyNumberFormat="1" applyFont="1" applyFill="1" applyBorder="1"/>
    <xf numFmtId="3" fontId="141" fillId="48" borderId="17" xfId="80" applyNumberFormat="1" applyFont="1" applyFill="1" applyBorder="1"/>
    <xf numFmtId="3" fontId="141" fillId="48" borderId="23" xfId="80" applyNumberFormat="1" applyFont="1" applyFill="1" applyBorder="1"/>
    <xf numFmtId="0" fontId="141" fillId="46" borderId="39" xfId="80" applyFont="1" applyFill="1" applyBorder="1" applyAlignment="1">
      <alignment horizontal="center"/>
    </xf>
    <xf numFmtId="0" fontId="141" fillId="46" borderId="31" xfId="80" applyFont="1" applyFill="1" applyBorder="1" applyAlignment="1">
      <alignment horizontal="center"/>
    </xf>
    <xf numFmtId="0" fontId="141" fillId="46" borderId="31" xfId="80" applyFont="1" applyFill="1" applyBorder="1" applyAlignment="1"/>
    <xf numFmtId="0" fontId="141" fillId="46" borderId="62" xfId="80" applyFont="1" applyFill="1" applyBorder="1"/>
    <xf numFmtId="3" fontId="141" fillId="46" borderId="61" xfId="80" applyNumberFormat="1" applyFont="1" applyFill="1" applyBorder="1"/>
    <xf numFmtId="3" fontId="141" fillId="46" borderId="17" xfId="80" applyNumberFormat="1" applyFont="1" applyFill="1" applyBorder="1"/>
    <xf numFmtId="3" fontId="141" fillId="46" borderId="23" xfId="80" applyNumberFormat="1" applyFont="1" applyFill="1" applyBorder="1"/>
    <xf numFmtId="0" fontId="133" fillId="0" borderId="0" xfId="80" applyFont="1" applyFill="1" applyBorder="1" applyAlignment="1">
      <alignment horizontal="right"/>
    </xf>
    <xf numFmtId="0" fontId="127" fillId="0" borderId="0" xfId="80" applyFont="1" applyFill="1" applyBorder="1"/>
    <xf numFmtId="3" fontId="150" fillId="0" borderId="82" xfId="80" applyNumberFormat="1" applyFont="1" applyFill="1" applyBorder="1"/>
    <xf numFmtId="0" fontId="139" fillId="0" borderId="0" xfId="80" applyFont="1" applyFill="1" applyBorder="1" applyAlignment="1">
      <alignment horizontal="center"/>
    </xf>
    <xf numFmtId="0" fontId="139" fillId="0" borderId="0" xfId="80" applyFont="1" applyFill="1" applyBorder="1" applyAlignment="1"/>
    <xf numFmtId="0" fontId="139" fillId="0" borderId="0" xfId="80" applyFont="1" applyFill="1" applyBorder="1"/>
    <xf numFmtId="0" fontId="157" fillId="0" borderId="0" xfId="80" applyFont="1" applyFill="1" applyBorder="1" applyAlignment="1">
      <alignment horizontal="center"/>
    </xf>
    <xf numFmtId="49" fontId="136" fillId="0" borderId="0" xfId="80" applyNumberFormat="1" applyFont="1" applyFill="1" applyBorder="1" applyAlignment="1">
      <alignment horizontal="center" wrapText="1"/>
    </xf>
    <xf numFmtId="0" fontId="141" fillId="0" borderId="0" xfId="80" applyFont="1"/>
    <xf numFmtId="0" fontId="154" fillId="0" borderId="0" xfId="80" applyFont="1" applyAlignment="1">
      <alignment horizontal="center"/>
    </xf>
    <xf numFmtId="3" fontId="158" fillId="33" borderId="18" xfId="80" applyNumberFormat="1" applyFont="1" applyFill="1" applyBorder="1"/>
    <xf numFmtId="10" fontId="59" fillId="0" borderId="10" xfId="0" applyNumberFormat="1" applyFont="1" applyBorder="1"/>
    <xf numFmtId="166" fontId="65" fillId="0" borderId="22" xfId="0" applyNumberFormat="1" applyFont="1" applyFill="1" applyBorder="1"/>
    <xf numFmtId="166" fontId="65" fillId="0" borderId="34" xfId="0" applyNumberFormat="1" applyFont="1" applyFill="1" applyBorder="1"/>
    <xf numFmtId="3" fontId="65" fillId="36" borderId="63" xfId="0" applyNumberFormat="1" applyFont="1" applyFill="1" applyBorder="1"/>
    <xf numFmtId="3" fontId="65" fillId="36" borderId="61" xfId="0" applyNumberFormat="1" applyFont="1" applyFill="1" applyBorder="1"/>
    <xf numFmtId="3" fontId="65" fillId="43" borderId="61" xfId="0" applyNumberFormat="1" applyFont="1" applyFill="1" applyBorder="1"/>
    <xf numFmtId="2" fontId="127" fillId="0" borderId="0" xfId="80" applyNumberFormat="1" applyFont="1" applyAlignment="1">
      <alignment wrapText="1"/>
    </xf>
    <xf numFmtId="0" fontId="143" fillId="0" borderId="0" xfId="80" applyFont="1" applyAlignment="1">
      <alignment wrapText="1"/>
    </xf>
    <xf numFmtId="0" fontId="143" fillId="0" borderId="0" xfId="80" applyFont="1" applyAlignment="1">
      <alignment horizontal="left"/>
    </xf>
    <xf numFmtId="0" fontId="127" fillId="0" borderId="0" xfId="80" applyFont="1" applyAlignment="1">
      <alignment wrapText="1"/>
    </xf>
    <xf numFmtId="0" fontId="136" fillId="0" borderId="0" xfId="80" applyFont="1" applyAlignment="1">
      <alignment wrapText="1"/>
    </xf>
    <xf numFmtId="0" fontId="159" fillId="0" borderId="0" xfId="80" applyFont="1" applyAlignment="1">
      <alignment wrapText="1"/>
    </xf>
    <xf numFmtId="0" fontId="160" fillId="0" borderId="0" xfId="80" applyFont="1" applyAlignment="1">
      <alignment wrapText="1"/>
    </xf>
    <xf numFmtId="0" fontId="159" fillId="0" borderId="57" xfId="80" applyFont="1" applyFill="1" applyBorder="1" applyAlignment="1"/>
    <xf numFmtId="0" fontId="142" fillId="33" borderId="39" xfId="80" applyFont="1" applyFill="1" applyBorder="1" applyAlignment="1">
      <alignment horizontal="center"/>
    </xf>
    <xf numFmtId="0" fontId="142" fillId="33" borderId="31" xfId="80" applyFont="1" applyFill="1" applyBorder="1" applyAlignment="1">
      <alignment horizontal="center"/>
    </xf>
    <xf numFmtId="0" fontId="158" fillId="33" borderId="164" xfId="80" applyFont="1" applyFill="1" applyBorder="1"/>
    <xf numFmtId="0" fontId="127" fillId="34" borderId="31" xfId="80" applyFont="1" applyFill="1" applyBorder="1" applyAlignment="1">
      <alignment horizontal="center"/>
    </xf>
    <xf numFmtId="0" fontId="127" fillId="34" borderId="18" xfId="80" applyFont="1" applyFill="1" applyBorder="1" applyAlignment="1"/>
    <xf numFmtId="0" fontId="127" fillId="34" borderId="60" xfId="80" applyFont="1" applyFill="1" applyBorder="1"/>
    <xf numFmtId="3" fontId="147" fillId="34" borderId="61" xfId="80" applyNumberFormat="1" applyFont="1" applyFill="1" applyBorder="1"/>
    <xf numFmtId="3" fontId="147" fillId="34" borderId="17" xfId="80" applyNumberFormat="1" applyFont="1" applyFill="1" applyBorder="1"/>
    <xf numFmtId="3" fontId="127" fillId="34" borderId="23" xfId="80" applyNumberFormat="1" applyFont="1" applyFill="1" applyBorder="1"/>
    <xf numFmtId="3" fontId="43" fillId="49" borderId="20" xfId="0" applyNumberFormat="1" applyFont="1" applyFill="1" applyBorder="1"/>
    <xf numFmtId="4" fontId="161" fillId="0" borderId="0" xfId="80" applyNumberFormat="1" applyFont="1" applyFill="1" applyBorder="1" applyAlignment="1">
      <alignment horizontal="left" wrapText="1"/>
    </xf>
    <xf numFmtId="49" fontId="162" fillId="0" borderId="0" xfId="80" applyNumberFormat="1" applyFont="1" applyAlignment="1">
      <alignment horizontal="left" wrapText="1"/>
    </xf>
    <xf numFmtId="0" fontId="65" fillId="0" borderId="97" xfId="0" applyFont="1" applyBorder="1" applyAlignment="1">
      <alignment horizontal="center"/>
    </xf>
    <xf numFmtId="0" fontId="90" fillId="0" borderId="85" xfId="0" applyFont="1" applyFill="1" applyBorder="1" applyAlignment="1">
      <alignment horizontal="center"/>
    </xf>
    <xf numFmtId="0" fontId="90" fillId="36" borderId="128" xfId="0" applyFont="1" applyFill="1" applyBorder="1" applyAlignment="1">
      <alignment horizontal="center"/>
    </xf>
    <xf numFmtId="0" fontId="65" fillId="40" borderId="39" xfId="0" applyFont="1" applyFill="1" applyBorder="1" applyAlignment="1">
      <alignment horizontal="center" wrapText="1"/>
    </xf>
    <xf numFmtId="3" fontId="65" fillId="40" borderId="61" xfId="0" applyNumberFormat="1" applyFont="1" applyFill="1" applyBorder="1"/>
    <xf numFmtId="3" fontId="93" fillId="36" borderId="107" xfId="0" applyNumberFormat="1" applyFont="1" applyFill="1" applyBorder="1"/>
    <xf numFmtId="3" fontId="90" fillId="0" borderId="145" xfId="0" applyNumberFormat="1" applyFont="1" applyFill="1" applyBorder="1"/>
    <xf numFmtId="3" fontId="141" fillId="29" borderId="163" xfId="80" applyNumberFormat="1" applyFont="1" applyFill="1" applyBorder="1"/>
    <xf numFmtId="3" fontId="141" fillId="29" borderId="163" xfId="80" applyNumberFormat="1" applyFont="1" applyFill="1" applyBorder="1" applyAlignment="1">
      <alignment horizontal="right"/>
    </xf>
    <xf numFmtId="3" fontId="141" fillId="43" borderId="176" xfId="80" applyNumberFormat="1" applyFont="1" applyFill="1" applyBorder="1" applyAlignment="1">
      <alignment horizontal="right" vertical="center"/>
    </xf>
    <xf numFmtId="3" fontId="142" fillId="33" borderId="190" xfId="80" applyNumberFormat="1" applyFont="1" applyFill="1" applyBorder="1" applyAlignment="1">
      <alignment horizontal="right"/>
    </xf>
    <xf numFmtId="3" fontId="142" fillId="33" borderId="189" xfId="80" applyNumberFormat="1" applyFont="1" applyFill="1" applyBorder="1" applyAlignment="1">
      <alignment horizontal="right"/>
    </xf>
    <xf numFmtId="3" fontId="141" fillId="47" borderId="163" xfId="80" applyNumberFormat="1" applyFont="1" applyFill="1" applyBorder="1"/>
    <xf numFmtId="3" fontId="127" fillId="34" borderId="60" xfId="80" applyNumberFormat="1" applyFont="1" applyFill="1" applyBorder="1"/>
    <xf numFmtId="3" fontId="148" fillId="43" borderId="163" xfId="80" applyNumberFormat="1" applyFont="1" applyFill="1" applyBorder="1"/>
    <xf numFmtId="3" fontId="148" fillId="29" borderId="163" xfId="80" applyNumberFormat="1" applyFont="1" applyFill="1" applyBorder="1" applyAlignment="1">
      <alignment horizontal="right"/>
    </xf>
    <xf numFmtId="3" fontId="148" fillId="29" borderId="163" xfId="80" applyNumberFormat="1" applyFont="1" applyFill="1" applyBorder="1"/>
    <xf numFmtId="3" fontId="142" fillId="33" borderId="60" xfId="80" applyNumberFormat="1" applyFont="1" applyFill="1" applyBorder="1"/>
    <xf numFmtId="0" fontId="141" fillId="46" borderId="33" xfId="80" applyFont="1" applyFill="1" applyBorder="1" applyAlignment="1">
      <alignment horizontal="center"/>
    </xf>
    <xf numFmtId="0" fontId="141" fillId="46" borderId="38" xfId="80" applyFont="1" applyFill="1" applyBorder="1" applyAlignment="1">
      <alignment horizontal="center"/>
    </xf>
    <xf numFmtId="3" fontId="158" fillId="33" borderId="23" xfId="80" applyNumberFormat="1" applyFont="1" applyFill="1" applyBorder="1"/>
    <xf numFmtId="3" fontId="141" fillId="48" borderId="60" xfId="80" applyNumberFormat="1" applyFont="1" applyFill="1" applyBorder="1"/>
    <xf numFmtId="3" fontId="141" fillId="46" borderId="60" xfId="80" applyNumberFormat="1" applyFont="1" applyFill="1" applyBorder="1"/>
    <xf numFmtId="0" fontId="127" fillId="0" borderId="174" xfId="80" applyFont="1" applyFill="1" applyBorder="1"/>
    <xf numFmtId="0" fontId="143" fillId="34" borderId="62" xfId="80" applyFont="1" applyFill="1" applyBorder="1" applyAlignment="1">
      <alignment horizontal="center"/>
    </xf>
    <xf numFmtId="0" fontId="143" fillId="34" borderId="17" xfId="80" applyFont="1" applyFill="1" applyBorder="1" applyAlignment="1">
      <alignment horizontal="center"/>
    </xf>
    <xf numFmtId="0" fontId="127" fillId="0" borderId="176" xfId="80" applyFont="1" applyFill="1" applyBorder="1"/>
    <xf numFmtId="3" fontId="141" fillId="0" borderId="16" xfId="80" applyNumberFormat="1" applyFont="1" applyFill="1" applyBorder="1"/>
    <xf numFmtId="3" fontId="141" fillId="0" borderId="114" xfId="80" applyNumberFormat="1" applyFont="1" applyFill="1" applyBorder="1"/>
    <xf numFmtId="49" fontId="143" fillId="0" borderId="19" xfId="80" applyNumberFormat="1" applyFont="1" applyFill="1" applyBorder="1" applyAlignment="1">
      <alignment horizontal="center"/>
    </xf>
    <xf numFmtId="0" fontId="143" fillId="0" borderId="114" xfId="80" applyFont="1" applyBorder="1" applyAlignment="1">
      <alignment horizontal="center"/>
    </xf>
    <xf numFmtId="49" fontId="163" fillId="0" borderId="15" xfId="80" applyNumberFormat="1" applyFont="1" applyFill="1" applyBorder="1" applyAlignment="1">
      <alignment horizontal="center"/>
    </xf>
    <xf numFmtId="3" fontId="141" fillId="0" borderId="68" xfId="80" applyNumberFormat="1" applyFont="1" applyFill="1" applyBorder="1"/>
    <xf numFmtId="3" fontId="141" fillId="48" borderId="18" xfId="80" applyNumberFormat="1" applyFont="1" applyFill="1" applyBorder="1"/>
    <xf numFmtId="0" fontId="141" fillId="0" borderId="13" xfId="80" applyFont="1" applyFill="1" applyBorder="1" applyAlignment="1">
      <alignment horizontal="center"/>
    </xf>
    <xf numFmtId="0" fontId="141" fillId="0" borderId="189" xfId="80" applyFont="1" applyFill="1" applyBorder="1" applyAlignment="1">
      <alignment horizontal="center"/>
    </xf>
    <xf numFmtId="0" fontId="141" fillId="0" borderId="204" xfId="80" applyFont="1" applyFill="1" applyBorder="1" applyAlignment="1">
      <alignment horizontal="center"/>
    </xf>
    <xf numFmtId="0" fontId="141" fillId="0" borderId="199" xfId="80" applyFont="1" applyFill="1" applyBorder="1" applyAlignment="1">
      <alignment horizontal="center"/>
    </xf>
    <xf numFmtId="3" fontId="141" fillId="0" borderId="163" xfId="80" applyNumberFormat="1" applyFont="1" applyFill="1" applyBorder="1"/>
    <xf numFmtId="3" fontId="141" fillId="0" borderId="163" xfId="80" applyNumberFormat="1" applyFont="1" applyFill="1" applyBorder="1" applyAlignment="1">
      <alignment horizontal="right"/>
    </xf>
    <xf numFmtId="3" fontId="141" fillId="0" borderId="36" xfId="80" applyNumberFormat="1" applyFont="1" applyFill="1" applyBorder="1"/>
    <xf numFmtId="3" fontId="141" fillId="0" borderId="174" xfId="80" applyNumberFormat="1" applyFont="1" applyFill="1" applyBorder="1"/>
    <xf numFmtId="3" fontId="141" fillId="0" borderId="19" xfId="80" applyNumberFormat="1" applyFont="1" applyFill="1" applyBorder="1"/>
    <xf numFmtId="3" fontId="141" fillId="0" borderId="176" xfId="80" applyNumberFormat="1" applyFont="1" applyFill="1" applyBorder="1"/>
    <xf numFmtId="3" fontId="141" fillId="0" borderId="27" xfId="80" applyNumberFormat="1" applyFont="1" applyFill="1" applyBorder="1" applyAlignment="1">
      <alignment horizontal="right"/>
    </xf>
    <xf numFmtId="3" fontId="141" fillId="0" borderId="190" xfId="80" applyNumberFormat="1" applyFont="1" applyFill="1" applyBorder="1" applyAlignment="1">
      <alignment horizontal="right"/>
    </xf>
    <xf numFmtId="3" fontId="148" fillId="0" borderId="15" xfId="80" applyNumberFormat="1" applyFont="1" applyFill="1" applyBorder="1"/>
    <xf numFmtId="3" fontId="148" fillId="0" borderId="163" xfId="80" applyNumberFormat="1" applyFont="1" applyFill="1" applyBorder="1"/>
    <xf numFmtId="0" fontId="141" fillId="0" borderId="15" xfId="80" applyFont="1" applyFill="1" applyBorder="1"/>
    <xf numFmtId="0" fontId="141" fillId="0" borderId="163" xfId="80" applyFont="1" applyFill="1" applyBorder="1"/>
    <xf numFmtId="3" fontId="141" fillId="0" borderId="36" xfId="80" applyNumberFormat="1" applyFont="1" applyFill="1" applyBorder="1" applyAlignment="1">
      <alignment horizontal="right"/>
    </xf>
    <xf numFmtId="3" fontId="141" fillId="0" borderId="174" xfId="80" applyNumberFormat="1" applyFont="1" applyFill="1" applyBorder="1" applyAlignment="1">
      <alignment horizontal="right"/>
    </xf>
    <xf numFmtId="3" fontId="141" fillId="0" borderId="27" xfId="80" applyNumberFormat="1" applyFont="1" applyFill="1" applyBorder="1"/>
    <xf numFmtId="3" fontId="141" fillId="0" borderId="190" xfId="80" applyNumberFormat="1" applyFont="1" applyFill="1" applyBorder="1"/>
    <xf numFmtId="0" fontId="67" fillId="0" borderId="43" xfId="0" applyFont="1" applyBorder="1" applyAlignment="1">
      <alignment horizontal="center"/>
    </xf>
    <xf numFmtId="0" fontId="67" fillId="0" borderId="107" xfId="0" applyFont="1" applyBorder="1" applyAlignment="1">
      <alignment horizontal="center"/>
    </xf>
    <xf numFmtId="3" fontId="67" fillId="0" borderId="142" xfId="0" applyNumberFormat="1" applyFont="1" applyBorder="1"/>
    <xf numFmtId="3" fontId="65" fillId="0" borderId="52" xfId="0" applyNumberFormat="1" applyFont="1" applyBorder="1"/>
    <xf numFmtId="3" fontId="67" fillId="0" borderId="54" xfId="0" applyNumberFormat="1" applyFont="1" applyBorder="1"/>
    <xf numFmtId="3" fontId="67" fillId="0" borderId="84" xfId="0" applyNumberFormat="1" applyFont="1" applyBorder="1"/>
    <xf numFmtId="3" fontId="66" fillId="0" borderId="55" xfId="0" applyNumberFormat="1" applyFont="1" applyBorder="1"/>
    <xf numFmtId="3" fontId="67" fillId="0" borderId="29" xfId="0" applyNumberFormat="1" applyFont="1" applyBorder="1"/>
    <xf numFmtId="3" fontId="67" fillId="0" borderId="87" xfId="0" applyNumberFormat="1" applyFont="1" applyBorder="1"/>
    <xf numFmtId="3" fontId="66" fillId="0" borderId="81" xfId="0" applyNumberFormat="1" applyFont="1" applyBorder="1"/>
    <xf numFmtId="0" fontId="65" fillId="35" borderId="10" xfId="0" applyFont="1" applyFill="1" applyBorder="1"/>
    <xf numFmtId="168" fontId="65" fillId="0" borderId="0" xfId="0" applyNumberFormat="1" applyFont="1"/>
    <xf numFmtId="2" fontId="65" fillId="0" borderId="0" xfId="0" applyNumberFormat="1" applyFont="1"/>
    <xf numFmtId="0" fontId="80" fillId="0" borderId="67" xfId="0" applyFont="1" applyFill="1" applyBorder="1" applyAlignment="1"/>
    <xf numFmtId="165" fontId="66" fillId="0" borderId="10" xfId="0" applyNumberFormat="1" applyFont="1" applyFill="1" applyBorder="1"/>
    <xf numFmtId="3" fontId="65" fillId="43" borderId="63" xfId="0" applyNumberFormat="1" applyFont="1" applyFill="1" applyBorder="1"/>
    <xf numFmtId="3" fontId="65" fillId="36" borderId="65" xfId="0" applyNumberFormat="1" applyFont="1" applyFill="1" applyBorder="1"/>
    <xf numFmtId="3" fontId="65" fillId="43" borderId="65" xfId="0" applyNumberFormat="1" applyFont="1" applyFill="1" applyBorder="1"/>
    <xf numFmtId="3" fontId="65" fillId="41" borderId="65" xfId="0" applyNumberFormat="1" applyFont="1" applyFill="1" applyBorder="1"/>
    <xf numFmtId="3" fontId="65" fillId="36" borderId="16" xfId="0" applyNumberFormat="1" applyFont="1" applyFill="1" applyBorder="1"/>
    <xf numFmtId="3" fontId="65" fillId="43" borderId="16" xfId="0" applyNumberFormat="1" applyFont="1" applyFill="1" applyBorder="1"/>
    <xf numFmtId="3" fontId="65" fillId="41" borderId="16" xfId="0" applyNumberFormat="1" applyFont="1" applyFill="1" applyBorder="1"/>
    <xf numFmtId="49" fontId="160" fillId="0" borderId="57" xfId="80" applyNumberFormat="1" applyFont="1" applyFill="1" applyBorder="1" applyAlignment="1">
      <alignment horizontal="left" wrapText="1"/>
    </xf>
    <xf numFmtId="3" fontId="90" fillId="0" borderId="118" xfId="0" applyNumberFormat="1" applyFont="1" applyFill="1" applyBorder="1"/>
    <xf numFmtId="3" fontId="90" fillId="0" borderId="121" xfId="0" applyNumberFormat="1" applyFont="1" applyFill="1" applyBorder="1"/>
    <xf numFmtId="3" fontId="141" fillId="26" borderId="61" xfId="0" applyNumberFormat="1" applyFont="1" applyFill="1" applyBorder="1"/>
    <xf numFmtId="0" fontId="59" fillId="0" borderId="27" xfId="0" applyFont="1" applyBorder="1"/>
    <xf numFmtId="4" fontId="59" fillId="0" borderId="12" xfId="0" applyNumberFormat="1" applyFont="1" applyFill="1" applyBorder="1"/>
    <xf numFmtId="4" fontId="59" fillId="36" borderId="12" xfId="0" applyNumberFormat="1" applyFont="1" applyFill="1" applyBorder="1"/>
    <xf numFmtId="10" fontId="59" fillId="0" borderId="12" xfId="0" applyNumberFormat="1" applyFont="1" applyBorder="1"/>
    <xf numFmtId="4" fontId="59" fillId="0" borderId="12" xfId="0" applyNumberFormat="1" applyFont="1" applyBorder="1"/>
    <xf numFmtId="3" fontId="59" fillId="0" borderId="12" xfId="0" applyNumberFormat="1" applyFont="1" applyFill="1" applyBorder="1"/>
    <xf numFmtId="4" fontId="59" fillId="36" borderId="35" xfId="0" applyNumberFormat="1" applyFont="1" applyFill="1" applyBorder="1"/>
    <xf numFmtId="3" fontId="59" fillId="40" borderId="35" xfId="0" applyNumberFormat="1" applyFont="1" applyFill="1" applyBorder="1"/>
    <xf numFmtId="0" fontId="59" fillId="0" borderId="19" xfId="0" applyFont="1" applyBorder="1"/>
    <xf numFmtId="0" fontId="59" fillId="0" borderId="20" xfId="0" applyFont="1" applyBorder="1" applyAlignment="1">
      <alignment horizontal="center" wrapText="1"/>
    </xf>
    <xf numFmtId="0" fontId="59" fillId="36" borderId="20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9" fillId="36" borderId="114" xfId="0" applyFont="1" applyFill="1" applyBorder="1" applyAlignment="1">
      <alignment horizontal="center" wrapText="1"/>
    </xf>
    <xf numFmtId="0" fontId="59" fillId="40" borderId="114" xfId="0" applyFont="1" applyFill="1" applyBorder="1" applyAlignment="1">
      <alignment horizontal="center" wrapText="1"/>
    </xf>
    <xf numFmtId="4" fontId="66" fillId="0" borderId="27" xfId="0" applyNumberFormat="1" applyFont="1" applyFill="1" applyBorder="1"/>
    <xf numFmtId="166" fontId="66" fillId="0" borderId="12" xfId="0" applyNumberFormat="1" applyFont="1" applyFill="1" applyBorder="1"/>
    <xf numFmtId="3" fontId="66" fillId="42" borderId="35" xfId="0" applyNumberFormat="1" applyFont="1" applyFill="1" applyBorder="1"/>
    <xf numFmtId="4" fontId="66" fillId="0" borderId="12" xfId="0" applyNumberFormat="1" applyFont="1" applyFill="1" applyBorder="1"/>
    <xf numFmtId="3" fontId="66" fillId="0" borderId="12" xfId="0" applyNumberFormat="1" applyFont="1" applyFill="1" applyBorder="1"/>
    <xf numFmtId="165" fontId="66" fillId="0" borderId="12" xfId="0" applyNumberFormat="1" applyFont="1" applyFill="1" applyBorder="1"/>
    <xf numFmtId="3" fontId="66" fillId="0" borderId="27" xfId="0" applyNumberFormat="1" applyFont="1" applyFill="1" applyBorder="1"/>
    <xf numFmtId="3" fontId="66" fillId="26" borderId="191" xfId="0" applyNumberFormat="1" applyFont="1" applyFill="1" applyBorder="1"/>
    <xf numFmtId="0" fontId="66" fillId="0" borderId="48" xfId="0" applyFont="1" applyFill="1" applyBorder="1" applyAlignment="1">
      <alignment horizontal="center" wrapText="1"/>
    </xf>
    <xf numFmtId="0" fontId="66" fillId="0" borderId="43" xfId="0" applyFont="1" applyFill="1" applyBorder="1" applyAlignment="1">
      <alignment horizontal="center" wrapText="1"/>
    </xf>
    <xf numFmtId="49" fontId="66" fillId="0" borderId="19" xfId="0" applyNumberFormat="1" applyFont="1" applyFill="1" applyBorder="1" applyAlignment="1">
      <alignment horizontal="center" vertical="top" wrapText="1"/>
    </xf>
    <xf numFmtId="49" fontId="66" fillId="0" borderId="20" xfId="0" applyNumberFormat="1" applyFont="1" applyFill="1" applyBorder="1" applyAlignment="1">
      <alignment horizontal="center" vertical="top" wrapText="1"/>
    </xf>
    <xf numFmtId="49" fontId="66" fillId="42" borderId="114" xfId="0" applyNumberFormat="1" applyFont="1" applyFill="1" applyBorder="1" applyAlignment="1">
      <alignment horizontal="center" vertical="top" wrapText="1"/>
    </xf>
    <xf numFmtId="49" fontId="66" fillId="26" borderId="50" xfId="0" applyNumberFormat="1" applyFont="1" applyFill="1" applyBorder="1" applyAlignment="1">
      <alignment horizontal="center" wrapText="1"/>
    </xf>
    <xf numFmtId="3" fontId="164" fillId="0" borderId="37" xfId="0" applyNumberFormat="1" applyFont="1" applyFill="1" applyBorder="1"/>
    <xf numFmtId="3" fontId="68" fillId="0" borderId="38" xfId="0" applyNumberFormat="1" applyFont="1" applyFill="1" applyBorder="1"/>
    <xf numFmtId="3" fontId="67" fillId="0" borderId="38" xfId="0" applyNumberFormat="1" applyFont="1" applyFill="1" applyBorder="1"/>
    <xf numFmtId="0" fontId="71" fillId="0" borderId="60" xfId="0" applyFont="1" applyFill="1" applyBorder="1"/>
    <xf numFmtId="3" fontId="68" fillId="0" borderId="17" xfId="0" applyNumberFormat="1" applyFont="1" applyFill="1" applyBorder="1"/>
    <xf numFmtId="3" fontId="68" fillId="0" borderId="18" xfId="0" applyNumberFormat="1" applyFont="1" applyFill="1" applyBorder="1"/>
    <xf numFmtId="3" fontId="68" fillId="0" borderId="23" xfId="0" applyNumberFormat="1" applyFont="1" applyFill="1" applyBorder="1"/>
    <xf numFmtId="3" fontId="68" fillId="0" borderId="164" xfId="0" applyNumberFormat="1" applyFont="1" applyFill="1" applyBorder="1"/>
    <xf numFmtId="0" fontId="71" fillId="0" borderId="17" xfId="0" applyFont="1" applyFill="1" applyBorder="1"/>
    <xf numFmtId="3" fontId="76" fillId="0" borderId="0" xfId="0" applyNumberFormat="1" applyFont="1" applyFill="1"/>
    <xf numFmtId="0" fontId="45" fillId="0" borderId="27" xfId="0" applyFont="1" applyBorder="1"/>
    <xf numFmtId="3" fontId="45" fillId="0" borderId="12" xfId="0" applyNumberFormat="1" applyFont="1" applyBorder="1"/>
    <xf numFmtId="3" fontId="45" fillId="0" borderId="35" xfId="0" applyNumberFormat="1" applyFont="1" applyBorder="1"/>
    <xf numFmtId="0" fontId="0" fillId="0" borderId="19" xfId="0" applyBorder="1"/>
    <xf numFmtId="0" fontId="128" fillId="0" borderId="20" xfId="0" applyFont="1" applyBorder="1" applyAlignment="1">
      <alignment horizontal="center"/>
    </xf>
    <xf numFmtId="0" fontId="128" fillId="0" borderId="114" xfId="0" applyFont="1" applyBorder="1" applyAlignment="1">
      <alignment horizontal="center"/>
    </xf>
    <xf numFmtId="0" fontId="45" fillId="0" borderId="36" xfId="0" applyFont="1" applyBorder="1"/>
    <xf numFmtId="3" fontId="45" fillId="0" borderId="37" xfId="0" applyNumberFormat="1" applyFont="1" applyBorder="1"/>
    <xf numFmtId="3" fontId="45" fillId="0" borderId="37" xfId="0" applyNumberFormat="1" applyFont="1" applyFill="1" applyBorder="1"/>
    <xf numFmtId="3" fontId="45" fillId="0" borderId="38" xfId="0" applyNumberFormat="1" applyFont="1" applyBorder="1"/>
    <xf numFmtId="0" fontId="43" fillId="0" borderId="17" xfId="0" applyFont="1" applyBorder="1"/>
    <xf numFmtId="3" fontId="43" fillId="0" borderId="18" xfId="0" applyNumberFormat="1" applyFont="1" applyBorder="1"/>
    <xf numFmtId="3" fontId="43" fillId="0" borderId="23" xfId="0" applyNumberFormat="1" applyFont="1" applyBorder="1"/>
    <xf numFmtId="0" fontId="67" fillId="0" borderId="143" xfId="0" applyFont="1" applyBorder="1" applyAlignment="1">
      <alignment horizontal="center"/>
    </xf>
    <xf numFmtId="0" fontId="67" fillId="0" borderId="40" xfId="0" applyFont="1" applyBorder="1" applyAlignment="1">
      <alignment horizontal="center" wrapText="1"/>
    </xf>
    <xf numFmtId="0" fontId="67" fillId="0" borderId="40" xfId="0" applyFont="1" applyBorder="1" applyAlignment="1">
      <alignment horizontal="center"/>
    </xf>
    <xf numFmtId="0" fontId="67" fillId="40" borderId="40" xfId="0" applyFont="1" applyFill="1" applyBorder="1" applyAlignment="1">
      <alignment horizontal="center"/>
    </xf>
    <xf numFmtId="0" fontId="67" fillId="36" borderId="40" xfId="0" applyFont="1" applyFill="1" applyBorder="1" applyAlignment="1">
      <alignment horizontal="center"/>
    </xf>
    <xf numFmtId="0" fontId="67" fillId="40" borderId="41" xfId="0" applyFont="1" applyFill="1" applyBorder="1" applyAlignment="1">
      <alignment horizontal="center"/>
    </xf>
    <xf numFmtId="0" fontId="0" fillId="0" borderId="0" xfId="0" applyFill="1"/>
    <xf numFmtId="0" fontId="42" fillId="0" borderId="14" xfId="0" applyFont="1" applyFill="1" applyBorder="1" applyAlignment="1">
      <alignment horizontal="center"/>
    </xf>
    <xf numFmtId="0" fontId="128" fillId="0" borderId="20" xfId="0" applyFont="1" applyFill="1" applyBorder="1" applyAlignment="1">
      <alignment horizontal="center"/>
    </xf>
    <xf numFmtId="3" fontId="45" fillId="0" borderId="12" xfId="0" applyNumberFormat="1" applyFont="1" applyFill="1" applyBorder="1"/>
    <xf numFmtId="3" fontId="45" fillId="0" borderId="10" xfId="0" applyNumberFormat="1" applyFont="1" applyFill="1" applyBorder="1"/>
    <xf numFmtId="3" fontId="43" fillId="0" borderId="18" xfId="0" applyNumberFormat="1" applyFont="1" applyFill="1" applyBorder="1"/>
    <xf numFmtId="3" fontId="46" fillId="0" borderId="10" xfId="0" applyNumberFormat="1" applyFont="1" applyFill="1" applyBorder="1"/>
    <xf numFmtId="0" fontId="42" fillId="0" borderId="0" xfId="100" applyFont="1"/>
    <xf numFmtId="0" fontId="2" fillId="0" borderId="0" xfId="100"/>
    <xf numFmtId="3" fontId="54" fillId="29" borderId="61" xfId="100" applyNumberFormat="1" applyFont="1" applyFill="1" applyBorder="1"/>
    <xf numFmtId="0" fontId="46" fillId="0" borderId="0" xfId="100" applyFont="1" applyAlignment="1">
      <alignment horizontal="right"/>
    </xf>
    <xf numFmtId="0" fontId="65" fillId="0" borderId="42" xfId="100" applyFont="1" applyBorder="1"/>
    <xf numFmtId="0" fontId="65" fillId="0" borderId="44" xfId="100" applyFont="1" applyBorder="1"/>
    <xf numFmtId="0" fontId="65" fillId="0" borderId="45" xfId="100" applyFont="1" applyBorder="1"/>
    <xf numFmtId="0" fontId="71" fillId="29" borderId="46" xfId="100" applyFont="1" applyFill="1" applyBorder="1" applyAlignment="1">
      <alignment horizontal="center"/>
    </xf>
    <xf numFmtId="0" fontId="65" fillId="0" borderId="48" xfId="100" applyFont="1" applyBorder="1" applyAlignment="1">
      <alignment horizontal="center"/>
    </xf>
    <xf numFmtId="0" fontId="65" fillId="0" borderId="49" xfId="100" applyFont="1" applyBorder="1"/>
    <xf numFmtId="0" fontId="65" fillId="0" borderId="43" xfId="100" applyFont="1" applyBorder="1"/>
    <xf numFmtId="0" fontId="71" fillId="29" borderId="50" xfId="100" applyFont="1" applyFill="1" applyBorder="1" applyAlignment="1">
      <alignment horizontal="center"/>
    </xf>
    <xf numFmtId="0" fontId="65" fillId="0" borderId="42" xfId="100" applyFont="1" applyBorder="1" applyAlignment="1">
      <alignment horizontal="center"/>
    </xf>
    <xf numFmtId="0" fontId="65" fillId="0" borderId="45" xfId="100" applyFont="1" applyBorder="1" applyAlignment="1">
      <alignment horizontal="right"/>
    </xf>
    <xf numFmtId="0" fontId="65" fillId="0" borderId="44" xfId="100" applyFont="1" applyBorder="1" applyAlignment="1">
      <alignment horizontal="center" wrapText="1"/>
    </xf>
    <xf numFmtId="0" fontId="65" fillId="0" borderId="36" xfId="100" applyFont="1" applyBorder="1" applyAlignment="1">
      <alignment horizontal="center"/>
    </xf>
    <xf numFmtId="0" fontId="65" fillId="0" borderId="37" xfId="100" applyFont="1" applyBorder="1" applyAlignment="1">
      <alignment horizontal="center"/>
    </xf>
    <xf numFmtId="0" fontId="65" fillId="0" borderId="82" xfId="100" applyFont="1" applyBorder="1"/>
    <xf numFmtId="10" fontId="65" fillId="0" borderId="162" xfId="100" applyNumberFormat="1" applyFont="1" applyBorder="1"/>
    <xf numFmtId="3" fontId="71" fillId="29" borderId="166" xfId="100" applyNumberFormat="1" applyFont="1" applyFill="1" applyBorder="1"/>
    <xf numFmtId="0" fontId="65" fillId="0" borderId="80" xfId="100" applyFont="1" applyBorder="1" applyAlignment="1">
      <alignment horizontal="center"/>
    </xf>
    <xf numFmtId="0" fontId="65" fillId="0" borderId="135" xfId="100" applyFont="1" applyBorder="1" applyAlignment="1">
      <alignment horizontal="center"/>
    </xf>
    <xf numFmtId="0" fontId="65" fillId="0" borderId="29" xfId="100" applyFont="1" applyBorder="1"/>
    <xf numFmtId="0" fontId="65" fillId="0" borderId="25" xfId="100" applyFont="1" applyBorder="1" applyAlignment="1">
      <alignment horizontal="center"/>
    </xf>
    <xf numFmtId="0" fontId="65" fillId="0" borderId="27" xfId="100" applyFont="1" applyBorder="1" applyAlignment="1">
      <alignment horizontal="center"/>
    </xf>
    <xf numFmtId="0" fontId="65" fillId="0" borderId="187" xfId="100" applyFont="1" applyBorder="1" applyAlignment="1">
      <alignment horizontal="center"/>
    </xf>
    <xf numFmtId="0" fontId="65" fillId="0" borderId="136" xfId="100" applyFont="1" applyBorder="1"/>
    <xf numFmtId="10" fontId="65" fillId="40" borderId="163" xfId="100" applyNumberFormat="1" applyFont="1" applyFill="1" applyBorder="1"/>
    <xf numFmtId="3" fontId="71" fillId="40" borderId="65" xfId="100" applyNumberFormat="1" applyFont="1" applyFill="1" applyBorder="1"/>
    <xf numFmtId="0" fontId="65" fillId="0" borderId="15" xfId="100" applyFont="1" applyBorder="1" applyAlignment="1">
      <alignment horizontal="center"/>
    </xf>
    <xf numFmtId="0" fontId="65" fillId="0" borderId="10" xfId="100" applyFont="1" applyBorder="1" applyAlignment="1">
      <alignment horizontal="center"/>
    </xf>
    <xf numFmtId="0" fontId="65" fillId="0" borderId="10" xfId="100" applyFont="1" applyBorder="1"/>
    <xf numFmtId="0" fontId="65" fillId="0" borderId="82" xfId="100" applyFont="1" applyBorder="1" applyAlignment="1">
      <alignment horizontal="center"/>
    </xf>
    <xf numFmtId="0" fontId="47" fillId="40" borderId="174" xfId="100" applyFont="1" applyFill="1" applyBorder="1"/>
    <xf numFmtId="3" fontId="99" fillId="40" borderId="74" xfId="100" applyNumberFormat="1" applyFont="1" applyFill="1" applyBorder="1"/>
    <xf numFmtId="0" fontId="65" fillId="0" borderId="17" xfId="100" applyFont="1" applyBorder="1" applyAlignment="1">
      <alignment horizontal="center"/>
    </xf>
    <xf numFmtId="0" fontId="65" fillId="0" borderId="18" xfId="100" applyFont="1" applyBorder="1" applyAlignment="1">
      <alignment horizontal="center"/>
    </xf>
    <xf numFmtId="0" fontId="65" fillId="0" borderId="31" xfId="100" applyFont="1" applyBorder="1"/>
    <xf numFmtId="10" fontId="65" fillId="0" borderId="60" xfId="100" applyNumberFormat="1" applyFont="1" applyBorder="1"/>
    <xf numFmtId="3" fontId="71" fillId="29" borderId="61" xfId="100" applyNumberFormat="1" applyFont="1" applyFill="1" applyBorder="1"/>
    <xf numFmtId="169" fontId="2" fillId="0" borderId="0" xfId="100" applyNumberFormat="1"/>
    <xf numFmtId="10" fontId="65" fillId="0" borderId="119" xfId="100" applyNumberFormat="1" applyFont="1" applyBorder="1"/>
    <xf numFmtId="3" fontId="71" fillId="29" borderId="81" xfId="100" applyNumberFormat="1" applyFont="1" applyFill="1" applyBorder="1"/>
    <xf numFmtId="10" fontId="65" fillId="0" borderId="141" xfId="100" applyNumberFormat="1" applyFont="1" applyBorder="1"/>
    <xf numFmtId="3" fontId="71" fillId="29" borderId="148" xfId="100" applyNumberFormat="1" applyFont="1" applyFill="1" applyBorder="1"/>
    <xf numFmtId="10" fontId="65" fillId="0" borderId="163" xfId="100" applyNumberFormat="1" applyFont="1" applyBorder="1"/>
    <xf numFmtId="3" fontId="71" fillId="29" borderId="65" xfId="100" applyNumberFormat="1" applyFont="1" applyFill="1" applyBorder="1"/>
    <xf numFmtId="10" fontId="65" fillId="0" borderId="174" xfId="100" applyNumberFormat="1" applyFont="1" applyBorder="1"/>
    <xf numFmtId="3" fontId="71" fillId="29" borderId="74" xfId="100" applyNumberFormat="1" applyFont="1" applyFill="1" applyBorder="1"/>
    <xf numFmtId="3" fontId="165" fillId="45" borderId="15" xfId="0" applyNumberFormat="1" applyFont="1" applyFill="1" applyBorder="1"/>
    <xf numFmtId="0" fontId="141" fillId="0" borderId="44" xfId="80" applyFont="1" applyFill="1" applyBorder="1" applyAlignment="1">
      <alignment horizontal="center"/>
    </xf>
    <xf numFmtId="0" fontId="141" fillId="0" borderId="174" xfId="80" applyFont="1" applyFill="1" applyBorder="1" applyAlignment="1">
      <alignment horizontal="center"/>
    </xf>
    <xf numFmtId="49" fontId="143" fillId="0" borderId="36" xfId="80" applyNumberFormat="1" applyFont="1" applyFill="1" applyBorder="1" applyAlignment="1">
      <alignment horizontal="center"/>
    </xf>
    <xf numFmtId="0" fontId="31" fillId="0" borderId="0" xfId="0" applyFont="1" applyFill="1"/>
    <xf numFmtId="0" fontId="166" fillId="0" borderId="0" xfId="101" applyFont="1"/>
    <xf numFmtId="0" fontId="1" fillId="0" borderId="0" xfId="101"/>
    <xf numFmtId="0" fontId="167" fillId="0" borderId="0" xfId="101" applyFont="1"/>
    <xf numFmtId="14" fontId="1" fillId="0" borderId="0" xfId="101" applyNumberFormat="1"/>
    <xf numFmtId="0" fontId="128" fillId="50" borderId="39" xfId="101" applyFont="1" applyFill="1" applyBorder="1" applyAlignment="1">
      <alignment horizontal="right"/>
    </xf>
    <xf numFmtId="3" fontId="128" fillId="50" borderId="62" xfId="101" applyNumberFormat="1" applyFont="1" applyFill="1" applyBorder="1"/>
    <xf numFmtId="0" fontId="115" fillId="0" borderId="0" xfId="101" applyFont="1"/>
    <xf numFmtId="0" fontId="128" fillId="51" borderId="10" xfId="101" applyFont="1" applyFill="1" applyBorder="1"/>
    <xf numFmtId="3" fontId="118" fillId="0" borderId="10" xfId="101" applyNumberFormat="1" applyFont="1" applyFill="1" applyBorder="1" applyAlignment="1">
      <alignment horizontal="center" vertical="center"/>
    </xf>
    <xf numFmtId="3" fontId="118" fillId="0" borderId="10" xfId="101" applyNumberFormat="1" applyFont="1" applyFill="1" applyBorder="1" applyAlignment="1">
      <alignment vertical="center"/>
    </xf>
    <xf numFmtId="3" fontId="168" fillId="51" borderId="163" xfId="101" applyNumberFormat="1" applyFont="1" applyFill="1" applyBorder="1" applyAlignment="1">
      <alignment horizontal="center" vertical="center"/>
    </xf>
    <xf numFmtId="3" fontId="168" fillId="51" borderId="10" xfId="101" applyNumberFormat="1" applyFont="1" applyFill="1" applyBorder="1" applyAlignment="1">
      <alignment vertical="center"/>
    </xf>
    <xf numFmtId="0" fontId="1" fillId="0" borderId="0" xfId="101" applyFill="1"/>
    <xf numFmtId="3" fontId="168" fillId="51" borderId="71" xfId="101" applyNumberFormat="1" applyFont="1" applyFill="1" applyBorder="1" applyAlignment="1">
      <alignment horizontal="center" vertical="center"/>
    </xf>
    <xf numFmtId="3" fontId="67" fillId="0" borderId="37" xfId="0" applyNumberFormat="1" applyFont="1" applyFill="1" applyBorder="1"/>
    <xf numFmtId="0" fontId="137" fillId="0" borderId="14" xfId="0" applyFont="1" applyFill="1" applyBorder="1" applyAlignment="1">
      <alignment horizontal="center"/>
    </xf>
    <xf numFmtId="0" fontId="137" fillId="0" borderId="21" xfId="0" applyFont="1" applyFill="1" applyBorder="1" applyAlignment="1">
      <alignment horizontal="center"/>
    </xf>
    <xf numFmtId="0" fontId="137" fillId="36" borderId="46" xfId="0" applyFont="1" applyFill="1" applyBorder="1" applyAlignment="1">
      <alignment horizontal="center"/>
    </xf>
    <xf numFmtId="0" fontId="137" fillId="43" borderId="46" xfId="0" applyFont="1" applyFill="1" applyBorder="1" applyAlignment="1">
      <alignment horizontal="center"/>
    </xf>
    <xf numFmtId="0" fontId="137" fillId="41" borderId="46" xfId="0" applyFont="1" applyFill="1" applyBorder="1" applyAlignment="1">
      <alignment horizontal="center"/>
    </xf>
    <xf numFmtId="0" fontId="137" fillId="0" borderId="20" xfId="0" applyFont="1" applyFill="1" applyBorder="1" applyAlignment="1">
      <alignment horizontal="center" wrapText="1"/>
    </xf>
    <xf numFmtId="0" fontId="137" fillId="0" borderId="114" xfId="0" applyFont="1" applyFill="1" applyBorder="1" applyAlignment="1">
      <alignment horizontal="center" wrapText="1"/>
    </xf>
    <xf numFmtId="0" fontId="137" fillId="36" borderId="50" xfId="0" applyFont="1" applyFill="1" applyBorder="1" applyAlignment="1">
      <alignment horizontal="center"/>
    </xf>
    <xf numFmtId="0" fontId="137" fillId="43" borderId="50" xfId="0" applyFont="1" applyFill="1" applyBorder="1" applyAlignment="1">
      <alignment horizontal="center"/>
    </xf>
    <xf numFmtId="0" fontId="137" fillId="41" borderId="50" xfId="0" applyFont="1" applyFill="1" applyBorder="1" applyAlignment="1">
      <alignment horizontal="center"/>
    </xf>
    <xf numFmtId="1" fontId="118" fillId="0" borderId="10" xfId="101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143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wrapText="1"/>
    </xf>
    <xf numFmtId="0" fontId="66" fillId="0" borderId="45" xfId="0" applyFont="1" applyBorder="1" applyAlignment="1">
      <alignment wrapText="1"/>
    </xf>
    <xf numFmtId="0" fontId="67" fillId="0" borderId="42" xfId="0" applyFont="1" applyFill="1" applyBorder="1" applyAlignment="1">
      <alignment wrapText="1"/>
    </xf>
    <xf numFmtId="0" fontId="67" fillId="0" borderId="45" xfId="0" applyFont="1" applyBorder="1" applyAlignment="1">
      <alignment wrapText="1"/>
    </xf>
    <xf numFmtId="0" fontId="67" fillId="0" borderId="57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6" fillId="0" borderId="69" xfId="0" applyFont="1" applyFill="1" applyBorder="1" applyAlignment="1">
      <alignment horizontal="center" wrapText="1"/>
    </xf>
    <xf numFmtId="0" fontId="66" fillId="0" borderId="193" xfId="0" applyFont="1" applyFill="1" applyBorder="1" applyAlignment="1">
      <alignment horizontal="center" wrapText="1"/>
    </xf>
    <xf numFmtId="49" fontId="66" fillId="26" borderId="46" xfId="0" applyNumberFormat="1" applyFont="1" applyFill="1" applyBorder="1" applyAlignment="1">
      <alignment horizontal="center" wrapText="1"/>
    </xf>
    <xf numFmtId="49" fontId="66" fillId="26" borderId="191" xfId="0" applyNumberFormat="1" applyFont="1" applyFill="1" applyBorder="1" applyAlignment="1">
      <alignment horizontal="center" wrapText="1"/>
    </xf>
    <xf numFmtId="0" fontId="65" fillId="0" borderId="0" xfId="0" applyFont="1" applyAlignment="1">
      <alignment horizontal="left" vertical="top" wrapText="1"/>
    </xf>
    <xf numFmtId="0" fontId="71" fillId="0" borderId="60" xfId="0" applyFont="1" applyFill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62" xfId="0" applyFont="1" applyBorder="1" applyAlignment="1">
      <alignment horizontal="center"/>
    </xf>
    <xf numFmtId="0" fontId="71" fillId="0" borderId="66" xfId="0" applyFont="1" applyFill="1" applyBorder="1" applyAlignment="1">
      <alignment horizontal="center"/>
    </xf>
    <xf numFmtId="0" fontId="71" fillId="0" borderId="73" xfId="0" applyFont="1" applyFill="1" applyBorder="1" applyAlignment="1">
      <alignment horizontal="center"/>
    </xf>
    <xf numFmtId="0" fontId="71" fillId="0" borderId="67" xfId="0" applyFont="1" applyFill="1" applyBorder="1" applyAlignment="1">
      <alignment horizontal="center"/>
    </xf>
    <xf numFmtId="0" fontId="65" fillId="0" borderId="73" xfId="0" applyFont="1" applyFill="1" applyBorder="1" applyAlignment="1">
      <alignment horizontal="center"/>
    </xf>
    <xf numFmtId="0" fontId="65" fillId="0" borderId="67" xfId="0" applyFont="1" applyFill="1" applyBorder="1" applyAlignment="1">
      <alignment horizontal="center"/>
    </xf>
    <xf numFmtId="0" fontId="90" fillId="0" borderId="189" xfId="0" applyFont="1" applyFill="1" applyBorder="1" applyAlignment="1">
      <alignment horizontal="left"/>
    </xf>
    <xf numFmtId="0" fontId="65" fillId="0" borderId="73" xfId="0" applyFont="1" applyBorder="1" applyAlignment="1">
      <alignment horizontal="left"/>
    </xf>
    <xf numFmtId="0" fontId="65" fillId="0" borderId="67" xfId="0" applyFont="1" applyBorder="1" applyAlignment="1">
      <alignment horizontal="left"/>
    </xf>
    <xf numFmtId="0" fontId="65" fillId="0" borderId="48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90" fillId="0" borderId="98" xfId="0" applyFont="1" applyFill="1" applyBorder="1" applyAlignment="1">
      <alignment horizontal="center" wrapText="1"/>
    </xf>
    <xf numFmtId="0" fontId="90" fillId="0" borderId="100" xfId="0" applyFont="1" applyFill="1" applyBorder="1" applyAlignment="1">
      <alignment horizontal="center" wrapText="1"/>
    </xf>
    <xf numFmtId="0" fontId="90" fillId="0" borderId="102" xfId="0" applyFont="1" applyFill="1" applyBorder="1" applyAlignment="1">
      <alignment horizontal="center" wrapText="1"/>
    </xf>
    <xf numFmtId="3" fontId="90" fillId="36" borderId="98" xfId="0" applyNumberFormat="1" applyFont="1" applyFill="1" applyBorder="1" applyAlignment="1">
      <alignment horizontal="center" wrapText="1"/>
    </xf>
    <xf numFmtId="3" fontId="90" fillId="36" borderId="100" xfId="0" applyNumberFormat="1" applyFont="1" applyFill="1" applyBorder="1" applyAlignment="1">
      <alignment horizontal="center"/>
    </xf>
    <xf numFmtId="3" fontId="90" fillId="36" borderId="102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90" fillId="0" borderId="98" xfId="0" applyFont="1" applyFill="1" applyBorder="1" applyAlignment="1">
      <alignment horizontal="center" vertical="top" wrapText="1"/>
    </xf>
    <xf numFmtId="0" fontId="90" fillId="0" borderId="100" xfId="0" applyFont="1" applyFill="1" applyBorder="1" applyAlignment="1">
      <alignment horizontal="center" vertical="top" wrapText="1"/>
    </xf>
    <xf numFmtId="0" fontId="90" fillId="0" borderId="102" xfId="0" applyFont="1" applyFill="1" applyBorder="1" applyAlignment="1">
      <alignment horizontal="center" vertical="top" wrapText="1"/>
    </xf>
    <xf numFmtId="0" fontId="71" fillId="0" borderId="66" xfId="0" applyFont="1" applyBorder="1" applyAlignment="1">
      <alignment horizontal="center"/>
    </xf>
    <xf numFmtId="0" fontId="71" fillId="0" borderId="73" xfId="0" applyFont="1" applyBorder="1" applyAlignment="1">
      <alignment horizontal="center"/>
    </xf>
    <xf numFmtId="0" fontId="71" fillId="0" borderId="67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45" xfId="0" applyFont="1" applyBorder="1" applyAlignment="1">
      <alignment horizontal="center"/>
    </xf>
    <xf numFmtId="0" fontId="65" fillId="0" borderId="47" xfId="0" applyFont="1" applyBorder="1" applyAlignment="1">
      <alignment horizontal="center"/>
    </xf>
    <xf numFmtId="0" fontId="65" fillId="0" borderId="71" xfId="0" applyFont="1" applyBorder="1" applyAlignment="1">
      <alignment horizontal="center"/>
    </xf>
    <xf numFmtId="3" fontId="130" fillId="0" borderId="189" xfId="0" applyNumberFormat="1" applyFont="1" applyBorder="1" applyAlignment="1">
      <alignment horizontal="center" vertical="center"/>
    </xf>
    <xf numFmtId="3" fontId="130" fillId="0" borderId="73" xfId="0" applyNumberFormat="1" applyFont="1" applyBorder="1" applyAlignment="1">
      <alignment horizontal="center" vertical="center"/>
    </xf>
    <xf numFmtId="3" fontId="130" fillId="0" borderId="77" xfId="0" applyNumberFormat="1" applyFont="1" applyBorder="1" applyAlignment="1">
      <alignment horizontal="center" vertical="center"/>
    </xf>
    <xf numFmtId="0" fontId="78" fillId="0" borderId="190" xfId="0" applyFont="1" applyBorder="1" applyAlignment="1">
      <alignment horizontal="center"/>
    </xf>
    <xf numFmtId="0" fontId="78" fillId="0" borderId="70" xfId="0" applyFont="1" applyBorder="1" applyAlignment="1">
      <alignment horizontal="center"/>
    </xf>
    <xf numFmtId="3" fontId="78" fillId="0" borderId="189" xfId="0" applyNumberFormat="1" applyFont="1" applyBorder="1" applyAlignment="1">
      <alignment horizontal="center" vertical="center"/>
    </xf>
    <xf numFmtId="3" fontId="78" fillId="0" borderId="77" xfId="0" applyNumberFormat="1" applyFont="1" applyBorder="1" applyAlignment="1">
      <alignment horizontal="center" vertical="center"/>
    </xf>
    <xf numFmtId="0" fontId="65" fillId="0" borderId="163" xfId="0" applyFont="1" applyBorder="1" applyAlignment="1">
      <alignment horizontal="center"/>
    </xf>
    <xf numFmtId="0" fontId="65" fillId="0" borderId="66" xfId="0" applyFont="1" applyBorder="1" applyAlignment="1">
      <alignment horizontal="center"/>
    </xf>
    <xf numFmtId="0" fontId="65" fillId="0" borderId="73" xfId="0" applyFont="1" applyBorder="1" applyAlignment="1">
      <alignment horizontal="center"/>
    </xf>
    <xf numFmtId="0" fontId="65" fillId="0" borderId="67" xfId="0" applyFont="1" applyBorder="1" applyAlignment="1">
      <alignment horizontal="center"/>
    </xf>
    <xf numFmtId="3" fontId="65" fillId="0" borderId="190" xfId="0" applyNumberFormat="1" applyFont="1" applyBorder="1" applyAlignment="1">
      <alignment horizontal="center"/>
    </xf>
    <xf numFmtId="3" fontId="65" fillId="0" borderId="192" xfId="0" applyNumberFormat="1" applyFont="1" applyBorder="1" applyAlignment="1">
      <alignment horizontal="center"/>
    </xf>
    <xf numFmtId="0" fontId="78" fillId="0" borderId="77" xfId="0" applyFont="1" applyBorder="1" applyAlignment="1">
      <alignment horizontal="center" vertical="center"/>
    </xf>
    <xf numFmtId="3" fontId="78" fillId="0" borderId="163" xfId="0" applyNumberFormat="1" applyFont="1" applyBorder="1" applyAlignment="1">
      <alignment horizontal="center" vertical="center"/>
    </xf>
    <xf numFmtId="3" fontId="78" fillId="0" borderId="72" xfId="0" applyNumberFormat="1" applyFont="1" applyBorder="1" applyAlignment="1">
      <alignment horizontal="center" vertical="center"/>
    </xf>
    <xf numFmtId="3" fontId="78" fillId="0" borderId="71" xfId="0" applyNumberFormat="1" applyFont="1" applyBorder="1" applyAlignment="1">
      <alignment horizontal="center" vertical="center"/>
    </xf>
    <xf numFmtId="3" fontId="78" fillId="0" borderId="78" xfId="0" applyNumberFormat="1" applyFont="1" applyBorder="1" applyAlignment="1">
      <alignment horizontal="center" vertical="center"/>
    </xf>
    <xf numFmtId="0" fontId="65" fillId="0" borderId="68" xfId="0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77" xfId="0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65" fillId="0" borderId="97" xfId="0" applyFont="1" applyBorder="1" applyAlignment="1">
      <alignment horizontal="center"/>
    </xf>
    <xf numFmtId="0" fontId="67" fillId="0" borderId="85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3" fillId="0" borderId="101" xfId="0" applyFont="1" applyBorder="1" applyAlignment="1">
      <alignment horizontal="center"/>
    </xf>
    <xf numFmtId="0" fontId="65" fillId="40" borderId="64" xfId="100" applyFont="1" applyFill="1" applyBorder="1" applyAlignment="1">
      <alignment horizontal="left"/>
    </xf>
    <xf numFmtId="0" fontId="65" fillId="40" borderId="71" xfId="100" applyFont="1" applyFill="1" applyBorder="1" applyAlignment="1">
      <alignment horizontal="left"/>
    </xf>
    <xf numFmtId="0" fontId="65" fillId="40" borderId="72" xfId="100" applyFont="1" applyFill="1" applyBorder="1" applyAlignment="1">
      <alignment horizontal="left"/>
    </xf>
    <xf numFmtId="0" fontId="65" fillId="40" borderId="155" xfId="100" applyFont="1" applyFill="1" applyBorder="1" applyAlignment="1">
      <alignment horizontal="left"/>
    </xf>
    <xf numFmtId="0" fontId="65" fillId="40" borderId="82" xfId="100" applyFont="1" applyFill="1" applyBorder="1" applyAlignment="1">
      <alignment horizontal="left"/>
    </xf>
    <xf numFmtId="0" fontId="65" fillId="40" borderId="78" xfId="100" applyFont="1" applyFill="1" applyBorder="1" applyAlignment="1">
      <alignment horizontal="left"/>
    </xf>
    <xf numFmtId="0" fontId="67" fillId="40" borderId="44" xfId="0" applyFont="1" applyFill="1" applyBorder="1" applyAlignment="1">
      <alignment horizontal="center"/>
    </xf>
    <xf numFmtId="0" fontId="67" fillId="40" borderId="79" xfId="0" applyFont="1" applyFill="1" applyBorder="1" applyAlignment="1">
      <alignment horizontal="center"/>
    </xf>
    <xf numFmtId="0" fontId="67" fillId="40" borderId="11" xfId="0" applyFont="1" applyFill="1" applyBorder="1" applyAlignment="1">
      <alignment horizontal="center"/>
    </xf>
    <xf numFmtId="0" fontId="67" fillId="40" borderId="167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left"/>
    </xf>
    <xf numFmtId="0" fontId="69" fillId="0" borderId="62" xfId="0" applyFont="1" applyFill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9" fillId="0" borderId="62" xfId="0" applyFont="1" applyBorder="1" applyAlignment="1">
      <alignment horizontal="left"/>
    </xf>
    <xf numFmtId="0" fontId="67" fillId="0" borderId="32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</cellXfs>
  <cellStyles count="102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40 % – Zvýraznění1" xfId="13"/>
    <cellStyle name="40 % – Zvýraznění1 2" xfId="14"/>
    <cellStyle name="40 % – Zvýraznění2" xfId="15"/>
    <cellStyle name="40 % – Zvýraznění2 2" xfId="16"/>
    <cellStyle name="40 % – Zvýraznění3" xfId="17"/>
    <cellStyle name="40 % – Zvýraznění3 2" xfId="18"/>
    <cellStyle name="40 % – Zvýraznění4" xfId="19"/>
    <cellStyle name="40 % – Zvýraznění4 2" xfId="20"/>
    <cellStyle name="40 % – Zvýraznění5" xfId="21"/>
    <cellStyle name="40 % – Zvýraznění5 2" xfId="22"/>
    <cellStyle name="40 % – Zvýraznění6" xfId="23"/>
    <cellStyle name="40 % – Zvýraznění6 2" xfId="24"/>
    <cellStyle name="60 % – Zvýraznění1" xfId="25"/>
    <cellStyle name="60 % – Zvýraznění1 2" xfId="26"/>
    <cellStyle name="60 % – Zvýraznění2" xfId="27"/>
    <cellStyle name="60 % – Zvýraznění2 2" xfId="28"/>
    <cellStyle name="60 % – Zvýraznění3" xfId="29"/>
    <cellStyle name="60 % – Zvýraznění3 2" xfId="30"/>
    <cellStyle name="60 % – Zvýraznění4" xfId="31"/>
    <cellStyle name="60 % – Zvýraznění4 2" xfId="32"/>
    <cellStyle name="60 % – Zvýraznění5" xfId="33"/>
    <cellStyle name="60 % – Zvýraznění5 2" xfId="34"/>
    <cellStyle name="60 % – Zvýraznění6" xfId="35"/>
    <cellStyle name="60 % – Zvýraznění6 2" xfId="36"/>
    <cellStyle name="Celkem" xfId="37"/>
    <cellStyle name="Celkem 2" xfId="38"/>
    <cellStyle name="Comma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" xfId="46"/>
    <cellStyle name="Název 2" xfId="47"/>
    <cellStyle name="Neutrální 2" xfId="48"/>
    <cellStyle name="Normal 2" xfId="49"/>
    <cellStyle name="Normal 3" xfId="50"/>
    <cellStyle name="Normální" xfId="0" builtinId="0"/>
    <cellStyle name="Normální 10" xfId="51"/>
    <cellStyle name="Normální 11" xfId="52"/>
    <cellStyle name="Normální 12" xfId="101"/>
    <cellStyle name="normální 2" xfId="53"/>
    <cellStyle name="normální 2 2" xfId="54"/>
    <cellStyle name="normální 2 3" xfId="55"/>
    <cellStyle name="normální 2 3 2" xfId="56"/>
    <cellStyle name="normální 2 3 2 2" xfId="57"/>
    <cellStyle name="normální 2 3 2_PV III. Rozpis rozpočtu VŠ 2011_final_PV" xfId="58"/>
    <cellStyle name="normální 2 3_PV III. Rozpis rozpočtu VŠ 2011_final_PV" xfId="59"/>
    <cellStyle name="normální 2 4" xfId="60"/>
    <cellStyle name="normální 2 4 2" xfId="61"/>
    <cellStyle name="normální 2 4_PV III. Rozpis rozpočtu VŠ 2011_final_PV" xfId="62"/>
    <cellStyle name="normální 2 5" xfId="63"/>
    <cellStyle name="Normální 2 6" xfId="100"/>
    <cellStyle name="normální 2_CP2012" xfId="64"/>
    <cellStyle name="normální 3" xfId="65"/>
    <cellStyle name="normální 3 2" xfId="66"/>
    <cellStyle name="normální 3_CP2012" xfId="67"/>
    <cellStyle name="normální 4" xfId="68"/>
    <cellStyle name="normální 4 2" xfId="69"/>
    <cellStyle name="normální 4_PV Rozpis rozpočtu VŠ 2011 III - tabulkové přílohy" xfId="70"/>
    <cellStyle name="Normální 5" xfId="71"/>
    <cellStyle name="normální 5 2" xfId="72"/>
    <cellStyle name="Normální 6" xfId="73"/>
    <cellStyle name="Normální 6 2" xfId="74"/>
    <cellStyle name="normální 7" xfId="75"/>
    <cellStyle name="Normální 8" xfId="76"/>
    <cellStyle name="Normální 8 2" xfId="77"/>
    <cellStyle name="Normální 9" xfId="78"/>
    <cellStyle name="normální_model_rozpocet_23112009-1" xfId="79"/>
    <cellStyle name="normální_návrh CP k 23.11.03" xfId="80"/>
    <cellStyle name="Poznámka 2" xfId="81"/>
    <cellStyle name="procent 2" xfId="82"/>
    <cellStyle name="procent 3" xfId="83"/>
    <cellStyle name="procent 4" xfId="84"/>
    <cellStyle name="Procenta 2" xfId="85"/>
    <cellStyle name="Propojená buňka 2" xfId="86"/>
    <cellStyle name="Správně 2" xfId="87"/>
    <cellStyle name="Text upozornění" xfId="88"/>
    <cellStyle name="Text upozornění 2" xfId="89"/>
    <cellStyle name="Vstup 2" xfId="90"/>
    <cellStyle name="Výpočet 2" xfId="91"/>
    <cellStyle name="Výstup 2" xfId="92"/>
    <cellStyle name="Vysvětlující text 2" xfId="93"/>
    <cellStyle name="Zvýraznění 1 2" xfId="94"/>
    <cellStyle name="Zvýraznění 2 2" xfId="95"/>
    <cellStyle name="Zvýraznění 3 2" xfId="96"/>
    <cellStyle name="Zvýraznění 4 2" xfId="97"/>
    <cellStyle name="Zvýraznění 5 2" xfId="98"/>
    <cellStyle name="Zvýraznění 6 2" xfId="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55"/>
  <sheetViews>
    <sheetView showGridLines="0" workbookViewId="0"/>
  </sheetViews>
  <sheetFormatPr defaultColWidth="11.42578125" defaultRowHeight="12.75" x14ac:dyDescent="0.2"/>
  <cols>
    <col min="1" max="1" width="4.42578125" style="33" customWidth="1"/>
    <col min="2" max="2" width="10.140625" style="33" customWidth="1"/>
    <col min="3" max="3" width="13.5703125" style="33" customWidth="1"/>
    <col min="4" max="4" width="13.28515625" style="33" customWidth="1"/>
    <col min="5" max="5" width="12.7109375" style="33" customWidth="1"/>
    <col min="6" max="6" width="12.85546875" style="33" customWidth="1"/>
    <col min="7" max="7" width="12" style="33" customWidth="1"/>
    <col min="8" max="8" width="12.28515625" style="33" customWidth="1"/>
    <col min="9" max="9" width="11.5703125" style="33" customWidth="1"/>
    <col min="10" max="10" width="12.42578125" style="33" customWidth="1"/>
    <col min="11" max="11" width="11.28515625" style="33" customWidth="1"/>
    <col min="12" max="12" width="10" style="45" customWidth="1"/>
    <col min="13" max="13" width="10.5703125" style="33" customWidth="1"/>
    <col min="14" max="16384" width="11.42578125" style="33"/>
  </cols>
  <sheetData>
    <row r="1" spans="1:13" ht="26.25" x14ac:dyDescent="0.35">
      <c r="A1" s="117" t="s">
        <v>670</v>
      </c>
      <c r="B1" s="118"/>
      <c r="C1" s="44"/>
      <c r="D1" s="44"/>
      <c r="E1" s="44"/>
      <c r="F1" s="44"/>
      <c r="G1" s="44"/>
      <c r="H1" s="44"/>
      <c r="I1" s="44"/>
      <c r="J1" s="44"/>
      <c r="K1" s="44"/>
    </row>
    <row r="2" spans="1:13" ht="22.5" customHeight="1" x14ac:dyDescent="0.2">
      <c r="A2" s="1507" t="s">
        <v>669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</row>
    <row r="3" spans="1:13" ht="22.5" customHeight="1" thickBo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6.5" thickBot="1" x14ac:dyDescent="0.3">
      <c r="A4" s="105" t="s">
        <v>177</v>
      </c>
      <c r="B4" s="44"/>
      <c r="C4" s="44"/>
      <c r="D4" s="44"/>
      <c r="E4" s="44"/>
      <c r="G4" s="664">
        <v>0.76</v>
      </c>
      <c r="H4" s="665">
        <v>0.24</v>
      </c>
      <c r="I4" s="121"/>
      <c r="J4" s="45"/>
      <c r="K4" s="45"/>
      <c r="L4" s="120"/>
    </row>
    <row r="5" spans="1:13" x14ac:dyDescent="0.2">
      <c r="A5" s="122"/>
      <c r="B5" s="123"/>
      <c r="C5" s="124"/>
      <c r="D5" s="125"/>
      <c r="E5" s="126"/>
      <c r="F5" s="127"/>
      <c r="G5" s="128"/>
      <c r="H5" s="128"/>
      <c r="I5" s="128"/>
      <c r="J5" s="129" t="s">
        <v>2</v>
      </c>
      <c r="K5" s="44"/>
      <c r="L5" s="33"/>
    </row>
    <row r="6" spans="1:13" ht="13.5" thickBot="1" x14ac:dyDescent="0.25">
      <c r="A6" s="130" t="s">
        <v>3</v>
      </c>
      <c r="B6" s="131" t="s">
        <v>4</v>
      </c>
      <c r="C6" s="132"/>
      <c r="D6" s="133"/>
      <c r="E6" s="134" t="s">
        <v>574</v>
      </c>
      <c r="F6" s="135" t="s">
        <v>600</v>
      </c>
      <c r="G6" s="136" t="s">
        <v>592</v>
      </c>
      <c r="H6" s="136" t="s">
        <v>593</v>
      </c>
      <c r="I6" s="137" t="s">
        <v>176</v>
      </c>
      <c r="J6" s="138" t="s">
        <v>604</v>
      </c>
      <c r="K6" s="44"/>
      <c r="L6" s="33"/>
    </row>
    <row r="7" spans="1:13" x14ac:dyDescent="0.2">
      <c r="A7" s="139">
        <v>1</v>
      </c>
      <c r="B7" s="140" t="s">
        <v>92</v>
      </c>
      <c r="C7" s="141"/>
      <c r="D7" s="142"/>
      <c r="E7" s="143">
        <v>1842607.76902935</v>
      </c>
      <c r="F7" s="144">
        <v>2084396.559824242</v>
      </c>
      <c r="G7" s="145">
        <f>F7*G4</f>
        <v>1584141.385466424</v>
      </c>
      <c r="H7" s="145">
        <f>F7*H4</f>
        <v>500255.17435781809</v>
      </c>
      <c r="I7" s="146"/>
      <c r="J7" s="147">
        <f>F7/E7</f>
        <v>1.1312209765197407</v>
      </c>
      <c r="K7" s="148">
        <v>45873.999999999767</v>
      </c>
      <c r="L7" s="33"/>
    </row>
    <row r="8" spans="1:13" ht="13.5" thickBot="1" x14ac:dyDescent="0.25">
      <c r="A8" s="149">
        <v>2</v>
      </c>
      <c r="B8" s="150" t="s">
        <v>147</v>
      </c>
      <c r="C8" s="151"/>
      <c r="D8" s="152"/>
      <c r="E8" s="153">
        <v>626771.64500000002</v>
      </c>
      <c r="F8" s="154">
        <v>728233.41200000001</v>
      </c>
      <c r="G8" s="155"/>
      <c r="H8" s="155"/>
      <c r="I8" s="156">
        <f>F8</f>
        <v>728233.41200000001</v>
      </c>
      <c r="J8" s="157">
        <f>F8/E8</f>
        <v>1.1618799570934641</v>
      </c>
      <c r="K8" s="44"/>
      <c r="L8" s="33"/>
    </row>
    <row r="9" spans="1:13" ht="13.5" thickBot="1" x14ac:dyDescent="0.25">
      <c r="A9" s="158">
        <v>3</v>
      </c>
      <c r="B9" s="159" t="s">
        <v>5</v>
      </c>
      <c r="C9" s="160"/>
      <c r="D9" s="161"/>
      <c r="E9" s="162">
        <v>2469379.41402935</v>
      </c>
      <c r="F9" s="163">
        <f>SUM(F7:F8)</f>
        <v>2812629.9718242418</v>
      </c>
      <c r="G9" s="164"/>
      <c r="H9" s="164"/>
      <c r="I9" s="165"/>
      <c r="J9" s="166">
        <f>F9/E9</f>
        <v>1.1390027615216898</v>
      </c>
      <c r="K9" s="44"/>
      <c r="L9" s="33"/>
    </row>
    <row r="10" spans="1:13" x14ac:dyDescent="0.2">
      <c r="A10" s="167"/>
      <c r="B10" s="152"/>
      <c r="C10" s="151"/>
      <c r="D10" s="152"/>
      <c r="E10" s="151"/>
      <c r="F10" s="120"/>
      <c r="G10" s="120"/>
      <c r="H10" s="120"/>
      <c r="I10" s="120"/>
      <c r="J10" s="168"/>
      <c r="K10" s="44"/>
      <c r="L10" s="33"/>
    </row>
    <row r="11" spans="1:13" x14ac:dyDescent="0.2">
      <c r="A11" s="167"/>
      <c r="B11" s="152"/>
      <c r="C11" s="151"/>
      <c r="D11" s="152"/>
      <c r="E11" s="151"/>
      <c r="F11" s="120"/>
      <c r="G11" s="120"/>
      <c r="H11" s="120"/>
      <c r="I11" s="120"/>
      <c r="J11" s="168"/>
      <c r="K11" s="44"/>
      <c r="L11" s="33"/>
    </row>
    <row r="12" spans="1:13" x14ac:dyDescent="0.2">
      <c r="A12" s="44"/>
      <c r="B12" s="44"/>
      <c r="C12" s="44"/>
      <c r="D12" s="44"/>
      <c r="E12" s="44"/>
      <c r="G12" s="44"/>
      <c r="H12" s="44"/>
      <c r="I12" s="44"/>
      <c r="J12" s="44"/>
      <c r="K12" s="44"/>
    </row>
    <row r="13" spans="1:13" ht="16.5" thickBot="1" x14ac:dyDescent="0.3">
      <c r="A13" s="105" t="s">
        <v>671</v>
      </c>
      <c r="B13" s="44"/>
      <c r="C13" s="44"/>
      <c r="D13" s="44"/>
      <c r="E13" s="44"/>
      <c r="F13" s="44"/>
      <c r="G13" s="44"/>
      <c r="H13" s="169"/>
      <c r="I13" s="44"/>
      <c r="J13" s="44"/>
      <c r="K13" s="170"/>
      <c r="L13" s="171"/>
    </row>
    <row r="14" spans="1:13" ht="30" customHeight="1" x14ac:dyDescent="0.2">
      <c r="A14" s="1508" t="s">
        <v>451</v>
      </c>
      <c r="B14" s="1509"/>
      <c r="C14" s="1512" t="s">
        <v>594</v>
      </c>
      <c r="D14" s="1496" t="s">
        <v>256</v>
      </c>
      <c r="E14" s="1497" t="s">
        <v>257</v>
      </c>
      <c r="F14" s="1498" t="s">
        <v>595</v>
      </c>
      <c r="G14" s="1499" t="s">
        <v>259</v>
      </c>
      <c r="H14" s="1500" t="s">
        <v>259</v>
      </c>
      <c r="L14" s="33"/>
    </row>
    <row r="15" spans="1:13" ht="42.75" customHeight="1" thickBot="1" x14ac:dyDescent="0.25">
      <c r="A15" s="1510"/>
      <c r="B15" s="1511"/>
      <c r="C15" s="1513"/>
      <c r="D15" s="1501" t="s">
        <v>672</v>
      </c>
      <c r="E15" s="1502" t="s">
        <v>258</v>
      </c>
      <c r="F15" s="1503"/>
      <c r="G15" s="1504" t="s">
        <v>16</v>
      </c>
      <c r="H15" s="1505" t="s">
        <v>328</v>
      </c>
      <c r="L15" s="33"/>
    </row>
    <row r="16" spans="1:13" x14ac:dyDescent="0.2">
      <c r="A16" s="187">
        <v>11</v>
      </c>
      <c r="B16" s="188" t="s">
        <v>7</v>
      </c>
      <c r="C16" s="189">
        <v>299972.77054365439</v>
      </c>
      <c r="D16" s="931">
        <f t="shared" ref="D16:D23" si="0">E16/$E$28</f>
        <v>4.8004740214497771E-2</v>
      </c>
      <c r="E16" s="190">
        <v>3802.314783617514</v>
      </c>
      <c r="F16" s="1260">
        <v>65758.364237872724</v>
      </c>
      <c r="G16" s="1352">
        <f>C16+E16+F16</f>
        <v>369533.44956514461</v>
      </c>
      <c r="H16" s="1006">
        <f>ROUND(G16,1)</f>
        <v>369533.4</v>
      </c>
      <c r="L16" s="33"/>
    </row>
    <row r="17" spans="1:12" x14ac:dyDescent="0.2">
      <c r="A17" s="191">
        <v>21</v>
      </c>
      <c r="B17" s="192" t="s">
        <v>8</v>
      </c>
      <c r="C17" s="193">
        <v>268171.51808448223</v>
      </c>
      <c r="D17" s="906">
        <f t="shared" si="0"/>
        <v>0.20883826484790627</v>
      </c>
      <c r="E17" s="195">
        <v>16541.466910728315</v>
      </c>
      <c r="F17" s="1353">
        <v>88994.2176529344</v>
      </c>
      <c r="G17" s="1354">
        <f t="shared" ref="G17:G27" si="1">C17+E17+F17</f>
        <v>373707.20264814491</v>
      </c>
      <c r="H17" s="1355">
        <f t="shared" ref="H17:H27" si="2">ROUND(G17,1)</f>
        <v>373707.2</v>
      </c>
      <c r="L17" s="33"/>
    </row>
    <row r="18" spans="1:12" x14ac:dyDescent="0.2">
      <c r="A18" s="191">
        <v>22</v>
      </c>
      <c r="B18" s="192" t="s">
        <v>9</v>
      </c>
      <c r="C18" s="193">
        <v>106307.71282577609</v>
      </c>
      <c r="D18" s="906">
        <f t="shared" si="0"/>
        <v>4.2286881647677577E-2</v>
      </c>
      <c r="E18" s="195">
        <v>3349.4199640203337</v>
      </c>
      <c r="F18" s="1353">
        <v>28292.979675954393</v>
      </c>
      <c r="G18" s="1354">
        <f t="shared" si="1"/>
        <v>137950.1124657508</v>
      </c>
      <c r="H18" s="1355">
        <f t="shared" si="2"/>
        <v>137950.1</v>
      </c>
      <c r="L18" s="33"/>
    </row>
    <row r="19" spans="1:12" x14ac:dyDescent="0.2">
      <c r="A19" s="191">
        <v>23</v>
      </c>
      <c r="B19" s="192" t="s">
        <v>10</v>
      </c>
      <c r="C19" s="193">
        <v>112332.06631909597</v>
      </c>
      <c r="D19" s="906">
        <f t="shared" si="0"/>
        <v>7.5840411436119845E-2</v>
      </c>
      <c r="E19" s="195">
        <v>6007.0967223379275</v>
      </c>
      <c r="F19" s="1353">
        <v>50498.202001167228</v>
      </c>
      <c r="G19" s="1354">
        <f t="shared" si="1"/>
        <v>168837.36504260113</v>
      </c>
      <c r="H19" s="1355">
        <f t="shared" si="2"/>
        <v>168837.4</v>
      </c>
      <c r="L19" s="33"/>
    </row>
    <row r="20" spans="1:12" x14ac:dyDescent="0.2">
      <c r="A20" s="191">
        <v>31</v>
      </c>
      <c r="B20" s="192" t="s">
        <v>11</v>
      </c>
      <c r="C20" s="193">
        <v>276219.49069049174</v>
      </c>
      <c r="D20" s="906">
        <f t="shared" si="0"/>
        <v>0.16215752252306675</v>
      </c>
      <c r="E20" s="195">
        <v>12844.022119674693</v>
      </c>
      <c r="F20" s="1353">
        <v>123822.82823349575</v>
      </c>
      <c r="G20" s="1354">
        <f t="shared" si="1"/>
        <v>412886.34104366222</v>
      </c>
      <c r="H20" s="1355">
        <f t="shared" si="2"/>
        <v>412886.3</v>
      </c>
      <c r="L20" s="33"/>
    </row>
    <row r="21" spans="1:12" x14ac:dyDescent="0.2">
      <c r="A21" s="191">
        <v>33</v>
      </c>
      <c r="B21" s="192" t="s">
        <v>12</v>
      </c>
      <c r="C21" s="193">
        <v>109750.36038546184</v>
      </c>
      <c r="D21" s="906">
        <f t="shared" si="0"/>
        <v>0.12474325516208151</v>
      </c>
      <c r="E21" s="195">
        <v>9880.5476530025753</v>
      </c>
      <c r="F21" s="1353">
        <v>30895.409489194433</v>
      </c>
      <c r="G21" s="1354">
        <f t="shared" si="1"/>
        <v>150526.31752765886</v>
      </c>
      <c r="H21" s="1355">
        <f t="shared" si="2"/>
        <v>150526.29999999999</v>
      </c>
      <c r="L21" s="33"/>
    </row>
    <row r="22" spans="1:12" x14ac:dyDescent="0.2">
      <c r="A22" s="191">
        <v>41</v>
      </c>
      <c r="B22" s="192" t="s">
        <v>13</v>
      </c>
      <c r="C22" s="193">
        <v>166090.69923153607</v>
      </c>
      <c r="D22" s="906">
        <f t="shared" si="0"/>
        <v>0.12559353365471743</v>
      </c>
      <c r="E22" s="195">
        <v>9947.8957204704038</v>
      </c>
      <c r="F22" s="1353">
        <v>35139.189362368641</v>
      </c>
      <c r="G22" s="1354">
        <f t="shared" si="1"/>
        <v>211177.78431437511</v>
      </c>
      <c r="H22" s="1355">
        <f t="shared" si="2"/>
        <v>211177.8</v>
      </c>
      <c r="L22" s="33"/>
    </row>
    <row r="23" spans="1:12" x14ac:dyDescent="0.2">
      <c r="A23" s="191">
        <v>51</v>
      </c>
      <c r="B23" s="192" t="s">
        <v>14</v>
      </c>
      <c r="C23" s="193">
        <v>67121.412525392851</v>
      </c>
      <c r="D23" s="906">
        <f t="shared" si="0"/>
        <v>5.1427501298826839E-2</v>
      </c>
      <c r="E23" s="195">
        <v>4073.4216579299946</v>
      </c>
      <c r="F23" s="1353">
        <v>10040.734625654368</v>
      </c>
      <c r="G23" s="1354">
        <f t="shared" si="1"/>
        <v>81235.568808977216</v>
      </c>
      <c r="H23" s="1355">
        <f t="shared" si="2"/>
        <v>81235.600000000006</v>
      </c>
      <c r="L23" s="33"/>
    </row>
    <row r="24" spans="1:12" x14ac:dyDescent="0.2">
      <c r="A24" s="191">
        <v>56</v>
      </c>
      <c r="B24" s="192" t="s">
        <v>15</v>
      </c>
      <c r="C24" s="193">
        <v>98968.285587211634</v>
      </c>
      <c r="D24" s="906">
        <f>E24/$E$28</f>
        <v>0.16110788921510585</v>
      </c>
      <c r="E24" s="195">
        <v>12760.88374153945</v>
      </c>
      <c r="F24" s="1353">
        <v>31420.468758303407</v>
      </c>
      <c r="G24" s="1354">
        <f t="shared" si="1"/>
        <v>143149.63808705448</v>
      </c>
      <c r="H24" s="1355">
        <f t="shared" si="2"/>
        <v>143149.6</v>
      </c>
      <c r="L24" s="33"/>
    </row>
    <row r="25" spans="1:12" x14ac:dyDescent="0.2">
      <c r="A25" s="191">
        <v>71</v>
      </c>
      <c r="B25" s="196" t="s">
        <v>196</v>
      </c>
      <c r="C25" s="193"/>
      <c r="D25" s="194"/>
      <c r="E25" s="1258"/>
      <c r="F25" s="1353">
        <v>31812.472475929488</v>
      </c>
      <c r="G25" s="1354">
        <f t="shared" si="1"/>
        <v>31812.472475929488</v>
      </c>
      <c r="H25" s="1355">
        <f t="shared" si="2"/>
        <v>31812.5</v>
      </c>
      <c r="L25" s="33"/>
    </row>
    <row r="26" spans="1:12" x14ac:dyDescent="0.2">
      <c r="A26" s="191">
        <v>85</v>
      </c>
      <c r="B26" s="196" t="s">
        <v>100</v>
      </c>
      <c r="C26" s="193"/>
      <c r="D26" s="194"/>
      <c r="E26" s="1258"/>
      <c r="F26" s="1353">
        <v>1347.7540051246629</v>
      </c>
      <c r="G26" s="1354">
        <v>1347.7540051246629</v>
      </c>
      <c r="H26" s="1355">
        <f t="shared" si="2"/>
        <v>1347.8</v>
      </c>
      <c r="L26" s="33"/>
    </row>
    <row r="27" spans="1:12" ht="13.5" thickBot="1" x14ac:dyDescent="0.25">
      <c r="A27" s="149">
        <v>92</v>
      </c>
      <c r="B27" s="197" t="s">
        <v>17</v>
      </c>
      <c r="C27" s="198"/>
      <c r="D27" s="199"/>
      <c r="E27" s="1259"/>
      <c r="F27" s="1356">
        <v>2232.5538398186482</v>
      </c>
      <c r="G27" s="1357">
        <f t="shared" si="1"/>
        <v>2232.5538398186482</v>
      </c>
      <c r="H27" s="1358">
        <f t="shared" si="2"/>
        <v>2232.6</v>
      </c>
      <c r="L27" s="33"/>
    </row>
    <row r="28" spans="1:12" ht="13.5" thickBot="1" x14ac:dyDescent="0.25">
      <c r="A28" s="200" t="s">
        <v>71</v>
      </c>
      <c r="B28" s="201"/>
      <c r="C28" s="202">
        <f t="shared" ref="C28:H28" si="3">SUM(C16:C27)</f>
        <v>1504934.3161931029</v>
      </c>
      <c r="D28" s="203">
        <f t="shared" si="3"/>
        <v>0.99999999999999978</v>
      </c>
      <c r="E28" s="204">
        <f t="shared" si="3"/>
        <v>79207.06927332122</v>
      </c>
      <c r="F28" s="1261">
        <f t="shared" si="3"/>
        <v>500255.17435781815</v>
      </c>
      <c r="G28" s="1262">
        <f t="shared" si="3"/>
        <v>2084396.559824242</v>
      </c>
      <c r="H28" s="1007">
        <f t="shared" si="3"/>
        <v>2084396.6000000006</v>
      </c>
      <c r="L28" s="33"/>
    </row>
    <row r="29" spans="1:12" x14ac:dyDescent="0.2">
      <c r="A29" s="181"/>
      <c r="B29" s="152"/>
      <c r="C29" s="182"/>
      <c r="D29" s="182"/>
      <c r="E29" s="182"/>
      <c r="F29" s="182"/>
      <c r="G29" s="183"/>
      <c r="K29" s="107"/>
      <c r="L29" s="33"/>
    </row>
    <row r="30" spans="1:12" x14ac:dyDescent="0.2">
      <c r="F30" s="33" t="s">
        <v>597</v>
      </c>
    </row>
    <row r="31" spans="1:12" x14ac:dyDescent="0.2">
      <c r="C31" s="256"/>
    </row>
    <row r="43" spans="3:10" x14ac:dyDescent="0.2">
      <c r="I43" s="1005"/>
      <c r="J43" s="1005"/>
    </row>
    <row r="44" spans="3:10" x14ac:dyDescent="0.2">
      <c r="C44" s="107"/>
      <c r="D44" s="107"/>
      <c r="E44" s="107"/>
      <c r="F44" s="107"/>
      <c r="G44" s="107"/>
      <c r="I44" s="107"/>
      <c r="J44" s="107"/>
    </row>
    <row r="45" spans="3:10" x14ac:dyDescent="0.2">
      <c r="C45" s="107"/>
      <c r="D45" s="107"/>
      <c r="E45" s="107"/>
      <c r="F45" s="107"/>
      <c r="G45" s="107"/>
      <c r="I45" s="107"/>
      <c r="J45" s="107"/>
    </row>
    <row r="46" spans="3:10" x14ac:dyDescent="0.2">
      <c r="C46" s="107"/>
      <c r="D46" s="107"/>
      <c r="E46" s="107"/>
      <c r="F46" s="107"/>
      <c r="G46" s="107"/>
      <c r="I46" s="107"/>
      <c r="J46" s="107"/>
    </row>
    <row r="47" spans="3:10" x14ac:dyDescent="0.2">
      <c r="C47" s="107"/>
      <c r="D47" s="107"/>
      <c r="E47" s="107"/>
      <c r="F47" s="107"/>
      <c r="G47" s="107"/>
      <c r="I47" s="107"/>
      <c r="J47" s="107"/>
    </row>
    <row r="48" spans="3:10" x14ac:dyDescent="0.2">
      <c r="C48" s="107"/>
      <c r="D48" s="107"/>
      <c r="E48" s="107"/>
      <c r="F48" s="107"/>
      <c r="G48" s="107"/>
      <c r="I48" s="107"/>
      <c r="J48" s="107"/>
    </row>
    <row r="49" spans="3:10" x14ac:dyDescent="0.2">
      <c r="C49" s="107"/>
      <c r="D49" s="107"/>
      <c r="E49" s="107"/>
      <c r="F49" s="107"/>
      <c r="G49" s="107"/>
      <c r="I49" s="107"/>
      <c r="J49" s="107"/>
    </row>
    <row r="50" spans="3:10" x14ac:dyDescent="0.2">
      <c r="C50" s="107"/>
      <c r="D50" s="107"/>
      <c r="E50" s="107"/>
      <c r="F50" s="107"/>
      <c r="G50" s="107"/>
      <c r="I50" s="107"/>
      <c r="J50" s="107"/>
    </row>
    <row r="51" spans="3:10" x14ac:dyDescent="0.2">
      <c r="C51" s="107"/>
      <c r="D51" s="107"/>
      <c r="E51" s="107"/>
      <c r="F51" s="107"/>
      <c r="G51" s="107"/>
      <c r="I51" s="107"/>
      <c r="J51" s="107"/>
    </row>
    <row r="52" spans="3:10" x14ac:dyDescent="0.2">
      <c r="C52" s="107"/>
      <c r="D52" s="107"/>
      <c r="E52" s="107"/>
      <c r="F52" s="107"/>
      <c r="G52" s="107"/>
      <c r="I52" s="107"/>
      <c r="J52" s="107"/>
    </row>
    <row r="53" spans="3:10" x14ac:dyDescent="0.2">
      <c r="C53" s="107"/>
      <c r="D53" s="107"/>
      <c r="E53" s="107"/>
      <c r="F53" s="107"/>
      <c r="G53" s="107"/>
      <c r="I53" s="107"/>
      <c r="J53" s="107"/>
    </row>
    <row r="54" spans="3:10" x14ac:dyDescent="0.2">
      <c r="C54" s="107"/>
      <c r="D54" s="107"/>
      <c r="E54" s="107"/>
      <c r="F54" s="107"/>
      <c r="G54" s="107"/>
      <c r="I54" s="107"/>
      <c r="J54" s="107"/>
    </row>
    <row r="55" spans="3:10" x14ac:dyDescent="0.2">
      <c r="C55" s="107"/>
      <c r="D55" s="107"/>
      <c r="E55" s="107"/>
      <c r="F55" s="107"/>
      <c r="G55" s="107"/>
      <c r="I55" s="107"/>
      <c r="J55" s="107"/>
    </row>
  </sheetData>
  <mergeCells count="3">
    <mergeCell ref="A2:M2"/>
    <mergeCell ref="A14:B15"/>
    <mergeCell ref="C14:C15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horizontalDpi="300" verticalDpi="300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sqref="A1:D1"/>
    </sheetView>
  </sheetViews>
  <sheetFormatPr defaultColWidth="8.7109375" defaultRowHeight="12.75" x14ac:dyDescent="0.2"/>
  <cols>
    <col min="1" max="1" width="8.28515625" style="33" customWidth="1"/>
    <col min="2" max="2" width="5.5703125" style="33" customWidth="1"/>
    <col min="3" max="3" width="6.28515625" style="33" customWidth="1"/>
    <col min="4" max="4" width="6.85546875" style="33" customWidth="1"/>
    <col min="5" max="5" width="23" style="33" customWidth="1"/>
    <col min="6" max="6" width="3.7109375" style="597" bestFit="1" customWidth="1"/>
    <col min="7" max="7" width="43.7109375" style="591" customWidth="1"/>
    <col min="8" max="8" width="10" style="33" customWidth="1"/>
    <col min="9" max="9" width="7.5703125" style="48" customWidth="1"/>
    <col min="10" max="13" width="8" style="48" customWidth="1"/>
    <col min="14" max="14" width="8.140625" style="48" customWidth="1"/>
    <col min="15" max="15" width="10.140625" style="45" customWidth="1"/>
    <col min="16" max="16" width="3.85546875" style="33" customWidth="1"/>
    <col min="17" max="16384" width="8.7109375" style="33"/>
  </cols>
  <sheetData>
    <row r="1" spans="1:18" ht="15.75" customHeight="1" x14ac:dyDescent="0.25">
      <c r="A1" s="1578" t="s">
        <v>598</v>
      </c>
      <c r="B1" s="1554"/>
      <c r="C1" s="1554"/>
      <c r="D1" s="1579"/>
      <c r="E1" s="1283"/>
      <c r="F1" s="522"/>
      <c r="G1" s="523"/>
      <c r="H1" s="524" t="s">
        <v>41</v>
      </c>
      <c r="I1" s="525" t="s">
        <v>78</v>
      </c>
      <c r="J1" s="1580" t="s">
        <v>103</v>
      </c>
      <c r="K1" s="1581"/>
      <c r="L1" s="1581"/>
      <c r="M1" s="1581"/>
      <c r="N1" s="1582"/>
      <c r="O1" s="526" t="s">
        <v>42</v>
      </c>
    </row>
    <row r="2" spans="1:18" ht="13.5" thickBot="1" x14ac:dyDescent="0.25">
      <c r="A2" s="527" t="s">
        <v>486</v>
      </c>
      <c r="B2" s="528"/>
      <c r="C2" s="528"/>
      <c r="D2" s="1583" t="s">
        <v>575</v>
      </c>
      <c r="E2" s="1584"/>
      <c r="F2" s="529" t="s">
        <v>34</v>
      </c>
      <c r="G2" s="530" t="s">
        <v>35</v>
      </c>
      <c r="H2" s="531">
        <v>2018</v>
      </c>
      <c r="I2" s="532" t="s">
        <v>104</v>
      </c>
      <c r="J2" s="1337" t="s">
        <v>105</v>
      </c>
      <c r="K2" s="533" t="s">
        <v>106</v>
      </c>
      <c r="L2" s="533" t="s">
        <v>107</v>
      </c>
      <c r="M2" s="1338" t="s">
        <v>137</v>
      </c>
      <c r="N2" s="532" t="s">
        <v>108</v>
      </c>
      <c r="O2" s="534">
        <v>2017</v>
      </c>
    </row>
    <row r="3" spans="1:18" ht="13.5" thickBot="1" x14ac:dyDescent="0.25">
      <c r="A3" s="535" t="s">
        <v>487</v>
      </c>
      <c r="B3" s="536"/>
      <c r="C3" s="536"/>
      <c r="D3" s="536"/>
      <c r="E3" s="536"/>
      <c r="F3" s="537">
        <v>1</v>
      </c>
      <c r="G3" s="538"/>
      <c r="H3" s="458">
        <f t="shared" ref="H3:O3" si="0">H4+SUM(H18:H27)</f>
        <v>0</v>
      </c>
      <c r="I3" s="540">
        <f t="shared" si="0"/>
        <v>0</v>
      </c>
      <c r="J3" s="541">
        <f t="shared" si="0"/>
        <v>0</v>
      </c>
      <c r="K3" s="541">
        <f t="shared" si="0"/>
        <v>0</v>
      </c>
      <c r="L3" s="541">
        <f t="shared" si="0"/>
        <v>0</v>
      </c>
      <c r="M3" s="541">
        <f t="shared" si="0"/>
        <v>0</v>
      </c>
      <c r="N3" s="540">
        <f t="shared" si="0"/>
        <v>0</v>
      </c>
      <c r="O3" s="542">
        <f t="shared" si="0"/>
        <v>0</v>
      </c>
    </row>
    <row r="4" spans="1:18" s="48" customFormat="1" ht="25.5" customHeight="1" x14ac:dyDescent="0.2">
      <c r="A4" s="914" t="s">
        <v>43</v>
      </c>
      <c r="B4" s="915" t="s">
        <v>109</v>
      </c>
      <c r="C4" s="915"/>
      <c r="D4" s="915"/>
      <c r="E4" s="915"/>
      <c r="F4" s="916">
        <f>F3+1</f>
        <v>2</v>
      </c>
      <c r="G4" s="917" t="s">
        <v>576</v>
      </c>
      <c r="H4" s="918">
        <f>SUM(H5:H15)</f>
        <v>0</v>
      </c>
      <c r="I4" s="919">
        <f t="shared" ref="I4:O4" si="1">SUM(I5:I15)</f>
        <v>0</v>
      </c>
      <c r="J4" s="920">
        <f t="shared" si="1"/>
        <v>0</v>
      </c>
      <c r="K4" s="920">
        <f t="shared" si="1"/>
        <v>0</v>
      </c>
      <c r="L4" s="920">
        <f t="shared" si="1"/>
        <v>0</v>
      </c>
      <c r="M4" s="920">
        <f t="shared" si="1"/>
        <v>0</v>
      </c>
      <c r="N4" s="919">
        <f t="shared" si="1"/>
        <v>0</v>
      </c>
      <c r="O4" s="921">
        <f t="shared" si="1"/>
        <v>0</v>
      </c>
    </row>
    <row r="5" spans="1:18" s="252" customFormat="1" x14ac:dyDescent="0.2">
      <c r="A5" s="544"/>
      <c r="B5" s="517"/>
      <c r="C5" s="517" t="s">
        <v>44</v>
      </c>
      <c r="D5" s="545" t="s">
        <v>45</v>
      </c>
      <c r="E5" s="545"/>
      <c r="F5" s="546">
        <f t="shared" ref="F5:F27" si="2">F4+1</f>
        <v>3</v>
      </c>
      <c r="G5" s="547"/>
      <c r="H5" s="548"/>
      <c r="I5" s="550"/>
      <c r="J5" s="550"/>
      <c r="K5" s="551"/>
      <c r="L5" s="551"/>
      <c r="M5" s="551"/>
      <c r="N5" s="549"/>
      <c r="O5" s="552"/>
    </row>
    <row r="6" spans="1:18" s="252" customFormat="1" x14ac:dyDescent="0.2">
      <c r="A6" s="544"/>
      <c r="B6" s="517"/>
      <c r="C6" s="517"/>
      <c r="D6" s="545" t="s">
        <v>46</v>
      </c>
      <c r="E6" s="545"/>
      <c r="F6" s="546">
        <f t="shared" si="2"/>
        <v>4</v>
      </c>
      <c r="G6" s="547"/>
      <c r="H6" s="548"/>
      <c r="I6" s="550"/>
      <c r="J6" s="550"/>
      <c r="K6" s="551"/>
      <c r="L6" s="551"/>
      <c r="M6" s="551"/>
      <c r="N6" s="549"/>
      <c r="O6" s="552"/>
    </row>
    <row r="7" spans="1:18" s="252" customFormat="1" x14ac:dyDescent="0.2">
      <c r="A7" s="544"/>
      <c r="B7" s="517"/>
      <c r="C7" s="517"/>
      <c r="D7" s="545" t="s">
        <v>125</v>
      </c>
      <c r="E7" s="545"/>
      <c r="F7" s="546">
        <f t="shared" si="2"/>
        <v>5</v>
      </c>
      <c r="G7" s="547"/>
      <c r="H7" s="548"/>
      <c r="I7" s="550"/>
      <c r="J7" s="550"/>
      <c r="K7" s="551"/>
      <c r="L7" s="551"/>
      <c r="M7" s="551"/>
      <c r="N7" s="549"/>
      <c r="O7" s="552"/>
    </row>
    <row r="8" spans="1:18" s="252" customFormat="1" x14ac:dyDescent="0.2">
      <c r="A8" s="544"/>
      <c r="B8" s="517"/>
      <c r="C8" s="517"/>
      <c r="D8" s="545" t="s">
        <v>47</v>
      </c>
      <c r="E8" s="545"/>
      <c r="F8" s="546">
        <f t="shared" si="2"/>
        <v>6</v>
      </c>
      <c r="G8" s="547"/>
      <c r="H8" s="548"/>
      <c r="I8" s="550"/>
      <c r="J8" s="550"/>
      <c r="K8" s="551"/>
      <c r="L8" s="551"/>
      <c r="M8" s="551"/>
      <c r="N8" s="549"/>
      <c r="O8" s="552"/>
    </row>
    <row r="9" spans="1:18" s="252" customFormat="1" x14ac:dyDescent="0.2">
      <c r="A9" s="544"/>
      <c r="B9" s="517"/>
      <c r="C9" s="517"/>
      <c r="D9" s="545" t="s">
        <v>48</v>
      </c>
      <c r="E9" s="545"/>
      <c r="F9" s="546">
        <f t="shared" si="2"/>
        <v>7</v>
      </c>
      <c r="G9" s="547"/>
      <c r="H9" s="548"/>
      <c r="I9" s="550"/>
      <c r="J9" s="550"/>
      <c r="K9" s="551"/>
      <c r="L9" s="551"/>
      <c r="M9" s="551"/>
      <c r="N9" s="549"/>
      <c r="O9" s="552"/>
    </row>
    <row r="10" spans="1:18" s="252" customFormat="1" x14ac:dyDescent="0.2">
      <c r="A10" s="544"/>
      <c r="B10" s="517"/>
      <c r="C10" s="517"/>
      <c r="D10" s="545" t="s">
        <v>49</v>
      </c>
      <c r="E10" s="545"/>
      <c r="F10" s="546">
        <f t="shared" si="2"/>
        <v>8</v>
      </c>
      <c r="G10" s="547"/>
      <c r="H10" s="548"/>
      <c r="I10" s="550"/>
      <c r="J10" s="550"/>
      <c r="K10" s="551"/>
      <c r="L10" s="551"/>
      <c r="M10" s="551"/>
      <c r="N10" s="549"/>
      <c r="O10" s="552"/>
      <c r="Q10" s="553"/>
      <c r="R10" s="553"/>
    </row>
    <row r="11" spans="1:18" s="252" customFormat="1" x14ac:dyDescent="0.2">
      <c r="A11" s="544"/>
      <c r="B11" s="517"/>
      <c r="C11" s="517"/>
      <c r="D11" s="545" t="s">
        <v>50</v>
      </c>
      <c r="E11" s="545"/>
      <c r="F11" s="546">
        <f t="shared" si="2"/>
        <v>9</v>
      </c>
      <c r="G11" s="547"/>
      <c r="H11" s="548"/>
      <c r="I11" s="550"/>
      <c r="J11" s="550"/>
      <c r="K11" s="551"/>
      <c r="L11" s="551"/>
      <c r="M11" s="551"/>
      <c r="N11" s="549"/>
      <c r="O11" s="552"/>
      <c r="Q11" s="553"/>
      <c r="R11" s="553"/>
    </row>
    <row r="12" spans="1:18" s="252" customFormat="1" x14ac:dyDescent="0.2">
      <c r="A12" s="544"/>
      <c r="B12" s="517"/>
      <c r="C12" s="517"/>
      <c r="D12" s="545" t="s">
        <v>51</v>
      </c>
      <c r="E12" s="545"/>
      <c r="F12" s="546">
        <f t="shared" si="2"/>
        <v>10</v>
      </c>
      <c r="G12" s="547"/>
      <c r="H12" s="548"/>
      <c r="I12" s="550"/>
      <c r="J12" s="550"/>
      <c r="K12" s="551"/>
      <c r="L12" s="551"/>
      <c r="M12" s="551"/>
      <c r="N12" s="549"/>
      <c r="O12" s="552"/>
    </row>
    <row r="13" spans="1:18" s="252" customFormat="1" x14ac:dyDescent="0.2">
      <c r="A13" s="544"/>
      <c r="B13" s="517"/>
      <c r="C13" s="517"/>
      <c r="D13" s="545" t="s">
        <v>23</v>
      </c>
      <c r="E13" s="545"/>
      <c r="F13" s="546">
        <f t="shared" si="2"/>
        <v>11</v>
      </c>
      <c r="G13" s="547"/>
      <c r="H13" s="548"/>
      <c r="I13" s="550"/>
      <c r="J13" s="550"/>
      <c r="K13" s="551"/>
      <c r="L13" s="551"/>
      <c r="M13" s="551"/>
      <c r="N13" s="549"/>
      <c r="O13" s="552"/>
    </row>
    <row r="14" spans="1:18" s="252" customFormat="1" x14ac:dyDescent="0.2">
      <c r="A14" s="544"/>
      <c r="B14" s="517"/>
      <c r="C14" s="517"/>
      <c r="D14" s="545" t="s">
        <v>52</v>
      </c>
      <c r="E14" s="545"/>
      <c r="F14" s="546">
        <f>F13+1</f>
        <v>12</v>
      </c>
      <c r="G14" s="547"/>
      <c r="H14" s="548"/>
      <c r="I14" s="550"/>
      <c r="J14" s="550"/>
      <c r="K14" s="551"/>
      <c r="L14" s="551"/>
      <c r="M14" s="551"/>
      <c r="N14" s="549"/>
      <c r="O14" s="552"/>
    </row>
    <row r="15" spans="1:18" s="252" customFormat="1" x14ac:dyDescent="0.2">
      <c r="A15" s="544"/>
      <c r="B15" s="517"/>
      <c r="C15" s="545"/>
      <c r="D15" s="545" t="s">
        <v>20</v>
      </c>
      <c r="E15" s="545"/>
      <c r="F15" s="546">
        <f t="shared" si="2"/>
        <v>13</v>
      </c>
      <c r="G15" s="547"/>
      <c r="H15" s="548"/>
      <c r="I15" s="550"/>
      <c r="J15" s="550"/>
      <c r="K15" s="551"/>
      <c r="L15" s="551"/>
      <c r="M15" s="551"/>
      <c r="N15" s="549"/>
      <c r="O15" s="552"/>
    </row>
    <row r="16" spans="1:18" s="275" customFormat="1" ht="12" hidden="1" x14ac:dyDescent="0.2">
      <c r="A16" s="554"/>
      <c r="B16" s="555"/>
      <c r="C16" s="556"/>
      <c r="D16" s="556"/>
      <c r="E16" s="556" t="s">
        <v>154</v>
      </c>
      <c r="F16" s="546" t="s">
        <v>488</v>
      </c>
      <c r="G16" s="557"/>
      <c r="H16" s="558"/>
      <c r="I16" s="560"/>
      <c r="J16" s="560"/>
      <c r="K16" s="561"/>
      <c r="L16" s="561"/>
      <c r="M16" s="561"/>
      <c r="N16" s="559"/>
      <c r="O16" s="552"/>
    </row>
    <row r="17" spans="1:15" s="275" customFormat="1" ht="12" hidden="1" x14ac:dyDescent="0.2">
      <c r="A17" s="554"/>
      <c r="B17" s="555"/>
      <c r="C17" s="936"/>
      <c r="D17" s="936"/>
      <c r="E17" s="936" t="s">
        <v>170</v>
      </c>
      <c r="F17" s="937" t="s">
        <v>489</v>
      </c>
      <c r="G17" s="938"/>
      <c r="H17" s="939"/>
      <c r="I17" s="941"/>
      <c r="J17" s="941"/>
      <c r="K17" s="942"/>
      <c r="L17" s="942"/>
      <c r="M17" s="942"/>
      <c r="N17" s="940"/>
      <c r="O17" s="943"/>
    </row>
    <row r="18" spans="1:15" s="48" customFormat="1" x14ac:dyDescent="0.2">
      <c r="A18" s="543"/>
      <c r="B18" s="944" t="s">
        <v>53</v>
      </c>
      <c r="C18" s="944"/>
      <c r="D18" s="944"/>
      <c r="E18" s="944"/>
      <c r="F18" s="945">
        <f>F15+1</f>
        <v>14</v>
      </c>
      <c r="G18" s="946" t="s">
        <v>54</v>
      </c>
      <c r="H18" s="947"/>
      <c r="I18" s="949"/>
      <c r="J18" s="949"/>
      <c r="K18" s="1339"/>
      <c r="L18" s="1339"/>
      <c r="M18" s="1339"/>
      <c r="N18" s="948"/>
      <c r="O18" s="950"/>
    </row>
    <row r="19" spans="1:15" s="48" customFormat="1" x14ac:dyDescent="0.2">
      <c r="A19" s="543"/>
      <c r="B19" s="90" t="s">
        <v>55</v>
      </c>
      <c r="C19" s="82"/>
      <c r="D19" s="82"/>
      <c r="E19" s="82"/>
      <c r="F19" s="546">
        <f t="shared" si="2"/>
        <v>15</v>
      </c>
      <c r="G19" s="563" t="s">
        <v>56</v>
      </c>
      <c r="H19" s="564"/>
      <c r="I19" s="566"/>
      <c r="J19" s="566"/>
      <c r="K19" s="567"/>
      <c r="L19" s="567"/>
      <c r="M19" s="567"/>
      <c r="N19" s="565"/>
      <c r="O19" s="568"/>
    </row>
    <row r="20" spans="1:15" s="48" customFormat="1" x14ac:dyDescent="0.2">
      <c r="A20" s="543"/>
      <c r="B20" s="569" t="s">
        <v>57</v>
      </c>
      <c r="C20" s="570"/>
      <c r="D20" s="570"/>
      <c r="E20" s="570"/>
      <c r="F20" s="546">
        <f t="shared" si="2"/>
        <v>16</v>
      </c>
      <c r="G20" s="571" t="s">
        <v>438</v>
      </c>
      <c r="H20" s="564"/>
      <c r="I20" s="566"/>
      <c r="J20" s="566"/>
      <c r="K20" s="567"/>
      <c r="L20" s="567"/>
      <c r="M20" s="567"/>
      <c r="N20" s="565"/>
      <c r="O20" s="568"/>
    </row>
    <row r="21" spans="1:15" s="48" customFormat="1" x14ac:dyDescent="0.2">
      <c r="A21" s="543"/>
      <c r="B21" s="569" t="s">
        <v>58</v>
      </c>
      <c r="C21" s="569"/>
      <c r="D21" s="569"/>
      <c r="E21" s="570"/>
      <c r="F21" s="546">
        <f t="shared" si="2"/>
        <v>17</v>
      </c>
      <c r="G21" s="572" t="s">
        <v>110</v>
      </c>
      <c r="H21" s="564"/>
      <c r="I21" s="566"/>
      <c r="J21" s="566"/>
      <c r="K21" s="567"/>
      <c r="L21" s="567"/>
      <c r="M21" s="567"/>
      <c r="N21" s="565"/>
      <c r="O21" s="568"/>
    </row>
    <row r="22" spans="1:15" s="48" customFormat="1" x14ac:dyDescent="0.2">
      <c r="A22" s="543"/>
      <c r="B22" s="569" t="s">
        <v>490</v>
      </c>
      <c r="C22" s="569"/>
      <c r="D22" s="569"/>
      <c r="E22" s="570"/>
      <c r="F22" s="546">
        <f t="shared" si="2"/>
        <v>18</v>
      </c>
      <c r="G22" s="572" t="s">
        <v>111</v>
      </c>
      <c r="H22" s="564"/>
      <c r="I22" s="566"/>
      <c r="J22" s="566"/>
      <c r="K22" s="567"/>
      <c r="L22" s="567"/>
      <c r="M22" s="567"/>
      <c r="N22" s="565"/>
      <c r="O22" s="568"/>
    </row>
    <row r="23" spans="1:15" s="48" customFormat="1" x14ac:dyDescent="0.2">
      <c r="A23" s="543"/>
      <c r="B23" s="569" t="s">
        <v>123</v>
      </c>
      <c r="C23" s="569"/>
      <c r="D23" s="569"/>
      <c r="E23" s="570"/>
      <c r="F23" s="546">
        <f>F22+1</f>
        <v>19</v>
      </c>
      <c r="G23" s="572" t="s">
        <v>59</v>
      </c>
      <c r="H23" s="564"/>
      <c r="I23" s="565"/>
      <c r="J23" s="567"/>
      <c r="K23" s="567"/>
      <c r="L23" s="567"/>
      <c r="M23" s="567"/>
      <c r="N23" s="565"/>
      <c r="O23" s="568"/>
    </row>
    <row r="24" spans="1:15" s="48" customFormat="1" x14ac:dyDescent="0.2">
      <c r="A24" s="543"/>
      <c r="B24" s="569" t="s">
        <v>60</v>
      </c>
      <c r="C24" s="569"/>
      <c r="D24" s="569"/>
      <c r="E24" s="570"/>
      <c r="F24" s="546">
        <f t="shared" si="2"/>
        <v>20</v>
      </c>
      <c r="G24" s="922" t="s">
        <v>577</v>
      </c>
      <c r="H24" s="564"/>
      <c r="I24" s="565"/>
      <c r="J24" s="567"/>
      <c r="K24" s="567"/>
      <c r="L24" s="567"/>
      <c r="M24" s="567"/>
      <c r="N24" s="565"/>
      <c r="O24" s="568"/>
    </row>
    <row r="25" spans="1:15" s="48" customFormat="1" x14ac:dyDescent="0.2">
      <c r="A25" s="543"/>
      <c r="B25" s="569" t="s">
        <v>181</v>
      </c>
      <c r="C25" s="569"/>
      <c r="D25" s="569"/>
      <c r="E25" s="570"/>
      <c r="F25" s="546">
        <f t="shared" si="2"/>
        <v>21</v>
      </c>
      <c r="G25" s="572" t="s">
        <v>578</v>
      </c>
      <c r="H25" s="564"/>
      <c r="I25" s="565"/>
      <c r="J25" s="567"/>
      <c r="K25" s="567"/>
      <c r="L25" s="567"/>
      <c r="M25" s="567"/>
      <c r="N25" s="565"/>
      <c r="O25" s="568"/>
    </row>
    <row r="26" spans="1:15" s="48" customFormat="1" x14ac:dyDescent="0.2">
      <c r="A26" s="543"/>
      <c r="B26" s="569" t="s">
        <v>124</v>
      </c>
      <c r="C26" s="569"/>
      <c r="D26" s="569"/>
      <c r="E26" s="570"/>
      <c r="F26" s="546">
        <f t="shared" si="2"/>
        <v>22</v>
      </c>
      <c r="G26" s="572" t="s">
        <v>113</v>
      </c>
      <c r="H26" s="564"/>
      <c r="I26" s="565"/>
      <c r="J26" s="567"/>
      <c r="K26" s="567"/>
      <c r="L26" s="567"/>
      <c r="M26" s="567"/>
      <c r="N26" s="565"/>
      <c r="O26" s="568"/>
    </row>
    <row r="27" spans="1:15" s="48" customFormat="1" ht="13.5" thickBot="1" x14ac:dyDescent="0.25">
      <c r="A27" s="543"/>
      <c r="B27" s="90" t="s">
        <v>61</v>
      </c>
      <c r="C27" s="90"/>
      <c r="D27" s="90"/>
      <c r="E27" s="82"/>
      <c r="F27" s="546">
        <f t="shared" si="2"/>
        <v>23</v>
      </c>
      <c r="G27" s="573" t="s">
        <v>62</v>
      </c>
      <c r="H27" s="564"/>
      <c r="I27" s="565"/>
      <c r="J27" s="567"/>
      <c r="K27" s="567"/>
      <c r="L27" s="567"/>
      <c r="M27" s="567"/>
      <c r="N27" s="565"/>
      <c r="O27" s="568"/>
    </row>
    <row r="28" spans="1:15" ht="13.5" thickBot="1" x14ac:dyDescent="0.25">
      <c r="A28" s="574" t="s">
        <v>491</v>
      </c>
      <c r="B28" s="575"/>
      <c r="C28" s="575"/>
      <c r="D28" s="575"/>
      <c r="E28" s="575"/>
      <c r="F28" s="537">
        <f>F27+1</f>
        <v>24</v>
      </c>
      <c r="G28" s="576"/>
      <c r="H28" s="458">
        <f>SUM(H29:H43)</f>
        <v>0</v>
      </c>
      <c r="I28" s="540">
        <f t="shared" ref="I28:O28" si="3">SUM(I29:I43)</f>
        <v>0</v>
      </c>
      <c r="J28" s="541">
        <f t="shared" si="3"/>
        <v>0</v>
      </c>
      <c r="K28" s="541">
        <f t="shared" si="3"/>
        <v>0</v>
      </c>
      <c r="L28" s="541">
        <f t="shared" si="3"/>
        <v>0</v>
      </c>
      <c r="M28" s="541">
        <f t="shared" si="3"/>
        <v>0</v>
      </c>
      <c r="N28" s="540">
        <f t="shared" si="3"/>
        <v>0</v>
      </c>
      <c r="O28" s="542">
        <f t="shared" si="3"/>
        <v>0</v>
      </c>
    </row>
    <row r="29" spans="1:15" s="48" customFormat="1" x14ac:dyDescent="0.2">
      <c r="A29" s="543" t="s">
        <v>43</v>
      </c>
      <c r="B29" s="82" t="s">
        <v>114</v>
      </c>
      <c r="C29" s="82"/>
      <c r="D29" s="82"/>
      <c r="E29" s="82"/>
      <c r="F29" s="562">
        <f>F28+1</f>
        <v>25</v>
      </c>
      <c r="G29" s="563" t="s">
        <v>63</v>
      </c>
      <c r="H29" s="1340"/>
      <c r="I29" s="1341"/>
      <c r="J29" s="1342"/>
      <c r="K29" s="1342"/>
      <c r="L29" s="1342"/>
      <c r="M29" s="1342"/>
      <c r="N29" s="1341"/>
      <c r="O29" s="1343"/>
    </row>
    <row r="30" spans="1:15" s="48" customFormat="1" x14ac:dyDescent="0.2">
      <c r="A30" s="543"/>
      <c r="B30" s="90" t="s">
        <v>53</v>
      </c>
      <c r="C30" s="90"/>
      <c r="D30" s="90"/>
      <c r="E30" s="82"/>
      <c r="F30" s="562">
        <f>F29+1</f>
        <v>26</v>
      </c>
      <c r="G30" s="573" t="s">
        <v>54</v>
      </c>
      <c r="H30" s="564"/>
      <c r="I30" s="1344"/>
      <c r="J30" s="1345"/>
      <c r="K30" s="1345"/>
      <c r="L30" s="1345"/>
      <c r="M30" s="1345"/>
      <c r="N30" s="1344"/>
      <c r="O30" s="1346"/>
    </row>
    <row r="31" spans="1:15" s="48" customFormat="1" x14ac:dyDescent="0.2">
      <c r="A31" s="543"/>
      <c r="B31" s="90" t="s">
        <v>55</v>
      </c>
      <c r="C31" s="90"/>
      <c r="D31" s="90"/>
      <c r="E31" s="82"/>
      <c r="F31" s="562">
        <f t="shared" ref="F31:F42" si="4">F30+1</f>
        <v>27</v>
      </c>
      <c r="G31" s="573" t="s">
        <v>56</v>
      </c>
      <c r="H31" s="564"/>
      <c r="I31" s="1344"/>
      <c r="J31" s="1345"/>
      <c r="K31" s="1345"/>
      <c r="L31" s="1345"/>
      <c r="M31" s="1345"/>
      <c r="N31" s="1344"/>
      <c r="O31" s="1346"/>
    </row>
    <row r="32" spans="1:15" s="48" customFormat="1" x14ac:dyDescent="0.2">
      <c r="A32" s="543"/>
      <c r="B32" s="569" t="s">
        <v>57</v>
      </c>
      <c r="C32" s="570"/>
      <c r="D32" s="570"/>
      <c r="E32" s="570"/>
      <c r="F32" s="562">
        <f t="shared" si="4"/>
        <v>28</v>
      </c>
      <c r="G32" s="571" t="s">
        <v>439</v>
      </c>
      <c r="H32" s="564"/>
      <c r="I32" s="1344"/>
      <c r="J32" s="1345"/>
      <c r="K32" s="1345"/>
      <c r="L32" s="1345"/>
      <c r="M32" s="1345"/>
      <c r="N32" s="1344"/>
      <c r="O32" s="1346"/>
    </row>
    <row r="33" spans="1:15" s="48" customFormat="1" x14ac:dyDescent="0.2">
      <c r="A33" s="543"/>
      <c r="B33" s="569" t="s">
        <v>115</v>
      </c>
      <c r="C33" s="569"/>
      <c r="D33" s="569"/>
      <c r="E33" s="570"/>
      <c r="F33" s="562">
        <f t="shared" si="4"/>
        <v>29</v>
      </c>
      <c r="G33" s="572" t="s">
        <v>440</v>
      </c>
      <c r="H33" s="564"/>
      <c r="I33" s="1344"/>
      <c r="J33" s="1345"/>
      <c r="K33" s="1345"/>
      <c r="L33" s="1345"/>
      <c r="M33" s="1345"/>
      <c r="N33" s="1344"/>
      <c r="O33" s="1346"/>
    </row>
    <row r="34" spans="1:15" s="48" customFormat="1" x14ac:dyDescent="0.2">
      <c r="A34" s="543"/>
      <c r="B34" s="569" t="s">
        <v>58</v>
      </c>
      <c r="C34" s="569"/>
      <c r="D34" s="569"/>
      <c r="E34" s="570"/>
      <c r="F34" s="562">
        <f t="shared" si="4"/>
        <v>30</v>
      </c>
      <c r="G34" s="572" t="s">
        <v>110</v>
      </c>
      <c r="H34" s="564"/>
      <c r="I34" s="1344"/>
      <c r="J34" s="1345"/>
      <c r="K34" s="1345"/>
      <c r="L34" s="1345"/>
      <c r="M34" s="1345"/>
      <c r="N34" s="1344"/>
      <c r="O34" s="1346"/>
    </row>
    <row r="35" spans="1:15" s="48" customFormat="1" x14ac:dyDescent="0.2">
      <c r="A35" s="543"/>
      <c r="B35" s="569" t="s">
        <v>490</v>
      </c>
      <c r="C35" s="569"/>
      <c r="D35" s="569"/>
      <c r="E35" s="570"/>
      <c r="F35" s="562">
        <f t="shared" si="4"/>
        <v>31</v>
      </c>
      <c r="G35" s="572" t="s">
        <v>111</v>
      </c>
      <c r="H35" s="564"/>
      <c r="I35" s="1344"/>
      <c r="J35" s="1345"/>
      <c r="K35" s="1345"/>
      <c r="L35" s="1345"/>
      <c r="M35" s="1345"/>
      <c r="N35" s="1344"/>
      <c r="O35" s="1346"/>
    </row>
    <row r="36" spans="1:15" s="48" customFormat="1" x14ac:dyDescent="0.2">
      <c r="A36" s="543"/>
      <c r="B36" s="569" t="s">
        <v>116</v>
      </c>
      <c r="C36" s="569"/>
      <c r="D36" s="569"/>
      <c r="E36" s="570"/>
      <c r="F36" s="562">
        <f t="shared" si="4"/>
        <v>32</v>
      </c>
      <c r="G36" s="572" t="s">
        <v>59</v>
      </c>
      <c r="H36" s="564"/>
      <c r="I36" s="1344"/>
      <c r="J36" s="1345"/>
      <c r="K36" s="1345"/>
      <c r="L36" s="1345"/>
      <c r="M36" s="1345"/>
      <c r="N36" s="1344"/>
      <c r="O36" s="1346"/>
    </row>
    <row r="37" spans="1:15" s="48" customFormat="1" x14ac:dyDescent="0.2">
      <c r="A37" s="543"/>
      <c r="B37" s="569" t="s">
        <v>153</v>
      </c>
      <c r="C37" s="569"/>
      <c r="D37" s="569"/>
      <c r="E37" s="570"/>
      <c r="F37" s="562">
        <f t="shared" si="4"/>
        <v>33</v>
      </c>
      <c r="G37" s="572">
        <v>2112</v>
      </c>
      <c r="H37" s="564"/>
      <c r="I37" s="1344"/>
      <c r="J37" s="1345"/>
      <c r="K37" s="1345"/>
      <c r="L37" s="1345"/>
      <c r="M37" s="1345"/>
      <c r="N37" s="1344"/>
      <c r="O37" s="1346"/>
    </row>
    <row r="38" spans="1:15" s="48" customFormat="1" x14ac:dyDescent="0.2">
      <c r="A38" s="543"/>
      <c r="B38" s="569" t="s">
        <v>117</v>
      </c>
      <c r="C38" s="569"/>
      <c r="D38" s="569"/>
      <c r="E38" s="570"/>
      <c r="F38" s="562">
        <f t="shared" si="4"/>
        <v>34</v>
      </c>
      <c r="G38" s="572" t="s">
        <v>579</v>
      </c>
      <c r="H38" s="564"/>
      <c r="I38" s="1344"/>
      <c r="J38" s="1345"/>
      <c r="K38" s="1345"/>
      <c r="L38" s="1345"/>
      <c r="M38" s="1345"/>
      <c r="N38" s="1344"/>
      <c r="O38" s="1346"/>
    </row>
    <row r="39" spans="1:15" s="48" customFormat="1" x14ac:dyDescent="0.2">
      <c r="A39" s="543"/>
      <c r="B39" s="569" t="s">
        <v>181</v>
      </c>
      <c r="C39" s="569"/>
      <c r="D39" s="569"/>
      <c r="E39" s="570"/>
      <c r="F39" s="562">
        <f t="shared" si="4"/>
        <v>35</v>
      </c>
      <c r="G39" s="572" t="s">
        <v>578</v>
      </c>
      <c r="H39" s="564"/>
      <c r="I39" s="1344"/>
      <c r="J39" s="1345"/>
      <c r="K39" s="1345"/>
      <c r="L39" s="1345"/>
      <c r="M39" s="1345"/>
      <c r="N39" s="1344"/>
      <c r="O39" s="1346"/>
    </row>
    <row r="40" spans="1:15" s="48" customFormat="1" x14ac:dyDescent="0.2">
      <c r="A40" s="543"/>
      <c r="B40" s="569" t="s">
        <v>112</v>
      </c>
      <c r="C40" s="569"/>
      <c r="D40" s="569"/>
      <c r="E40" s="570"/>
      <c r="F40" s="562">
        <f t="shared" si="4"/>
        <v>36</v>
      </c>
      <c r="G40" s="572" t="s">
        <v>113</v>
      </c>
      <c r="H40" s="564"/>
      <c r="I40" s="1344"/>
      <c r="J40" s="1345"/>
      <c r="K40" s="1345"/>
      <c r="L40" s="1345"/>
      <c r="M40" s="1345"/>
      <c r="N40" s="1344"/>
      <c r="O40" s="1346"/>
    </row>
    <row r="41" spans="1:15" s="48" customFormat="1" x14ac:dyDescent="0.2">
      <c r="A41" s="543"/>
      <c r="B41" s="569" t="s">
        <v>118</v>
      </c>
      <c r="C41" s="569"/>
      <c r="D41" s="569"/>
      <c r="E41" s="570"/>
      <c r="F41" s="562">
        <f t="shared" si="4"/>
        <v>37</v>
      </c>
      <c r="G41" s="572" t="s">
        <v>182</v>
      </c>
      <c r="H41" s="564"/>
      <c r="I41" s="1344"/>
      <c r="J41" s="1345"/>
      <c r="K41" s="1345"/>
      <c r="L41" s="1345"/>
      <c r="M41" s="1345"/>
      <c r="N41" s="1344"/>
      <c r="O41" s="1346"/>
    </row>
    <row r="42" spans="1:15" s="48" customFormat="1" x14ac:dyDescent="0.2">
      <c r="A42" s="543"/>
      <c r="B42" s="569" t="s">
        <v>64</v>
      </c>
      <c r="C42" s="569"/>
      <c r="D42" s="569"/>
      <c r="E42" s="570"/>
      <c r="F42" s="562">
        <f t="shared" si="4"/>
        <v>38</v>
      </c>
      <c r="G42" s="572" t="s">
        <v>157</v>
      </c>
      <c r="H42" s="564"/>
      <c r="I42" s="1344"/>
      <c r="J42" s="1345"/>
      <c r="K42" s="1345"/>
      <c r="L42" s="1345"/>
      <c r="M42" s="1345"/>
      <c r="N42" s="1344"/>
      <c r="O42" s="1346"/>
    </row>
    <row r="43" spans="1:15" s="48" customFormat="1" x14ac:dyDescent="0.2">
      <c r="A43" s="577"/>
      <c r="B43" s="578" t="s">
        <v>61</v>
      </c>
      <c r="C43" s="578"/>
      <c r="D43" s="578"/>
      <c r="E43" s="578"/>
      <c r="F43" s="579">
        <f>F42+1</f>
        <v>39</v>
      </c>
      <c r="G43" s="580" t="s">
        <v>62</v>
      </c>
      <c r="H43" s="951"/>
      <c r="I43" s="581"/>
      <c r="J43" s="582"/>
      <c r="K43" s="582"/>
      <c r="L43" s="582"/>
      <c r="M43" s="582"/>
      <c r="N43" s="581"/>
      <c r="O43" s="583"/>
    </row>
    <row r="44" spans="1:15" s="48" customFormat="1" ht="13.5" thickBot="1" x14ac:dyDescent="0.25">
      <c r="A44" s="584" t="s">
        <v>492</v>
      </c>
      <c r="B44" s="585"/>
      <c r="C44" s="585"/>
      <c r="D44" s="585"/>
      <c r="E44" s="96"/>
      <c r="F44" s="562">
        <f>F43+1</f>
        <v>40</v>
      </c>
      <c r="G44" s="586"/>
      <c r="H44" s="587">
        <f>H29+H33+H37+H41+H42+H43-H4-H27</f>
        <v>0</v>
      </c>
      <c r="I44" s="588"/>
      <c r="J44" s="589"/>
      <c r="K44" s="589"/>
      <c r="L44" s="589"/>
      <c r="M44" s="589"/>
      <c r="N44" s="588"/>
      <c r="O44" s="590">
        <f>O29+O33+O37+O41+O42+O43-O4-O27</f>
        <v>0</v>
      </c>
    </row>
    <row r="45" spans="1:15" ht="13.5" thickBot="1" x14ac:dyDescent="0.25">
      <c r="A45" s="574" t="s">
        <v>493</v>
      </c>
      <c r="B45" s="575"/>
      <c r="C45" s="575"/>
      <c r="D45" s="575"/>
      <c r="E45" s="575"/>
      <c r="F45" s="537">
        <f>F44+1</f>
        <v>41</v>
      </c>
      <c r="G45" s="576"/>
      <c r="H45" s="458">
        <f t="shared" ref="H45:O45" si="5">H28-H3</f>
        <v>0</v>
      </c>
      <c r="I45" s="540">
        <f t="shared" si="5"/>
        <v>0</v>
      </c>
      <c r="J45" s="541">
        <f t="shared" si="5"/>
        <v>0</v>
      </c>
      <c r="K45" s="541">
        <f t="shared" si="5"/>
        <v>0</v>
      </c>
      <c r="L45" s="541">
        <f t="shared" si="5"/>
        <v>0</v>
      </c>
      <c r="M45" s="541">
        <f t="shared" si="5"/>
        <v>0</v>
      </c>
      <c r="N45" s="540">
        <f t="shared" si="5"/>
        <v>0</v>
      </c>
      <c r="O45" s="542">
        <f t="shared" si="5"/>
        <v>0</v>
      </c>
    </row>
    <row r="46" spans="1:15" x14ac:dyDescent="0.2">
      <c r="A46" s="45" t="s">
        <v>73</v>
      </c>
      <c r="B46" s="45"/>
      <c r="C46" s="45"/>
      <c r="D46" s="45"/>
      <c r="E46" s="45"/>
      <c r="F46" s="171"/>
      <c r="G46" s="591" t="s">
        <v>74</v>
      </c>
    </row>
    <row r="47" spans="1:15" s="45" customFormat="1" x14ac:dyDescent="0.2">
      <c r="F47" s="171"/>
      <c r="G47" s="591"/>
      <c r="H47" s="33"/>
      <c r="I47" s="48"/>
      <c r="J47" s="48"/>
      <c r="K47" s="48"/>
      <c r="L47" s="48"/>
      <c r="M47" s="48"/>
      <c r="N47" s="48"/>
    </row>
    <row r="48" spans="1:15" s="45" customFormat="1" x14ac:dyDescent="0.2">
      <c r="A48" s="469" t="s">
        <v>119</v>
      </c>
      <c r="F48" s="171"/>
      <c r="G48" s="591"/>
      <c r="H48" s="33"/>
      <c r="I48" s="48"/>
      <c r="J48" s="48"/>
      <c r="K48" s="48"/>
      <c r="L48" s="48"/>
      <c r="M48" s="48"/>
      <c r="N48" s="48"/>
    </row>
    <row r="49" spans="1:14" s="45" customFormat="1" x14ac:dyDescent="0.2">
      <c r="A49" s="469" t="s">
        <v>187</v>
      </c>
      <c r="F49" s="171"/>
      <c r="G49" s="591"/>
      <c r="H49" s="33"/>
      <c r="I49" s="48"/>
      <c r="J49" s="48"/>
      <c r="K49" s="48"/>
      <c r="L49" s="48"/>
      <c r="M49" s="48"/>
      <c r="N49" s="48"/>
    </row>
    <row r="50" spans="1:14" s="45" customFormat="1" x14ac:dyDescent="0.2">
      <c r="A50" s="469" t="s">
        <v>120</v>
      </c>
      <c r="F50" s="171"/>
      <c r="G50" s="591"/>
      <c r="H50" s="1347"/>
      <c r="I50" s="48"/>
      <c r="J50" s="48"/>
      <c r="K50" s="48"/>
      <c r="L50" s="48"/>
      <c r="M50" s="48"/>
      <c r="N50" s="48"/>
    </row>
    <row r="51" spans="1:14" s="469" customFormat="1" x14ac:dyDescent="0.2">
      <c r="A51" s="592" t="s">
        <v>494</v>
      </c>
      <c r="F51" s="593"/>
      <c r="G51" s="594"/>
      <c r="H51" s="595"/>
      <c r="I51" s="596"/>
      <c r="J51" s="596"/>
      <c r="K51" s="596"/>
      <c r="L51" s="596"/>
      <c r="M51" s="596"/>
      <c r="N51" s="596"/>
    </row>
    <row r="52" spans="1:14" s="469" customFormat="1" x14ac:dyDescent="0.2">
      <c r="A52" s="469" t="s">
        <v>495</v>
      </c>
      <c r="F52" s="593"/>
      <c r="G52" s="594"/>
      <c r="H52" s="595"/>
      <c r="I52" s="596"/>
      <c r="J52" s="596"/>
      <c r="K52" s="596"/>
      <c r="L52" s="596"/>
      <c r="M52" s="596"/>
      <c r="N52" s="596"/>
    </row>
    <row r="53" spans="1:14" s="469" customFormat="1" x14ac:dyDescent="0.2">
      <c r="A53" s="469" t="s">
        <v>496</v>
      </c>
      <c r="F53" s="593"/>
      <c r="G53" s="594"/>
      <c r="H53" s="595"/>
      <c r="I53" s="596"/>
      <c r="J53" s="596"/>
      <c r="K53" s="596"/>
      <c r="L53" s="596"/>
      <c r="M53" s="596"/>
      <c r="N53" s="596"/>
    </row>
    <row r="54" spans="1:14" s="45" customFormat="1" x14ac:dyDescent="0.2">
      <c r="A54" s="469"/>
      <c r="B54" s="469"/>
      <c r="C54" s="469"/>
      <c r="D54" s="469"/>
      <c r="E54" s="469"/>
      <c r="F54" s="171"/>
      <c r="G54" s="591"/>
      <c r="H54" s="33"/>
      <c r="I54" s="48"/>
      <c r="J54" s="48"/>
      <c r="K54" s="48"/>
      <c r="L54" s="48"/>
      <c r="M54" s="48"/>
      <c r="N54" s="48"/>
    </row>
    <row r="55" spans="1:14" s="45" customFormat="1" x14ac:dyDescent="0.2">
      <c r="A55" s="469"/>
      <c r="B55" s="469"/>
      <c r="C55" s="469"/>
      <c r="D55" s="469"/>
      <c r="E55" s="469"/>
      <c r="F55" s="171"/>
      <c r="G55" s="591"/>
      <c r="H55" s="33"/>
      <c r="I55" s="48"/>
      <c r="J55" s="48"/>
      <c r="K55" s="48"/>
      <c r="L55" s="48"/>
      <c r="M55" s="48"/>
      <c r="N55" s="48"/>
    </row>
    <row r="56" spans="1:14" s="45" customFormat="1" x14ac:dyDescent="0.2">
      <c r="A56" s="469"/>
      <c r="B56" s="469"/>
      <c r="C56" s="469"/>
      <c r="D56" s="469"/>
      <c r="E56" s="469"/>
      <c r="F56" s="171"/>
      <c r="G56" s="591"/>
      <c r="H56" s="33"/>
      <c r="I56" s="48"/>
      <c r="J56" s="48"/>
      <c r="K56" s="48"/>
      <c r="L56" s="48"/>
      <c r="M56" s="48"/>
      <c r="N56" s="48"/>
    </row>
    <row r="57" spans="1:14" s="45" customFormat="1" x14ac:dyDescent="0.2">
      <c r="A57" s="469"/>
      <c r="B57" s="469"/>
      <c r="C57" s="469"/>
      <c r="D57" s="469"/>
      <c r="E57" s="469"/>
      <c r="F57" s="171"/>
      <c r="G57" s="591"/>
      <c r="H57" s="33"/>
      <c r="I57" s="48"/>
      <c r="J57" s="48"/>
      <c r="K57" s="48"/>
      <c r="L57" s="48"/>
      <c r="M57" s="48"/>
      <c r="N57" s="48"/>
    </row>
  </sheetData>
  <mergeCells count="3">
    <mergeCell ref="A1:D1"/>
    <mergeCell ref="J1:N1"/>
    <mergeCell ref="D2:E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zoomScaleNormal="100" workbookViewId="0"/>
  </sheetViews>
  <sheetFormatPr defaultRowHeight="12.75" x14ac:dyDescent="0.2"/>
  <cols>
    <col min="1" max="1" width="4.42578125" style="1428" customWidth="1"/>
    <col min="2" max="2" width="9.140625" style="1428"/>
    <col min="3" max="3" width="18.42578125" style="1428" customWidth="1"/>
    <col min="4" max="4" width="11.7109375" style="1428" customWidth="1"/>
    <col min="5" max="5" width="12.85546875" style="1428" customWidth="1"/>
    <col min="6" max="9" width="9.140625" style="1428"/>
    <col min="10" max="10" width="10.5703125" style="1428" bestFit="1" customWidth="1"/>
    <col min="11" max="256" width="9.140625" style="1428"/>
    <col min="257" max="257" width="4.42578125" style="1428" customWidth="1"/>
    <col min="258" max="258" width="9.140625" style="1428"/>
    <col min="259" max="259" width="18.42578125" style="1428" customWidth="1"/>
    <col min="260" max="260" width="11.7109375" style="1428" customWidth="1"/>
    <col min="261" max="261" width="12.85546875" style="1428" customWidth="1"/>
    <col min="262" max="512" width="9.140625" style="1428"/>
    <col min="513" max="513" width="4.42578125" style="1428" customWidth="1"/>
    <col min="514" max="514" width="9.140625" style="1428"/>
    <col min="515" max="515" width="18.42578125" style="1428" customWidth="1"/>
    <col min="516" max="516" width="11.7109375" style="1428" customWidth="1"/>
    <col min="517" max="517" width="12.85546875" style="1428" customWidth="1"/>
    <col min="518" max="768" width="9.140625" style="1428"/>
    <col min="769" max="769" width="4.42578125" style="1428" customWidth="1"/>
    <col min="770" max="770" width="9.140625" style="1428"/>
    <col min="771" max="771" width="18.42578125" style="1428" customWidth="1"/>
    <col min="772" max="772" width="11.7109375" style="1428" customWidth="1"/>
    <col min="773" max="773" width="12.85546875" style="1428" customWidth="1"/>
    <col min="774" max="1024" width="9.140625" style="1428"/>
    <col min="1025" max="1025" width="4.42578125" style="1428" customWidth="1"/>
    <col min="1026" max="1026" width="9.140625" style="1428"/>
    <col min="1027" max="1027" width="18.42578125" style="1428" customWidth="1"/>
    <col min="1028" max="1028" width="11.7109375" style="1428" customWidth="1"/>
    <col min="1029" max="1029" width="12.85546875" style="1428" customWidth="1"/>
    <col min="1030" max="1280" width="9.140625" style="1428"/>
    <col min="1281" max="1281" width="4.42578125" style="1428" customWidth="1"/>
    <col min="1282" max="1282" width="9.140625" style="1428"/>
    <col min="1283" max="1283" width="18.42578125" style="1428" customWidth="1"/>
    <col min="1284" max="1284" width="11.7109375" style="1428" customWidth="1"/>
    <col min="1285" max="1285" width="12.85546875" style="1428" customWidth="1"/>
    <col min="1286" max="1536" width="9.140625" style="1428"/>
    <col min="1537" max="1537" width="4.42578125" style="1428" customWidth="1"/>
    <col min="1538" max="1538" width="9.140625" style="1428"/>
    <col min="1539" max="1539" width="18.42578125" style="1428" customWidth="1"/>
    <col min="1540" max="1540" width="11.7109375" style="1428" customWidth="1"/>
    <col min="1541" max="1541" width="12.85546875" style="1428" customWidth="1"/>
    <col min="1542" max="1792" width="9.140625" style="1428"/>
    <col min="1793" max="1793" width="4.42578125" style="1428" customWidth="1"/>
    <col min="1794" max="1794" width="9.140625" style="1428"/>
    <col min="1795" max="1795" width="18.42578125" style="1428" customWidth="1"/>
    <col min="1796" max="1796" width="11.7109375" style="1428" customWidth="1"/>
    <col min="1797" max="1797" width="12.85546875" style="1428" customWidth="1"/>
    <col min="1798" max="2048" width="9.140625" style="1428"/>
    <col min="2049" max="2049" width="4.42578125" style="1428" customWidth="1"/>
    <col min="2050" max="2050" width="9.140625" style="1428"/>
    <col min="2051" max="2051" width="18.42578125" style="1428" customWidth="1"/>
    <col min="2052" max="2052" width="11.7109375" style="1428" customWidth="1"/>
    <col min="2053" max="2053" width="12.85546875" style="1428" customWidth="1"/>
    <col min="2054" max="2304" width="9.140625" style="1428"/>
    <col min="2305" max="2305" width="4.42578125" style="1428" customWidth="1"/>
    <col min="2306" max="2306" width="9.140625" style="1428"/>
    <col min="2307" max="2307" width="18.42578125" style="1428" customWidth="1"/>
    <col min="2308" max="2308" width="11.7109375" style="1428" customWidth="1"/>
    <col min="2309" max="2309" width="12.85546875" style="1428" customWidth="1"/>
    <col min="2310" max="2560" width="9.140625" style="1428"/>
    <col min="2561" max="2561" width="4.42578125" style="1428" customWidth="1"/>
    <col min="2562" max="2562" width="9.140625" style="1428"/>
    <col min="2563" max="2563" width="18.42578125" style="1428" customWidth="1"/>
    <col min="2564" max="2564" width="11.7109375" style="1428" customWidth="1"/>
    <col min="2565" max="2565" width="12.85546875" style="1428" customWidth="1"/>
    <col min="2566" max="2816" width="9.140625" style="1428"/>
    <col min="2817" max="2817" width="4.42578125" style="1428" customWidth="1"/>
    <col min="2818" max="2818" width="9.140625" style="1428"/>
    <col min="2819" max="2819" width="18.42578125" style="1428" customWidth="1"/>
    <col min="2820" max="2820" width="11.7109375" style="1428" customWidth="1"/>
    <col min="2821" max="2821" width="12.85546875" style="1428" customWidth="1"/>
    <col min="2822" max="3072" width="9.140625" style="1428"/>
    <col min="3073" max="3073" width="4.42578125" style="1428" customWidth="1"/>
    <col min="3074" max="3074" width="9.140625" style="1428"/>
    <col min="3075" max="3075" width="18.42578125" style="1428" customWidth="1"/>
    <col min="3076" max="3076" width="11.7109375" style="1428" customWidth="1"/>
    <col min="3077" max="3077" width="12.85546875" style="1428" customWidth="1"/>
    <col min="3078" max="3328" width="9.140625" style="1428"/>
    <col min="3329" max="3329" width="4.42578125" style="1428" customWidth="1"/>
    <col min="3330" max="3330" width="9.140625" style="1428"/>
    <col min="3331" max="3331" width="18.42578125" style="1428" customWidth="1"/>
    <col min="3332" max="3332" width="11.7109375" style="1428" customWidth="1"/>
    <col min="3333" max="3333" width="12.85546875" style="1428" customWidth="1"/>
    <col min="3334" max="3584" width="9.140625" style="1428"/>
    <col min="3585" max="3585" width="4.42578125" style="1428" customWidth="1"/>
    <col min="3586" max="3586" width="9.140625" style="1428"/>
    <col min="3587" max="3587" width="18.42578125" style="1428" customWidth="1"/>
    <col min="3588" max="3588" width="11.7109375" style="1428" customWidth="1"/>
    <col min="3589" max="3589" width="12.85546875" style="1428" customWidth="1"/>
    <col min="3590" max="3840" width="9.140625" style="1428"/>
    <col min="3841" max="3841" width="4.42578125" style="1428" customWidth="1"/>
    <col min="3842" max="3842" width="9.140625" style="1428"/>
    <col min="3843" max="3843" width="18.42578125" style="1428" customWidth="1"/>
    <col min="3844" max="3844" width="11.7109375" style="1428" customWidth="1"/>
    <col min="3845" max="3845" width="12.85546875" style="1428" customWidth="1"/>
    <col min="3846" max="4096" width="9.140625" style="1428"/>
    <col min="4097" max="4097" width="4.42578125" style="1428" customWidth="1"/>
    <col min="4098" max="4098" width="9.140625" style="1428"/>
    <col min="4099" max="4099" width="18.42578125" style="1428" customWidth="1"/>
    <col min="4100" max="4100" width="11.7109375" style="1428" customWidth="1"/>
    <col min="4101" max="4101" width="12.85546875" style="1428" customWidth="1"/>
    <col min="4102" max="4352" width="9.140625" style="1428"/>
    <col min="4353" max="4353" width="4.42578125" style="1428" customWidth="1"/>
    <col min="4354" max="4354" width="9.140625" style="1428"/>
    <col min="4355" max="4355" width="18.42578125" style="1428" customWidth="1"/>
    <col min="4356" max="4356" width="11.7109375" style="1428" customWidth="1"/>
    <col min="4357" max="4357" width="12.85546875" style="1428" customWidth="1"/>
    <col min="4358" max="4608" width="9.140625" style="1428"/>
    <col min="4609" max="4609" width="4.42578125" style="1428" customWidth="1"/>
    <col min="4610" max="4610" width="9.140625" style="1428"/>
    <col min="4611" max="4611" width="18.42578125" style="1428" customWidth="1"/>
    <col min="4612" max="4612" width="11.7109375" style="1428" customWidth="1"/>
    <col min="4613" max="4613" width="12.85546875" style="1428" customWidth="1"/>
    <col min="4614" max="4864" width="9.140625" style="1428"/>
    <col min="4865" max="4865" width="4.42578125" style="1428" customWidth="1"/>
    <col min="4866" max="4866" width="9.140625" style="1428"/>
    <col min="4867" max="4867" width="18.42578125" style="1428" customWidth="1"/>
    <col min="4868" max="4868" width="11.7109375" style="1428" customWidth="1"/>
    <col min="4869" max="4869" width="12.85546875" style="1428" customWidth="1"/>
    <col min="4870" max="5120" width="9.140625" style="1428"/>
    <col min="5121" max="5121" width="4.42578125" style="1428" customWidth="1"/>
    <col min="5122" max="5122" width="9.140625" style="1428"/>
    <col min="5123" max="5123" width="18.42578125" style="1428" customWidth="1"/>
    <col min="5124" max="5124" width="11.7109375" style="1428" customWidth="1"/>
    <col min="5125" max="5125" width="12.85546875" style="1428" customWidth="1"/>
    <col min="5126" max="5376" width="9.140625" style="1428"/>
    <col min="5377" max="5377" width="4.42578125" style="1428" customWidth="1"/>
    <col min="5378" max="5378" width="9.140625" style="1428"/>
    <col min="5379" max="5379" width="18.42578125" style="1428" customWidth="1"/>
    <col min="5380" max="5380" width="11.7109375" style="1428" customWidth="1"/>
    <col min="5381" max="5381" width="12.85546875" style="1428" customWidth="1"/>
    <col min="5382" max="5632" width="9.140625" style="1428"/>
    <col min="5633" max="5633" width="4.42578125" style="1428" customWidth="1"/>
    <col min="5634" max="5634" width="9.140625" style="1428"/>
    <col min="5635" max="5635" width="18.42578125" style="1428" customWidth="1"/>
    <col min="5636" max="5636" width="11.7109375" style="1428" customWidth="1"/>
    <col min="5637" max="5637" width="12.85546875" style="1428" customWidth="1"/>
    <col min="5638" max="5888" width="9.140625" style="1428"/>
    <col min="5889" max="5889" width="4.42578125" style="1428" customWidth="1"/>
    <col min="5890" max="5890" width="9.140625" style="1428"/>
    <col min="5891" max="5891" width="18.42578125" style="1428" customWidth="1"/>
    <col min="5892" max="5892" width="11.7109375" style="1428" customWidth="1"/>
    <col min="5893" max="5893" width="12.85546875" style="1428" customWidth="1"/>
    <col min="5894" max="6144" width="9.140625" style="1428"/>
    <col min="6145" max="6145" width="4.42578125" style="1428" customWidth="1"/>
    <col min="6146" max="6146" width="9.140625" style="1428"/>
    <col min="6147" max="6147" width="18.42578125" style="1428" customWidth="1"/>
    <col min="6148" max="6148" width="11.7109375" style="1428" customWidth="1"/>
    <col min="6149" max="6149" width="12.85546875" style="1428" customWidth="1"/>
    <col min="6150" max="6400" width="9.140625" style="1428"/>
    <col min="6401" max="6401" width="4.42578125" style="1428" customWidth="1"/>
    <col min="6402" max="6402" width="9.140625" style="1428"/>
    <col min="6403" max="6403" width="18.42578125" style="1428" customWidth="1"/>
    <col min="6404" max="6404" width="11.7109375" style="1428" customWidth="1"/>
    <col min="6405" max="6405" width="12.85546875" style="1428" customWidth="1"/>
    <col min="6406" max="6656" width="9.140625" style="1428"/>
    <col min="6657" max="6657" width="4.42578125" style="1428" customWidth="1"/>
    <col min="6658" max="6658" width="9.140625" style="1428"/>
    <col min="6659" max="6659" width="18.42578125" style="1428" customWidth="1"/>
    <col min="6660" max="6660" width="11.7109375" style="1428" customWidth="1"/>
    <col min="6661" max="6661" width="12.85546875" style="1428" customWidth="1"/>
    <col min="6662" max="6912" width="9.140625" style="1428"/>
    <col min="6913" max="6913" width="4.42578125" style="1428" customWidth="1"/>
    <col min="6914" max="6914" width="9.140625" style="1428"/>
    <col min="6915" max="6915" width="18.42578125" style="1428" customWidth="1"/>
    <col min="6916" max="6916" width="11.7109375" style="1428" customWidth="1"/>
    <col min="6917" max="6917" width="12.85546875" style="1428" customWidth="1"/>
    <col min="6918" max="7168" width="9.140625" style="1428"/>
    <col min="7169" max="7169" width="4.42578125" style="1428" customWidth="1"/>
    <col min="7170" max="7170" width="9.140625" style="1428"/>
    <col min="7171" max="7171" width="18.42578125" style="1428" customWidth="1"/>
    <col min="7172" max="7172" width="11.7109375" style="1428" customWidth="1"/>
    <col min="7173" max="7173" width="12.85546875" style="1428" customWidth="1"/>
    <col min="7174" max="7424" width="9.140625" style="1428"/>
    <col min="7425" max="7425" width="4.42578125" style="1428" customWidth="1"/>
    <col min="7426" max="7426" width="9.140625" style="1428"/>
    <col min="7427" max="7427" width="18.42578125" style="1428" customWidth="1"/>
    <col min="7428" max="7428" width="11.7109375" style="1428" customWidth="1"/>
    <col min="7429" max="7429" width="12.85546875" style="1428" customWidth="1"/>
    <col min="7430" max="7680" width="9.140625" style="1428"/>
    <col min="7681" max="7681" width="4.42578125" style="1428" customWidth="1"/>
    <col min="7682" max="7682" width="9.140625" style="1428"/>
    <col min="7683" max="7683" width="18.42578125" style="1428" customWidth="1"/>
    <col min="7684" max="7684" width="11.7109375" style="1428" customWidth="1"/>
    <col min="7685" max="7685" width="12.85546875" style="1428" customWidth="1"/>
    <col min="7686" max="7936" width="9.140625" style="1428"/>
    <col min="7937" max="7937" width="4.42578125" style="1428" customWidth="1"/>
    <col min="7938" max="7938" width="9.140625" style="1428"/>
    <col min="7939" max="7939" width="18.42578125" style="1428" customWidth="1"/>
    <col min="7940" max="7940" width="11.7109375" style="1428" customWidth="1"/>
    <col min="7941" max="7941" width="12.85546875" style="1428" customWidth="1"/>
    <col min="7942" max="8192" width="9.140625" style="1428"/>
    <col min="8193" max="8193" width="4.42578125" style="1428" customWidth="1"/>
    <col min="8194" max="8194" width="9.140625" style="1428"/>
    <col min="8195" max="8195" width="18.42578125" style="1428" customWidth="1"/>
    <col min="8196" max="8196" width="11.7109375" style="1428" customWidth="1"/>
    <col min="8197" max="8197" width="12.85546875" style="1428" customWidth="1"/>
    <col min="8198" max="8448" width="9.140625" style="1428"/>
    <col min="8449" max="8449" width="4.42578125" style="1428" customWidth="1"/>
    <col min="8450" max="8450" width="9.140625" style="1428"/>
    <col min="8451" max="8451" width="18.42578125" style="1428" customWidth="1"/>
    <col min="8452" max="8452" width="11.7109375" style="1428" customWidth="1"/>
    <col min="8453" max="8453" width="12.85546875" style="1428" customWidth="1"/>
    <col min="8454" max="8704" width="9.140625" style="1428"/>
    <col min="8705" max="8705" width="4.42578125" style="1428" customWidth="1"/>
    <col min="8706" max="8706" width="9.140625" style="1428"/>
    <col min="8707" max="8707" width="18.42578125" style="1428" customWidth="1"/>
    <col min="8708" max="8708" width="11.7109375" style="1428" customWidth="1"/>
    <col min="8709" max="8709" width="12.85546875" style="1428" customWidth="1"/>
    <col min="8710" max="8960" width="9.140625" style="1428"/>
    <col min="8961" max="8961" width="4.42578125" style="1428" customWidth="1"/>
    <col min="8962" max="8962" width="9.140625" style="1428"/>
    <col min="8963" max="8963" width="18.42578125" style="1428" customWidth="1"/>
    <col min="8964" max="8964" width="11.7109375" style="1428" customWidth="1"/>
    <col min="8965" max="8965" width="12.85546875" style="1428" customWidth="1"/>
    <col min="8966" max="9216" width="9.140625" style="1428"/>
    <col min="9217" max="9217" width="4.42578125" style="1428" customWidth="1"/>
    <col min="9218" max="9218" width="9.140625" style="1428"/>
    <col min="9219" max="9219" width="18.42578125" style="1428" customWidth="1"/>
    <col min="9220" max="9220" width="11.7109375" style="1428" customWidth="1"/>
    <col min="9221" max="9221" width="12.85546875" style="1428" customWidth="1"/>
    <col min="9222" max="9472" width="9.140625" style="1428"/>
    <col min="9473" max="9473" width="4.42578125" style="1428" customWidth="1"/>
    <col min="9474" max="9474" width="9.140625" style="1428"/>
    <col min="9475" max="9475" width="18.42578125" style="1428" customWidth="1"/>
    <col min="9476" max="9476" width="11.7109375" style="1428" customWidth="1"/>
    <col min="9477" max="9477" width="12.85546875" style="1428" customWidth="1"/>
    <col min="9478" max="9728" width="9.140625" style="1428"/>
    <col min="9729" max="9729" width="4.42578125" style="1428" customWidth="1"/>
    <col min="9730" max="9730" width="9.140625" style="1428"/>
    <col min="9731" max="9731" width="18.42578125" style="1428" customWidth="1"/>
    <col min="9732" max="9732" width="11.7109375" style="1428" customWidth="1"/>
    <col min="9733" max="9733" width="12.85546875" style="1428" customWidth="1"/>
    <col min="9734" max="9984" width="9.140625" style="1428"/>
    <col min="9985" max="9985" width="4.42578125" style="1428" customWidth="1"/>
    <col min="9986" max="9986" width="9.140625" style="1428"/>
    <col min="9987" max="9987" width="18.42578125" style="1428" customWidth="1"/>
    <col min="9988" max="9988" width="11.7109375" style="1428" customWidth="1"/>
    <col min="9989" max="9989" width="12.85546875" style="1428" customWidth="1"/>
    <col min="9990" max="10240" width="9.140625" style="1428"/>
    <col min="10241" max="10241" width="4.42578125" style="1428" customWidth="1"/>
    <col min="10242" max="10242" width="9.140625" style="1428"/>
    <col min="10243" max="10243" width="18.42578125" style="1428" customWidth="1"/>
    <col min="10244" max="10244" width="11.7109375" style="1428" customWidth="1"/>
    <col min="10245" max="10245" width="12.85546875" style="1428" customWidth="1"/>
    <col min="10246" max="10496" width="9.140625" style="1428"/>
    <col min="10497" max="10497" width="4.42578125" style="1428" customWidth="1"/>
    <col min="10498" max="10498" width="9.140625" style="1428"/>
    <col min="10499" max="10499" width="18.42578125" style="1428" customWidth="1"/>
    <col min="10500" max="10500" width="11.7109375" style="1428" customWidth="1"/>
    <col min="10501" max="10501" width="12.85546875" style="1428" customWidth="1"/>
    <col min="10502" max="10752" width="9.140625" style="1428"/>
    <col min="10753" max="10753" width="4.42578125" style="1428" customWidth="1"/>
    <col min="10754" max="10754" width="9.140625" style="1428"/>
    <col min="10755" max="10755" width="18.42578125" style="1428" customWidth="1"/>
    <col min="10756" max="10756" width="11.7109375" style="1428" customWidth="1"/>
    <col min="10757" max="10757" width="12.85546875" style="1428" customWidth="1"/>
    <col min="10758" max="11008" width="9.140625" style="1428"/>
    <col min="11009" max="11009" width="4.42578125" style="1428" customWidth="1"/>
    <col min="11010" max="11010" width="9.140625" style="1428"/>
    <col min="11011" max="11011" width="18.42578125" style="1428" customWidth="1"/>
    <col min="11012" max="11012" width="11.7109375" style="1428" customWidth="1"/>
    <col min="11013" max="11013" width="12.85546875" style="1428" customWidth="1"/>
    <col min="11014" max="11264" width="9.140625" style="1428"/>
    <col min="11265" max="11265" width="4.42578125" style="1428" customWidth="1"/>
    <col min="11266" max="11266" width="9.140625" style="1428"/>
    <col min="11267" max="11267" width="18.42578125" style="1428" customWidth="1"/>
    <col min="11268" max="11268" width="11.7109375" style="1428" customWidth="1"/>
    <col min="11269" max="11269" width="12.85546875" style="1428" customWidth="1"/>
    <col min="11270" max="11520" width="9.140625" style="1428"/>
    <col min="11521" max="11521" width="4.42578125" style="1428" customWidth="1"/>
    <col min="11522" max="11522" width="9.140625" style="1428"/>
    <col min="11523" max="11523" width="18.42578125" style="1428" customWidth="1"/>
    <col min="11524" max="11524" width="11.7109375" style="1428" customWidth="1"/>
    <col min="11525" max="11525" width="12.85546875" style="1428" customWidth="1"/>
    <col min="11526" max="11776" width="9.140625" style="1428"/>
    <col min="11777" max="11777" width="4.42578125" style="1428" customWidth="1"/>
    <col min="11778" max="11778" width="9.140625" style="1428"/>
    <col min="11779" max="11779" width="18.42578125" style="1428" customWidth="1"/>
    <col min="11780" max="11780" width="11.7109375" style="1428" customWidth="1"/>
    <col min="11781" max="11781" width="12.85546875" style="1428" customWidth="1"/>
    <col min="11782" max="12032" width="9.140625" style="1428"/>
    <col min="12033" max="12033" width="4.42578125" style="1428" customWidth="1"/>
    <col min="12034" max="12034" width="9.140625" style="1428"/>
    <col min="12035" max="12035" width="18.42578125" style="1428" customWidth="1"/>
    <col min="12036" max="12036" width="11.7109375" style="1428" customWidth="1"/>
    <col min="12037" max="12037" width="12.85546875" style="1428" customWidth="1"/>
    <col min="12038" max="12288" width="9.140625" style="1428"/>
    <col min="12289" max="12289" width="4.42578125" style="1428" customWidth="1"/>
    <col min="12290" max="12290" width="9.140625" style="1428"/>
    <col min="12291" max="12291" width="18.42578125" style="1428" customWidth="1"/>
    <col min="12292" max="12292" width="11.7109375" style="1428" customWidth="1"/>
    <col min="12293" max="12293" width="12.85546875" style="1428" customWidth="1"/>
    <col min="12294" max="12544" width="9.140625" style="1428"/>
    <col min="12545" max="12545" width="4.42578125" style="1428" customWidth="1"/>
    <col min="12546" max="12546" width="9.140625" style="1428"/>
    <col min="12547" max="12547" width="18.42578125" style="1428" customWidth="1"/>
    <col min="12548" max="12548" width="11.7109375" style="1428" customWidth="1"/>
    <col min="12549" max="12549" width="12.85546875" style="1428" customWidth="1"/>
    <col min="12550" max="12800" width="9.140625" style="1428"/>
    <col min="12801" max="12801" width="4.42578125" style="1428" customWidth="1"/>
    <col min="12802" max="12802" width="9.140625" style="1428"/>
    <col min="12803" max="12803" width="18.42578125" style="1428" customWidth="1"/>
    <col min="12804" max="12804" width="11.7109375" style="1428" customWidth="1"/>
    <col min="12805" max="12805" width="12.85546875" style="1428" customWidth="1"/>
    <col min="12806" max="13056" width="9.140625" style="1428"/>
    <col min="13057" max="13057" width="4.42578125" style="1428" customWidth="1"/>
    <col min="13058" max="13058" width="9.140625" style="1428"/>
    <col min="13059" max="13059" width="18.42578125" style="1428" customWidth="1"/>
    <col min="13060" max="13060" width="11.7109375" style="1428" customWidth="1"/>
    <col min="13061" max="13061" width="12.85546875" style="1428" customWidth="1"/>
    <col min="13062" max="13312" width="9.140625" style="1428"/>
    <col min="13313" max="13313" width="4.42578125" style="1428" customWidth="1"/>
    <col min="13314" max="13314" width="9.140625" style="1428"/>
    <col min="13315" max="13315" width="18.42578125" style="1428" customWidth="1"/>
    <col min="13316" max="13316" width="11.7109375" style="1428" customWidth="1"/>
    <col min="13317" max="13317" width="12.85546875" style="1428" customWidth="1"/>
    <col min="13318" max="13568" width="9.140625" style="1428"/>
    <col min="13569" max="13569" width="4.42578125" style="1428" customWidth="1"/>
    <col min="13570" max="13570" width="9.140625" style="1428"/>
    <col min="13571" max="13571" width="18.42578125" style="1428" customWidth="1"/>
    <col min="13572" max="13572" width="11.7109375" style="1428" customWidth="1"/>
    <col min="13573" max="13573" width="12.85546875" style="1428" customWidth="1"/>
    <col min="13574" max="13824" width="9.140625" style="1428"/>
    <col min="13825" max="13825" width="4.42578125" style="1428" customWidth="1"/>
    <col min="13826" max="13826" width="9.140625" style="1428"/>
    <col min="13827" max="13827" width="18.42578125" style="1428" customWidth="1"/>
    <col min="13828" max="13828" width="11.7109375" style="1428" customWidth="1"/>
    <col min="13829" max="13829" width="12.85546875" style="1428" customWidth="1"/>
    <col min="13830" max="14080" width="9.140625" style="1428"/>
    <col min="14081" max="14081" width="4.42578125" style="1428" customWidth="1"/>
    <col min="14082" max="14082" width="9.140625" style="1428"/>
    <col min="14083" max="14083" width="18.42578125" style="1428" customWidth="1"/>
    <col min="14084" max="14084" width="11.7109375" style="1428" customWidth="1"/>
    <col min="14085" max="14085" width="12.85546875" style="1428" customWidth="1"/>
    <col min="14086" max="14336" width="9.140625" style="1428"/>
    <col min="14337" max="14337" width="4.42578125" style="1428" customWidth="1"/>
    <col min="14338" max="14338" width="9.140625" style="1428"/>
    <col min="14339" max="14339" width="18.42578125" style="1428" customWidth="1"/>
    <col min="14340" max="14340" width="11.7109375" style="1428" customWidth="1"/>
    <col min="14341" max="14341" width="12.85546875" style="1428" customWidth="1"/>
    <col min="14342" max="14592" width="9.140625" style="1428"/>
    <col min="14593" max="14593" width="4.42578125" style="1428" customWidth="1"/>
    <col min="14594" max="14594" width="9.140625" style="1428"/>
    <col min="14595" max="14595" width="18.42578125" style="1428" customWidth="1"/>
    <col min="14596" max="14596" width="11.7109375" style="1428" customWidth="1"/>
    <col min="14597" max="14597" width="12.85546875" style="1428" customWidth="1"/>
    <col min="14598" max="14848" width="9.140625" style="1428"/>
    <col min="14849" max="14849" width="4.42578125" style="1428" customWidth="1"/>
    <col min="14850" max="14850" width="9.140625" style="1428"/>
    <col min="14851" max="14851" width="18.42578125" style="1428" customWidth="1"/>
    <col min="14852" max="14852" width="11.7109375" style="1428" customWidth="1"/>
    <col min="14853" max="14853" width="12.85546875" style="1428" customWidth="1"/>
    <col min="14854" max="15104" width="9.140625" style="1428"/>
    <col min="15105" max="15105" width="4.42578125" style="1428" customWidth="1"/>
    <col min="15106" max="15106" width="9.140625" style="1428"/>
    <col min="15107" max="15107" width="18.42578125" style="1428" customWidth="1"/>
    <col min="15108" max="15108" width="11.7109375" style="1428" customWidth="1"/>
    <col min="15109" max="15109" width="12.85546875" style="1428" customWidth="1"/>
    <col min="15110" max="15360" width="9.140625" style="1428"/>
    <col min="15361" max="15361" width="4.42578125" style="1428" customWidth="1"/>
    <col min="15362" max="15362" width="9.140625" style="1428"/>
    <col min="15363" max="15363" width="18.42578125" style="1428" customWidth="1"/>
    <col min="15364" max="15364" width="11.7109375" style="1428" customWidth="1"/>
    <col min="15365" max="15365" width="12.85546875" style="1428" customWidth="1"/>
    <col min="15366" max="15616" width="9.140625" style="1428"/>
    <col min="15617" max="15617" width="4.42578125" style="1428" customWidth="1"/>
    <col min="15618" max="15618" width="9.140625" style="1428"/>
    <col min="15619" max="15619" width="18.42578125" style="1428" customWidth="1"/>
    <col min="15620" max="15620" width="11.7109375" style="1428" customWidth="1"/>
    <col min="15621" max="15621" width="12.85546875" style="1428" customWidth="1"/>
    <col min="15622" max="15872" width="9.140625" style="1428"/>
    <col min="15873" max="15873" width="4.42578125" style="1428" customWidth="1"/>
    <col min="15874" max="15874" width="9.140625" style="1428"/>
    <col min="15875" max="15875" width="18.42578125" style="1428" customWidth="1"/>
    <col min="15876" max="15876" width="11.7109375" style="1428" customWidth="1"/>
    <col min="15877" max="15877" width="12.85546875" style="1428" customWidth="1"/>
    <col min="15878" max="16128" width="9.140625" style="1428"/>
    <col min="16129" max="16129" width="4.42578125" style="1428" customWidth="1"/>
    <col min="16130" max="16130" width="9.140625" style="1428"/>
    <col min="16131" max="16131" width="18.42578125" style="1428" customWidth="1"/>
    <col min="16132" max="16132" width="11.7109375" style="1428" customWidth="1"/>
    <col min="16133" max="16133" width="12.85546875" style="1428" customWidth="1"/>
    <col min="16134" max="16384" width="9.140625" style="1428"/>
  </cols>
  <sheetData>
    <row r="2" spans="1:7" ht="13.5" thickBot="1" x14ac:dyDescent="0.25">
      <c r="A2" s="1427" t="s">
        <v>599</v>
      </c>
    </row>
    <row r="3" spans="1:7" ht="13.5" thickBot="1" x14ac:dyDescent="0.25">
      <c r="A3" s="1427"/>
      <c r="B3" s="1427"/>
      <c r="C3" s="1427"/>
      <c r="E3" s="1429">
        <v>56572</v>
      </c>
    </row>
    <row r="4" spans="1:7" ht="13.5" thickBot="1" x14ac:dyDescent="0.25">
      <c r="E4" s="1430" t="s">
        <v>504</v>
      </c>
    </row>
    <row r="5" spans="1:7" x14ac:dyDescent="0.2">
      <c r="A5" s="1431"/>
      <c r="B5" s="1432" t="s">
        <v>36</v>
      </c>
      <c r="C5" s="1433"/>
      <c r="D5" s="1433"/>
      <c r="E5" s="1434"/>
    </row>
    <row r="6" spans="1:7" ht="13.5" thickBot="1" x14ac:dyDescent="0.25">
      <c r="A6" s="1435" t="s">
        <v>34</v>
      </c>
      <c r="B6" s="1436" t="s">
        <v>37</v>
      </c>
      <c r="C6" s="1437"/>
      <c r="D6" s="1437"/>
      <c r="E6" s="1438" t="s">
        <v>358</v>
      </c>
    </row>
    <row r="7" spans="1:7" ht="25.5" x14ac:dyDescent="0.2">
      <c r="A7" s="1439"/>
      <c r="B7" s="1433"/>
      <c r="C7" s="1440"/>
      <c r="D7" s="1441" t="s">
        <v>519</v>
      </c>
      <c r="E7" s="1434" t="s">
        <v>365</v>
      </c>
      <c r="F7" s="1434" t="s">
        <v>533</v>
      </c>
      <c r="G7" s="1434" t="s">
        <v>534</v>
      </c>
    </row>
    <row r="8" spans="1:7" x14ac:dyDescent="0.2">
      <c r="A8" s="1442">
        <v>1</v>
      </c>
      <c r="B8" s="1443">
        <v>11</v>
      </c>
      <c r="C8" s="1444" t="s">
        <v>7</v>
      </c>
      <c r="D8" s="1445">
        <v>0.16950733500679704</v>
      </c>
      <c r="E8" s="1446">
        <f>D8*$E$3</f>
        <v>9589.3689560045223</v>
      </c>
      <c r="F8" s="1446">
        <f>E8-G8</f>
        <v>9589.3689560045223</v>
      </c>
      <c r="G8" s="1446"/>
    </row>
    <row r="9" spans="1:7" x14ac:dyDescent="0.2">
      <c r="A9" s="1447">
        <v>2</v>
      </c>
      <c r="B9" s="1448">
        <v>21</v>
      </c>
      <c r="C9" s="1449" t="s">
        <v>8</v>
      </c>
      <c r="D9" s="1445">
        <v>0.15087627302430329</v>
      </c>
      <c r="E9" s="1446">
        <f t="shared" ref="E9:E19" si="0">D9*$E$3</f>
        <v>8535.3725175308864</v>
      </c>
      <c r="F9" s="1446">
        <f t="shared" ref="F9:F19" si="1">E9-G9</f>
        <v>8535.3725175308864</v>
      </c>
      <c r="G9" s="1446"/>
    </row>
    <row r="10" spans="1:7" x14ac:dyDescent="0.2">
      <c r="A10" s="1450">
        <v>3</v>
      </c>
      <c r="B10" s="1448">
        <v>22</v>
      </c>
      <c r="C10" s="1449" t="s">
        <v>9</v>
      </c>
      <c r="D10" s="1445">
        <v>5.1558563401322616E-2</v>
      </c>
      <c r="E10" s="1446">
        <f t="shared" si="0"/>
        <v>2916.771048739623</v>
      </c>
      <c r="F10" s="1446">
        <f t="shared" si="1"/>
        <v>2916.771048739623</v>
      </c>
      <c r="G10" s="1446"/>
    </row>
    <row r="11" spans="1:7" x14ac:dyDescent="0.2">
      <c r="A11" s="1447">
        <v>4</v>
      </c>
      <c r="B11" s="1448">
        <v>23</v>
      </c>
      <c r="C11" s="1449" t="s">
        <v>10</v>
      </c>
      <c r="D11" s="1445">
        <v>7.126432477643023E-2</v>
      </c>
      <c r="E11" s="1446">
        <f t="shared" si="0"/>
        <v>4031.565381252211</v>
      </c>
      <c r="F11" s="1446">
        <f t="shared" si="1"/>
        <v>4031.565381252211</v>
      </c>
      <c r="G11" s="1446"/>
    </row>
    <row r="12" spans="1:7" x14ac:dyDescent="0.2">
      <c r="A12" s="1450">
        <v>5</v>
      </c>
      <c r="B12" s="1448">
        <v>31</v>
      </c>
      <c r="C12" s="1449" t="s">
        <v>11</v>
      </c>
      <c r="D12" s="1445">
        <v>0.25837978529348427</v>
      </c>
      <c r="E12" s="1446">
        <f t="shared" si="0"/>
        <v>14617.061213622992</v>
      </c>
      <c r="F12" s="1446">
        <f t="shared" si="1"/>
        <v>7017.061213622992</v>
      </c>
      <c r="G12" s="1446">
        <v>7600</v>
      </c>
    </row>
    <row r="13" spans="1:7" x14ac:dyDescent="0.2">
      <c r="A13" s="1447">
        <v>6</v>
      </c>
      <c r="B13" s="1448">
        <v>33</v>
      </c>
      <c r="C13" s="1449" t="s">
        <v>12</v>
      </c>
      <c r="D13" s="1445">
        <v>6.2674325451401128E-2</v>
      </c>
      <c r="E13" s="1446">
        <f t="shared" si="0"/>
        <v>3545.6119394366647</v>
      </c>
      <c r="F13" s="1446">
        <f t="shared" si="1"/>
        <v>3545.6119394366647</v>
      </c>
      <c r="G13" s="1446"/>
    </row>
    <row r="14" spans="1:7" x14ac:dyDescent="0.2">
      <c r="A14" s="1450">
        <v>7</v>
      </c>
      <c r="B14" s="1448">
        <v>41</v>
      </c>
      <c r="C14" s="1449" t="s">
        <v>13</v>
      </c>
      <c r="D14" s="1445">
        <v>7.1967852833117935E-2</v>
      </c>
      <c r="E14" s="1446">
        <f t="shared" si="0"/>
        <v>4071.3653704751478</v>
      </c>
      <c r="F14" s="1446">
        <f t="shared" si="1"/>
        <v>4071.3653704751478</v>
      </c>
      <c r="G14" s="1446"/>
    </row>
    <row r="15" spans="1:7" x14ac:dyDescent="0.2">
      <c r="A15" s="1447">
        <v>8</v>
      </c>
      <c r="B15" s="1448">
        <v>51</v>
      </c>
      <c r="C15" s="1449" t="s">
        <v>14</v>
      </c>
      <c r="D15" s="1445">
        <v>2.4363206964624958E-2</v>
      </c>
      <c r="E15" s="1446">
        <f t="shared" si="0"/>
        <v>1378.275344402763</v>
      </c>
      <c r="F15" s="1446">
        <f t="shared" si="1"/>
        <v>1378.275344402763</v>
      </c>
      <c r="G15" s="1446"/>
    </row>
    <row r="16" spans="1:7" x14ac:dyDescent="0.2">
      <c r="A16" s="1451">
        <v>9</v>
      </c>
      <c r="B16" s="1452">
        <v>56</v>
      </c>
      <c r="C16" s="1453" t="s">
        <v>15</v>
      </c>
      <c r="D16" s="1445">
        <v>4.9280011796976934E-2</v>
      </c>
      <c r="E16" s="1446">
        <f t="shared" si="0"/>
        <v>2787.8688273785792</v>
      </c>
      <c r="F16" s="1446">
        <f t="shared" si="1"/>
        <v>2787.8688273785792</v>
      </c>
      <c r="G16" s="1446"/>
    </row>
    <row r="17" spans="1:10" x14ac:dyDescent="0.2">
      <c r="A17" s="1585" t="s">
        <v>381</v>
      </c>
      <c r="B17" s="1586"/>
      <c r="C17" s="1587"/>
      <c r="D17" s="1454"/>
      <c r="E17" s="1455">
        <f>SUM(E8:E16)</f>
        <v>51473.260598843386</v>
      </c>
      <c r="F17" s="1455">
        <f>SUM(F8:F16)</f>
        <v>43873.260598843386</v>
      </c>
      <c r="G17" s="1455">
        <f>SUM(G8:G16)</f>
        <v>7600</v>
      </c>
    </row>
    <row r="18" spans="1:10" x14ac:dyDescent="0.2">
      <c r="A18" s="1456">
        <v>10</v>
      </c>
      <c r="B18" s="1457">
        <v>71</v>
      </c>
      <c r="C18" s="1458" t="s">
        <v>196</v>
      </c>
      <c r="D18" s="1445">
        <v>8.2940834144529907E-2</v>
      </c>
      <c r="E18" s="1446">
        <f t="shared" si="0"/>
        <v>4692.1288692243461</v>
      </c>
      <c r="F18" s="1446">
        <f t="shared" si="1"/>
        <v>4692.1288692243461</v>
      </c>
      <c r="G18" s="1446"/>
    </row>
    <row r="19" spans="1:10" x14ac:dyDescent="0.2">
      <c r="A19" s="1456">
        <v>11</v>
      </c>
      <c r="B19" s="1459">
        <v>92</v>
      </c>
      <c r="C19" s="1458" t="s">
        <v>17</v>
      </c>
      <c r="D19" s="1445">
        <v>7.1874873070115865E-3</v>
      </c>
      <c r="E19" s="1446">
        <f t="shared" si="0"/>
        <v>406.61053193225945</v>
      </c>
      <c r="F19" s="1446">
        <f t="shared" si="1"/>
        <v>406.61053193225945</v>
      </c>
      <c r="G19" s="1446"/>
    </row>
    <row r="20" spans="1:10" ht="13.5" thickBot="1" x14ac:dyDescent="0.25">
      <c r="A20" s="1588" t="s">
        <v>520</v>
      </c>
      <c r="B20" s="1589"/>
      <c r="C20" s="1590"/>
      <c r="D20" s="1460"/>
      <c r="E20" s="1461">
        <f>SUM(E18:E19)</f>
        <v>5098.7394011566057</v>
      </c>
      <c r="F20" s="1461">
        <f>SUM(F18:F19)</f>
        <v>5098.7394011566057</v>
      </c>
      <c r="G20" s="1461">
        <v>0</v>
      </c>
    </row>
    <row r="21" spans="1:10" ht="13.5" thickBot="1" x14ac:dyDescent="0.25">
      <c r="A21" s="1462">
        <v>12</v>
      </c>
      <c r="B21" s="1463"/>
      <c r="C21" s="1464" t="s">
        <v>16</v>
      </c>
      <c r="D21" s="1465">
        <f>SUM(D8:D19)</f>
        <v>0.99999999999999989</v>
      </c>
      <c r="E21" s="1466">
        <f>E17+E20</f>
        <v>56571.999999999993</v>
      </c>
      <c r="F21" s="1466">
        <f>F17+F20</f>
        <v>48971.999999999993</v>
      </c>
      <c r="G21" s="1466">
        <f>G17+G20</f>
        <v>7600</v>
      </c>
    </row>
    <row r="26" spans="1:10" ht="13.5" thickBot="1" x14ac:dyDescent="0.25">
      <c r="A26" s="1427" t="s">
        <v>572</v>
      </c>
      <c r="J26" s="1467"/>
    </row>
    <row r="27" spans="1:10" ht="13.5" thickBot="1" x14ac:dyDescent="0.25">
      <c r="A27" s="1427"/>
      <c r="B27" s="1427"/>
      <c r="C27" s="1427"/>
      <c r="E27" s="1429">
        <v>56572.02</v>
      </c>
    </row>
    <row r="28" spans="1:10" ht="13.5" thickBot="1" x14ac:dyDescent="0.25"/>
    <row r="29" spans="1:10" x14ac:dyDescent="0.2">
      <c r="A29" s="1431"/>
      <c r="B29" s="1432" t="s">
        <v>36</v>
      </c>
      <c r="C29" s="1433"/>
      <c r="D29" s="1433"/>
      <c r="E29" s="1434"/>
    </row>
    <row r="30" spans="1:10" ht="13.5" thickBot="1" x14ac:dyDescent="0.25">
      <c r="A30" s="1435" t="s">
        <v>34</v>
      </c>
      <c r="B30" s="1436" t="s">
        <v>37</v>
      </c>
      <c r="C30" s="1437"/>
      <c r="D30" s="1437"/>
      <c r="E30" s="1438" t="s">
        <v>358</v>
      </c>
    </row>
    <row r="31" spans="1:10" ht="25.5" x14ac:dyDescent="0.2">
      <c r="A31" s="1439"/>
      <c r="B31" s="1433"/>
      <c r="C31" s="1440"/>
      <c r="D31" s="1441" t="s">
        <v>519</v>
      </c>
      <c r="E31" s="1434" t="s">
        <v>365</v>
      </c>
    </row>
    <row r="32" spans="1:10" x14ac:dyDescent="0.2">
      <c r="A32" s="1442">
        <v>1</v>
      </c>
      <c r="B32" s="1443">
        <v>11</v>
      </c>
      <c r="C32" s="1444" t="s">
        <v>7</v>
      </c>
      <c r="D32" s="1445">
        <v>0.1556893864621624</v>
      </c>
      <c r="E32" s="1446">
        <v>8807.6630847251799</v>
      </c>
    </row>
    <row r="33" spans="1:5" x14ac:dyDescent="0.2">
      <c r="A33" s="1447">
        <v>2</v>
      </c>
      <c r="B33" s="1448">
        <v>21</v>
      </c>
      <c r="C33" s="1449" t="s">
        <v>8</v>
      </c>
      <c r="D33" s="1468">
        <v>0.16148629651892532</v>
      </c>
      <c r="E33" s="1469">
        <v>9135.6059963945736</v>
      </c>
    </row>
    <row r="34" spans="1:5" x14ac:dyDescent="0.2">
      <c r="A34" s="1450">
        <v>3</v>
      </c>
      <c r="B34" s="1448">
        <v>22</v>
      </c>
      <c r="C34" s="1449" t="s">
        <v>9</v>
      </c>
      <c r="D34" s="1468">
        <v>4.9225502733732406E-2</v>
      </c>
      <c r="E34" s="1469">
        <v>2784.7861251627642</v>
      </c>
    </row>
    <row r="35" spans="1:5" x14ac:dyDescent="0.2">
      <c r="A35" s="1447">
        <v>4</v>
      </c>
      <c r="B35" s="1448">
        <v>23</v>
      </c>
      <c r="C35" s="1449" t="s">
        <v>10</v>
      </c>
      <c r="D35" s="1468">
        <v>7.4531169295492888E-2</v>
      </c>
      <c r="E35" s="1469">
        <v>4216.3788000080094</v>
      </c>
    </row>
    <row r="36" spans="1:5" x14ac:dyDescent="0.2">
      <c r="A36" s="1450">
        <v>5</v>
      </c>
      <c r="B36" s="1448">
        <v>31</v>
      </c>
      <c r="C36" s="1449" t="s">
        <v>11</v>
      </c>
      <c r="D36" s="1468">
        <v>0.25063853879708048</v>
      </c>
      <c r="E36" s="1469">
        <v>14179.128429599212</v>
      </c>
    </row>
    <row r="37" spans="1:5" x14ac:dyDescent="0.2">
      <c r="A37" s="1447">
        <v>6</v>
      </c>
      <c r="B37" s="1448">
        <v>33</v>
      </c>
      <c r="C37" s="1449" t="s">
        <v>12</v>
      </c>
      <c r="D37" s="1468">
        <v>5.5713024947222911E-2</v>
      </c>
      <c r="E37" s="1469">
        <v>3151.7983615747935</v>
      </c>
    </row>
    <row r="38" spans="1:5" x14ac:dyDescent="0.2">
      <c r="A38" s="1450">
        <v>7</v>
      </c>
      <c r="B38" s="1448">
        <v>41</v>
      </c>
      <c r="C38" s="1449" t="s">
        <v>13</v>
      </c>
      <c r="D38" s="1468">
        <v>6.8525320869018233E-2</v>
      </c>
      <c r="E38" s="1469">
        <v>3876.6158227085166</v>
      </c>
    </row>
    <row r="39" spans="1:5" x14ac:dyDescent="0.2">
      <c r="A39" s="1447">
        <v>8</v>
      </c>
      <c r="B39" s="1448">
        <v>51</v>
      </c>
      <c r="C39" s="1449" t="s">
        <v>14</v>
      </c>
      <c r="D39" s="1468">
        <v>2.2587537018853372E-2</v>
      </c>
      <c r="E39" s="1469">
        <v>1277.8225959813133</v>
      </c>
    </row>
    <row r="40" spans="1:5" x14ac:dyDescent="0.2">
      <c r="A40" s="1451">
        <v>9</v>
      </c>
      <c r="B40" s="1452">
        <v>56</v>
      </c>
      <c r="C40" s="1453" t="s">
        <v>15</v>
      </c>
      <c r="D40" s="1470">
        <v>5.0784196544596684E-2</v>
      </c>
      <c r="E40" s="1471">
        <v>2872.9645826048545</v>
      </c>
    </row>
    <row r="41" spans="1:5" x14ac:dyDescent="0.2">
      <c r="A41" s="1585" t="s">
        <v>381</v>
      </c>
      <c r="B41" s="1586"/>
      <c r="C41" s="1587"/>
      <c r="D41" s="1454"/>
      <c r="E41" s="1455">
        <f>SUM(E32:E40)</f>
        <v>50302.763798759217</v>
      </c>
    </row>
    <row r="42" spans="1:5" x14ac:dyDescent="0.2">
      <c r="A42" s="1456">
        <v>10</v>
      </c>
      <c r="B42" s="1457">
        <v>71</v>
      </c>
      <c r="C42" s="1458" t="s">
        <v>196</v>
      </c>
      <c r="D42" s="1472">
        <v>0.10644661289683582</v>
      </c>
      <c r="E42" s="1473">
        <v>6021.8999137320534</v>
      </c>
    </row>
    <row r="43" spans="1:5" x14ac:dyDescent="0.2">
      <c r="A43" s="1456">
        <v>11</v>
      </c>
      <c r="B43" s="1459">
        <v>92</v>
      </c>
      <c r="C43" s="1458" t="s">
        <v>17</v>
      </c>
      <c r="D43" s="1474">
        <v>4.3724139160795546E-3</v>
      </c>
      <c r="E43" s="1475">
        <v>247.35628750873087</v>
      </c>
    </row>
    <row r="44" spans="1:5" ht="13.5" thickBot="1" x14ac:dyDescent="0.25">
      <c r="A44" s="1588" t="s">
        <v>520</v>
      </c>
      <c r="B44" s="1589"/>
      <c r="C44" s="1590"/>
      <c r="D44" s="1460"/>
      <c r="E44" s="1461">
        <f>SUM(E42:E43)</f>
        <v>6269.2562012407843</v>
      </c>
    </row>
    <row r="45" spans="1:5" ht="13.5" thickBot="1" x14ac:dyDescent="0.25">
      <c r="A45" s="1462">
        <v>12</v>
      </c>
      <c r="B45" s="1463"/>
      <c r="C45" s="1464" t="s">
        <v>16</v>
      </c>
      <c r="D45" s="1465">
        <f>SUM(D32:D40,D42:D43)</f>
        <v>0.99999999999999989</v>
      </c>
      <c r="E45" s="1466">
        <f>E41+E44</f>
        <v>56572.020000000004</v>
      </c>
    </row>
  </sheetData>
  <mergeCells count="4">
    <mergeCell ref="A17:C17"/>
    <mergeCell ref="A20:C20"/>
    <mergeCell ref="A41:C41"/>
    <mergeCell ref="A44:C4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R42"/>
  <sheetViews>
    <sheetView showGridLines="0" zoomScale="91" zoomScaleNormal="91" workbookViewId="0"/>
  </sheetViews>
  <sheetFormatPr defaultColWidth="11.42578125" defaultRowHeight="12" x14ac:dyDescent="0.2"/>
  <cols>
    <col min="1" max="1" width="4.42578125" style="48" customWidth="1"/>
    <col min="2" max="2" width="9.85546875" style="48" customWidth="1"/>
    <col min="3" max="3" width="9.42578125" style="48" bestFit="1" customWidth="1"/>
    <col min="4" max="4" width="9.5703125" style="48" customWidth="1"/>
    <col min="5" max="5" width="9.140625" style="48" customWidth="1"/>
    <col min="6" max="6" width="8.7109375" style="48" customWidth="1"/>
    <col min="7" max="7" width="9.85546875" style="48" customWidth="1"/>
    <col min="8" max="8" width="11.28515625" style="48" bestFit="1" customWidth="1"/>
    <col min="9" max="9" width="9.85546875" style="48" customWidth="1"/>
    <col min="10" max="10" width="10.85546875" style="48" customWidth="1"/>
    <col min="11" max="11" width="10.42578125" style="48" customWidth="1"/>
    <col min="12" max="12" width="11.28515625" style="48" customWidth="1"/>
    <col min="13" max="13" width="9.5703125" style="48" customWidth="1"/>
    <col min="14" max="14" width="9.28515625" style="48" customWidth="1"/>
    <col min="15" max="15" width="11.5703125" style="48" customWidth="1"/>
    <col min="16" max="16" width="9.42578125" style="48" customWidth="1"/>
    <col min="17" max="17" width="10" style="48" customWidth="1"/>
    <col min="18" max="16384" width="11.42578125" style="48"/>
  </cols>
  <sheetData>
    <row r="1" spans="1:18" ht="12.75" x14ac:dyDescent="0.2">
      <c r="A1" s="1480" t="s">
        <v>667</v>
      </c>
    </row>
    <row r="2" spans="1:18" x14ac:dyDescent="0.2">
      <c r="A2" s="112"/>
    </row>
    <row r="3" spans="1:18" x14ac:dyDescent="0.2">
      <c r="A3" s="113"/>
    </row>
    <row r="4" spans="1:18" x14ac:dyDescent="0.2">
      <c r="A4" s="113"/>
      <c r="H4" s="735"/>
    </row>
    <row r="5" spans="1:18" ht="12.75" thickBot="1" x14ac:dyDescent="0.25">
      <c r="N5" s="667"/>
    </row>
    <row r="6" spans="1:18" x14ac:dyDescent="0.2">
      <c r="C6" s="49" t="s">
        <v>270</v>
      </c>
      <c r="D6" s="1599" t="s">
        <v>301</v>
      </c>
      <c r="E6" s="50"/>
      <c r="F6" s="51"/>
      <c r="G6" s="1599" t="s">
        <v>300</v>
      </c>
      <c r="H6" s="969" t="s">
        <v>270</v>
      </c>
      <c r="I6" s="50" t="s">
        <v>517</v>
      </c>
      <c r="J6" s="1599" t="s">
        <v>301</v>
      </c>
      <c r="K6" s="1599" t="s">
        <v>300</v>
      </c>
      <c r="L6" s="638" t="s">
        <v>516</v>
      </c>
      <c r="M6" s="1591" t="s">
        <v>31</v>
      </c>
      <c r="N6" s="1592"/>
      <c r="O6" s="50"/>
      <c r="P6" s="52"/>
      <c r="Q6" s="52"/>
    </row>
    <row r="7" spans="1:18" x14ac:dyDescent="0.2">
      <c r="C7" s="53" t="s">
        <v>297</v>
      </c>
      <c r="D7" s="1600"/>
      <c r="E7" s="54" t="s">
        <v>299</v>
      </c>
      <c r="F7" s="54" t="s">
        <v>306</v>
      </c>
      <c r="G7" s="1600"/>
      <c r="H7" s="55" t="s">
        <v>514</v>
      </c>
      <c r="I7" s="54" t="s">
        <v>303</v>
      </c>
      <c r="J7" s="1600"/>
      <c r="K7" s="1600"/>
      <c r="L7" s="968" t="s">
        <v>515</v>
      </c>
      <c r="M7" s="1593"/>
      <c r="N7" s="1594"/>
      <c r="O7" s="54" t="s">
        <v>313</v>
      </c>
      <c r="P7" s="56" t="s">
        <v>307</v>
      </c>
      <c r="Q7" s="56" t="s">
        <v>176</v>
      </c>
    </row>
    <row r="8" spans="1:18" ht="26.25" customHeight="1" x14ac:dyDescent="0.2">
      <c r="C8" s="57" t="s">
        <v>332</v>
      </c>
      <c r="D8" s="58" t="s">
        <v>298</v>
      </c>
      <c r="E8" s="59" t="s">
        <v>176</v>
      </c>
      <c r="F8" s="59" t="s">
        <v>176</v>
      </c>
      <c r="G8" s="58" t="s">
        <v>305</v>
      </c>
      <c r="H8" s="60" t="s">
        <v>334</v>
      </c>
      <c r="I8" s="59" t="s">
        <v>312</v>
      </c>
      <c r="J8" s="58" t="s">
        <v>298</v>
      </c>
      <c r="K8" s="58" t="s">
        <v>305</v>
      </c>
      <c r="L8" s="639" t="s">
        <v>333</v>
      </c>
      <c r="M8" s="61" t="s">
        <v>312</v>
      </c>
      <c r="N8" s="61" t="s">
        <v>334</v>
      </c>
      <c r="O8" s="59" t="s">
        <v>16</v>
      </c>
      <c r="P8" s="62" t="s">
        <v>176</v>
      </c>
      <c r="Q8" s="62" t="s">
        <v>328</v>
      </c>
    </row>
    <row r="9" spans="1:18" ht="14.25" customHeight="1" thickBot="1" x14ac:dyDescent="0.25">
      <c r="C9" s="1414">
        <v>1</v>
      </c>
      <c r="D9" s="1415">
        <v>2</v>
      </c>
      <c r="E9" s="1416">
        <v>3</v>
      </c>
      <c r="F9" s="1416">
        <v>4</v>
      </c>
      <c r="G9" s="1415">
        <v>5</v>
      </c>
      <c r="H9" s="1417" t="s">
        <v>308</v>
      </c>
      <c r="I9" s="1416">
        <v>7</v>
      </c>
      <c r="J9" s="1415">
        <v>8</v>
      </c>
      <c r="K9" s="1415">
        <v>9</v>
      </c>
      <c r="L9" s="1418" t="s">
        <v>309</v>
      </c>
      <c r="M9" s="1417" t="s">
        <v>314</v>
      </c>
      <c r="N9" s="1417" t="s">
        <v>315</v>
      </c>
      <c r="O9" s="1416" t="s">
        <v>310</v>
      </c>
      <c r="P9" s="1419" t="s">
        <v>518</v>
      </c>
      <c r="Q9" s="1419"/>
    </row>
    <row r="10" spans="1:18" x14ac:dyDescent="0.2">
      <c r="A10" s="870">
        <v>11</v>
      </c>
      <c r="B10" s="871" t="s">
        <v>7</v>
      </c>
      <c r="C10" s="83">
        <f>'rozpis pro rozpocet'!G48</f>
        <v>257634</v>
      </c>
      <c r="D10" s="84"/>
      <c r="E10" s="85">
        <f>'rozpis pro rozpocet'!E48</f>
        <v>73527.5</v>
      </c>
      <c r="F10" s="86">
        <f>E10/SUM($E$10:$E$18,$E$20)</f>
        <v>0.11011150947750439</v>
      </c>
      <c r="G10" s="85">
        <f t="shared" ref="G10:G18" si="0">F10*-$D$32</f>
        <v>1460.0786156717083</v>
      </c>
      <c r="H10" s="683">
        <f>C10+G10+D10</f>
        <v>259094.07861567172</v>
      </c>
      <c r="I10" s="85">
        <f>'rozpis pro rozpocet'!H48</f>
        <v>0</v>
      </c>
      <c r="J10" s="84"/>
      <c r="K10" s="88">
        <f>-F10*$J$36</f>
        <v>977.23964661285152</v>
      </c>
      <c r="L10" s="643">
        <f t="shared" ref="L10:L18" si="1">I10+K10+J10</f>
        <v>977.23964661285152</v>
      </c>
      <c r="M10" s="87">
        <f>I10</f>
        <v>0</v>
      </c>
      <c r="N10" s="87">
        <f>L10-M10</f>
        <v>977.23964661285152</v>
      </c>
      <c r="O10" s="85">
        <f>-D10-G10-J10-K10</f>
        <v>-2437.3182622845598</v>
      </c>
      <c r="P10" s="662">
        <f>O10+E10</f>
        <v>71090.181737715437</v>
      </c>
      <c r="Q10" s="89">
        <f>TRUNC(ROUND(P10,0),0)</f>
        <v>71090</v>
      </c>
      <c r="R10" s="114"/>
    </row>
    <row r="11" spans="1:18" x14ac:dyDescent="0.2">
      <c r="A11" s="872">
        <v>21</v>
      </c>
      <c r="B11" s="686" t="s">
        <v>8</v>
      </c>
      <c r="C11" s="63">
        <f>'rozpis pro rozpocet'!G49</f>
        <v>285188.3</v>
      </c>
      <c r="D11" s="64"/>
      <c r="E11" s="65">
        <f>'rozpis pro rozpocet'!E49</f>
        <v>72442</v>
      </c>
      <c r="F11" s="66">
        <f t="shared" ref="F11:F18" si="2">E11/SUM($E$10:$E$18,$E$20)</f>
        <v>0.10848591301988199</v>
      </c>
      <c r="G11" s="65">
        <f t="shared" si="0"/>
        <v>1438.5232066436351</v>
      </c>
      <c r="H11" s="680">
        <f t="shared" ref="H11:H31" si="3">C11+G11+D11</f>
        <v>286626.82320664363</v>
      </c>
      <c r="I11" s="65">
        <f>'rozpis pro rozpocet'!H49</f>
        <v>926</v>
      </c>
      <c r="J11" s="64"/>
      <c r="K11" s="68">
        <f t="shared" ref="K11:K17" si="4">-F11*$J$36</f>
        <v>962.81247805145267</v>
      </c>
      <c r="L11" s="640">
        <f t="shared" si="1"/>
        <v>1888.8124780514527</v>
      </c>
      <c r="M11" s="67">
        <f t="shared" ref="M11:M18" si="5">I11</f>
        <v>926</v>
      </c>
      <c r="N11" s="67">
        <f t="shared" ref="N11:N18" si="6">L11-M11</f>
        <v>962.81247805145267</v>
      </c>
      <c r="O11" s="65">
        <f t="shared" ref="O11:O18" si="7">-D11-G11-J11-K11</f>
        <v>-2401.3356846950878</v>
      </c>
      <c r="P11" s="659">
        <f t="shared" ref="P11:P18" si="8">O11+E11</f>
        <v>70040.664315304908</v>
      </c>
      <c r="Q11" s="89">
        <f>TRUNC(ROUND(P11,0),0)</f>
        <v>70041</v>
      </c>
      <c r="R11" s="114"/>
    </row>
    <row r="12" spans="1:18" x14ac:dyDescent="0.2">
      <c r="A12" s="872">
        <v>22</v>
      </c>
      <c r="B12" s="686" t="s">
        <v>9</v>
      </c>
      <c r="C12" s="63">
        <f>'rozpis pro rozpocet'!G50</f>
        <v>104860.5</v>
      </c>
      <c r="D12" s="64"/>
      <c r="E12" s="65">
        <f>'rozpis pro rozpocet'!E50</f>
        <v>25376.400000000001</v>
      </c>
      <c r="F12" s="66">
        <f t="shared" si="2"/>
        <v>3.8002566510556494E-2</v>
      </c>
      <c r="G12" s="65">
        <f t="shared" si="0"/>
        <v>503.9140319299791</v>
      </c>
      <c r="H12" s="680">
        <f t="shared" si="3"/>
        <v>105364.41403192998</v>
      </c>
      <c r="I12" s="65">
        <f>'rozpis pro rozpocet'!H50</f>
        <v>0</v>
      </c>
      <c r="J12" s="64"/>
      <c r="K12" s="68">
        <f t="shared" si="4"/>
        <v>337.27277778118889</v>
      </c>
      <c r="L12" s="640">
        <f t="shared" si="1"/>
        <v>337.27277778118889</v>
      </c>
      <c r="M12" s="67">
        <f t="shared" si="5"/>
        <v>0</v>
      </c>
      <c r="N12" s="67">
        <f t="shared" si="6"/>
        <v>337.27277778118889</v>
      </c>
      <c r="O12" s="65">
        <f t="shared" si="7"/>
        <v>-841.18680971116805</v>
      </c>
      <c r="P12" s="659">
        <f t="shared" si="8"/>
        <v>24535.213190288832</v>
      </c>
      <c r="Q12" s="69">
        <f t="shared" ref="Q12:Q18" si="9">TRUNC(ROUND(P12,0),0)</f>
        <v>24535</v>
      </c>
      <c r="R12" s="114"/>
    </row>
    <row r="13" spans="1:18" x14ac:dyDescent="0.2">
      <c r="A13" s="872">
        <v>23</v>
      </c>
      <c r="B13" s="686" t="s">
        <v>10</v>
      </c>
      <c r="C13" s="63">
        <f>'rozpis pro rozpocet'!G51</f>
        <v>120418.4</v>
      </c>
      <c r="D13" s="64"/>
      <c r="E13" s="65">
        <f>'rozpis pro rozpocet'!E51</f>
        <v>38859.599999999999</v>
      </c>
      <c r="F13" s="66">
        <f t="shared" si="2"/>
        <v>5.8194406360776982E-2</v>
      </c>
      <c r="G13" s="65">
        <f t="shared" si="0"/>
        <v>771.65782834390279</v>
      </c>
      <c r="H13" s="680">
        <f t="shared" si="3"/>
        <v>121190.0578283439</v>
      </c>
      <c r="I13" s="65">
        <f>'rozpis pro rozpocet'!H51</f>
        <v>200</v>
      </c>
      <c r="J13" s="64"/>
      <c r="K13" s="68">
        <f t="shared" si="4"/>
        <v>516.47535645189566</v>
      </c>
      <c r="L13" s="640">
        <f t="shared" si="1"/>
        <v>716.47535645189566</v>
      </c>
      <c r="M13" s="67">
        <f t="shared" si="5"/>
        <v>200</v>
      </c>
      <c r="N13" s="67">
        <f t="shared" si="6"/>
        <v>516.47535645189566</v>
      </c>
      <c r="O13" s="65">
        <f t="shared" si="7"/>
        <v>-1288.1331847957986</v>
      </c>
      <c r="P13" s="659">
        <f t="shared" si="8"/>
        <v>37571.4668152042</v>
      </c>
      <c r="Q13" s="69">
        <f t="shared" si="9"/>
        <v>37571</v>
      </c>
      <c r="R13" s="114"/>
    </row>
    <row r="14" spans="1:18" x14ac:dyDescent="0.2">
      <c r="A14" s="872">
        <v>31</v>
      </c>
      <c r="B14" s="686" t="s">
        <v>11</v>
      </c>
      <c r="C14" s="63">
        <f>'rozpis pro rozpocet'!G52</f>
        <v>264356.7</v>
      </c>
      <c r="D14" s="64"/>
      <c r="E14" s="65">
        <f>'rozpis pro rozpocet'!E52</f>
        <v>266051.5</v>
      </c>
      <c r="F14" s="66">
        <f t="shared" si="2"/>
        <v>0.39842687788588299</v>
      </c>
      <c r="G14" s="65">
        <f t="shared" si="0"/>
        <v>5283.1404007668089</v>
      </c>
      <c r="H14" s="680">
        <f t="shared" si="3"/>
        <v>269639.84040076681</v>
      </c>
      <c r="I14" s="65">
        <f>'rozpis pro rozpocet'!H52</f>
        <v>2200</v>
      </c>
      <c r="J14" s="64"/>
      <c r="K14" s="68">
        <f t="shared" si="4"/>
        <v>3536.0385412372116</v>
      </c>
      <c r="L14" s="640">
        <f t="shared" si="1"/>
        <v>5736.0385412372116</v>
      </c>
      <c r="M14" s="67">
        <f t="shared" si="5"/>
        <v>2200</v>
      </c>
      <c r="N14" s="67">
        <f t="shared" si="6"/>
        <v>3536.0385412372116</v>
      </c>
      <c r="O14" s="65">
        <f t="shared" si="7"/>
        <v>-8819.1789420040204</v>
      </c>
      <c r="P14" s="659">
        <f t="shared" si="8"/>
        <v>257232.32105799599</v>
      </c>
      <c r="Q14" s="69">
        <f t="shared" si="9"/>
        <v>257232</v>
      </c>
      <c r="R14" s="114"/>
    </row>
    <row r="15" spans="1:18" x14ac:dyDescent="0.2">
      <c r="A15" s="872">
        <v>33</v>
      </c>
      <c r="B15" s="686" t="s">
        <v>12</v>
      </c>
      <c r="C15" s="63">
        <f>'rozpis pro rozpocet'!G53</f>
        <v>103422.39999999999</v>
      </c>
      <c r="D15" s="64"/>
      <c r="E15" s="65">
        <f>'rozpis pro rozpocet'!E53</f>
        <v>44966.400000000001</v>
      </c>
      <c r="F15" s="66">
        <f t="shared" si="2"/>
        <v>6.7339678076491841E-2</v>
      </c>
      <c r="G15" s="65">
        <f t="shared" si="0"/>
        <v>892.92413129428178</v>
      </c>
      <c r="H15" s="680">
        <f t="shared" si="3"/>
        <v>104315.32413129427</v>
      </c>
      <c r="I15" s="65">
        <f>'rozpis pro rozpocet'!H53</f>
        <v>42000</v>
      </c>
      <c r="J15" s="64"/>
      <c r="K15" s="68">
        <f t="shared" si="4"/>
        <v>597.6396429288651</v>
      </c>
      <c r="L15" s="640">
        <f t="shared" si="1"/>
        <v>42597.639642928865</v>
      </c>
      <c r="M15" s="67">
        <f t="shared" si="5"/>
        <v>42000</v>
      </c>
      <c r="N15" s="67">
        <f t="shared" si="6"/>
        <v>597.63964292886521</v>
      </c>
      <c r="O15" s="65">
        <f t="shared" si="7"/>
        <v>-1490.563774223147</v>
      </c>
      <c r="P15" s="659">
        <f t="shared" si="8"/>
        <v>43475.836225776853</v>
      </c>
      <c r="Q15" s="69">
        <f t="shared" si="9"/>
        <v>43476</v>
      </c>
      <c r="R15" s="114"/>
    </row>
    <row r="16" spans="1:18" x14ac:dyDescent="0.2">
      <c r="A16" s="872">
        <v>41</v>
      </c>
      <c r="B16" s="686" t="s">
        <v>13</v>
      </c>
      <c r="C16" s="63">
        <f>'rozpis pro rozpocet'!G54</f>
        <v>168226.7</v>
      </c>
      <c r="D16" s="64"/>
      <c r="E16" s="65">
        <f>'rozpis pro rozpocet'!E54</f>
        <v>28723.9</v>
      </c>
      <c r="F16" s="66">
        <f t="shared" si="2"/>
        <v>4.3015633430769286E-2</v>
      </c>
      <c r="G16" s="65">
        <f t="shared" si="0"/>
        <v>570.38729929200076</v>
      </c>
      <c r="H16" s="680">
        <f t="shared" si="3"/>
        <v>168797.087299292</v>
      </c>
      <c r="I16" s="65">
        <f>'rozpis pro rozpocet'!H54</f>
        <v>400</v>
      </c>
      <c r="J16" s="64"/>
      <c r="K16" s="68">
        <f t="shared" si="4"/>
        <v>381.7637466980774</v>
      </c>
      <c r="L16" s="640">
        <f t="shared" si="1"/>
        <v>781.7637466980774</v>
      </c>
      <c r="M16" s="67">
        <f t="shared" si="5"/>
        <v>400</v>
      </c>
      <c r="N16" s="67">
        <f t="shared" si="6"/>
        <v>381.7637466980774</v>
      </c>
      <c r="O16" s="65">
        <f t="shared" si="7"/>
        <v>-952.15104599007816</v>
      </c>
      <c r="P16" s="659">
        <f t="shared" si="8"/>
        <v>27771.748954009923</v>
      </c>
      <c r="Q16" s="69">
        <f t="shared" si="9"/>
        <v>27772</v>
      </c>
      <c r="R16" s="114"/>
    </row>
    <row r="17" spans="1:18" x14ac:dyDescent="0.2">
      <c r="A17" s="872">
        <v>51</v>
      </c>
      <c r="B17" s="686" t="s">
        <v>14</v>
      </c>
      <c r="C17" s="63">
        <f>'rozpis pro rozpocet'!G55</f>
        <v>83177.399999999994</v>
      </c>
      <c r="D17" s="64"/>
      <c r="E17" s="65">
        <f>'rozpis pro rozpocet'!E55</f>
        <v>4371.6000000000004</v>
      </c>
      <c r="F17" s="66">
        <f t="shared" si="2"/>
        <v>6.5467134722635512E-3</v>
      </c>
      <c r="G17" s="65">
        <f t="shared" si="0"/>
        <v>86.80942064221469</v>
      </c>
      <c r="H17" s="680">
        <f t="shared" si="3"/>
        <v>83264.209420642204</v>
      </c>
      <c r="I17" s="65">
        <f>'rozpis pro rozpocet'!H55</f>
        <v>400</v>
      </c>
      <c r="J17" s="64"/>
      <c r="K17" s="68">
        <f t="shared" si="4"/>
        <v>58.102082066339015</v>
      </c>
      <c r="L17" s="640">
        <f t="shared" si="1"/>
        <v>458.10208206633899</v>
      </c>
      <c r="M17" s="67">
        <f t="shared" si="5"/>
        <v>400</v>
      </c>
      <c r="N17" s="67">
        <f t="shared" si="6"/>
        <v>58.102082066338994</v>
      </c>
      <c r="O17" s="65">
        <f t="shared" si="7"/>
        <v>-144.91150270855371</v>
      </c>
      <c r="P17" s="659">
        <f t="shared" si="8"/>
        <v>4226.6884972914468</v>
      </c>
      <c r="Q17" s="69">
        <f t="shared" si="9"/>
        <v>4227</v>
      </c>
      <c r="R17" s="114"/>
    </row>
    <row r="18" spans="1:18" ht="12.75" thickBot="1" x14ac:dyDescent="0.25">
      <c r="A18" s="873">
        <v>56</v>
      </c>
      <c r="B18" s="687" t="s">
        <v>15</v>
      </c>
      <c r="C18" s="70">
        <f>'rozpis pro rozpocet'!G56</f>
        <v>110529.4</v>
      </c>
      <c r="D18" s="71"/>
      <c r="E18" s="65">
        <f>'rozpis pro rozpocet'!E56</f>
        <v>15517.9</v>
      </c>
      <c r="F18" s="73">
        <f t="shared" si="2"/>
        <v>2.3238915955539972E-2</v>
      </c>
      <c r="G18" s="72">
        <f t="shared" si="0"/>
        <v>308.14802557046005</v>
      </c>
      <c r="H18" s="681">
        <f t="shared" si="3"/>
        <v>110837.54802557046</v>
      </c>
      <c r="I18" s="72">
        <f>'rozpis pro rozpocet'!H56</f>
        <v>0</v>
      </c>
      <c r="J18" s="71"/>
      <c r="K18" s="75">
        <f>-F18*$J$36</f>
        <v>206.24537910541724</v>
      </c>
      <c r="L18" s="641">
        <f t="shared" si="1"/>
        <v>206.24537910541724</v>
      </c>
      <c r="M18" s="67">
        <f t="shared" si="5"/>
        <v>0</v>
      </c>
      <c r="N18" s="74">
        <f t="shared" si="6"/>
        <v>206.24537910541724</v>
      </c>
      <c r="O18" s="72">
        <f t="shared" si="7"/>
        <v>-514.39340467587726</v>
      </c>
      <c r="P18" s="660">
        <f t="shared" si="8"/>
        <v>15003.506595324123</v>
      </c>
      <c r="Q18" s="69">
        <f t="shared" si="9"/>
        <v>15004</v>
      </c>
      <c r="R18" s="114"/>
    </row>
    <row r="19" spans="1:18" ht="13.5" customHeight="1" thickBot="1" x14ac:dyDescent="0.25">
      <c r="A19" s="1595" t="s">
        <v>336</v>
      </c>
      <c r="B19" s="1596"/>
      <c r="C19" s="77">
        <f>SUM(C10:C18)</f>
        <v>1497813.7999999998</v>
      </c>
      <c r="D19" s="78">
        <f t="shared" ref="D19:I19" si="10">SUM(D10:D18)</f>
        <v>0</v>
      </c>
      <c r="E19" s="78">
        <f t="shared" si="10"/>
        <v>569836.80000000005</v>
      </c>
      <c r="F19" s="79">
        <f t="shared" si="10"/>
        <v>0.85336221418966751</v>
      </c>
      <c r="G19" s="78">
        <f t="shared" si="10"/>
        <v>11315.582960154989</v>
      </c>
      <c r="H19" s="682">
        <f t="shared" si="10"/>
        <v>1509129.3829601551</v>
      </c>
      <c r="I19" s="78">
        <f t="shared" si="10"/>
        <v>46126</v>
      </c>
      <c r="J19" s="78">
        <f t="shared" ref="J19:P19" si="11">SUM(J10:J18)</f>
        <v>0</v>
      </c>
      <c r="K19" s="78">
        <f t="shared" si="11"/>
        <v>7573.5896509332997</v>
      </c>
      <c r="L19" s="642">
        <f t="shared" si="11"/>
        <v>53699.589650933289</v>
      </c>
      <c r="M19" s="80">
        <f t="shared" si="11"/>
        <v>46126</v>
      </c>
      <c r="N19" s="80">
        <f t="shared" si="11"/>
        <v>7573.5896509332997</v>
      </c>
      <c r="O19" s="78">
        <f t="shared" si="11"/>
        <v>-18889.172611088292</v>
      </c>
      <c r="P19" s="661">
        <f t="shared" si="11"/>
        <v>550947.62738891167</v>
      </c>
      <c r="Q19" s="81">
        <f>SUM(Q10:Q18)</f>
        <v>550948</v>
      </c>
      <c r="R19" s="114"/>
    </row>
    <row r="20" spans="1:18" x14ac:dyDescent="0.2">
      <c r="A20" s="874">
        <v>71</v>
      </c>
      <c r="B20" s="875" t="s">
        <v>196</v>
      </c>
      <c r="C20" s="83">
        <f>'rozpis pro rozpocet'!G58</f>
        <v>0</v>
      </c>
      <c r="D20" s="84"/>
      <c r="E20" s="65">
        <f>'rozpis pro rozpocet'!E58</f>
        <v>97918.1</v>
      </c>
      <c r="F20" s="86">
        <f>E20/SUM($E$10:$E$18,$E$20)</f>
        <v>0.14663778581033252</v>
      </c>
      <c r="G20" s="85">
        <f>F20*-$D$32</f>
        <v>1944.4170398450092</v>
      </c>
      <c r="H20" s="683">
        <f t="shared" si="3"/>
        <v>1944.4170398450092</v>
      </c>
      <c r="I20" s="765">
        <f>'rozpis pro rozpocet'!H58</f>
        <v>2000</v>
      </c>
      <c r="J20" s="84"/>
      <c r="K20" s="88">
        <f>-F20*$J$36</f>
        <v>1301.410349066701</v>
      </c>
      <c r="L20" s="643">
        <f>I20+K20</f>
        <v>3301.4103490667012</v>
      </c>
      <c r="M20" s="67">
        <f>I20+J20</f>
        <v>2000</v>
      </c>
      <c r="N20" s="87">
        <f t="shared" ref="N20:N35" si="12">L20-M20</f>
        <v>1301.4103490667012</v>
      </c>
      <c r="O20" s="85">
        <f t="shared" ref="O20:O31" si="13">-D20-G20-J20-K20</f>
        <v>-3245.8273889117099</v>
      </c>
      <c r="P20" s="662">
        <f t="shared" ref="P20:P31" si="14">O20+E20</f>
        <v>94672.272611088294</v>
      </c>
      <c r="Q20" s="89">
        <f t="shared" ref="Q20:Q31" si="15">TRUNC(ROUND(P20,0),0)</f>
        <v>94672</v>
      </c>
      <c r="R20" s="114"/>
    </row>
    <row r="21" spans="1:18" x14ac:dyDescent="0.2">
      <c r="A21" s="874">
        <v>79</v>
      </c>
      <c r="B21" s="875" t="s">
        <v>269</v>
      </c>
      <c r="C21" s="83">
        <f>'rozpis pro rozpocet'!G59</f>
        <v>0</v>
      </c>
      <c r="D21" s="84"/>
      <c r="E21" s="65">
        <f>'rozpis pro rozpocet'!E59</f>
        <v>0</v>
      </c>
      <c r="F21" s="86"/>
      <c r="G21" s="85"/>
      <c r="H21" s="680">
        <f>C21+G21+D21</f>
        <v>0</v>
      </c>
      <c r="I21" s="85">
        <f>'rozpis pro rozpocet'!H59</f>
        <v>5340</v>
      </c>
      <c r="J21" s="85">
        <f>-'Plánované náklady z IP'!C24</f>
        <v>-5340</v>
      </c>
      <c r="K21" s="88"/>
      <c r="L21" s="640">
        <f t="shared" ref="L21:L31" si="16">I21+K21+J21</f>
        <v>0</v>
      </c>
      <c r="M21" s="67">
        <f>I21+J21</f>
        <v>0</v>
      </c>
      <c r="N21" s="87">
        <f t="shared" si="12"/>
        <v>0</v>
      </c>
      <c r="O21" s="65">
        <f>-D21-G21-J21-K21</f>
        <v>5340</v>
      </c>
      <c r="P21" s="659">
        <f t="shared" si="14"/>
        <v>5340</v>
      </c>
      <c r="Q21" s="89">
        <f t="shared" si="15"/>
        <v>5340</v>
      </c>
      <c r="R21" s="114"/>
    </row>
    <row r="22" spans="1:18" x14ac:dyDescent="0.2">
      <c r="A22" s="876">
        <v>81</v>
      </c>
      <c r="B22" s="877" t="s">
        <v>69</v>
      </c>
      <c r="C22" s="83">
        <f>'rozpis pro rozpocet'!G60</f>
        <v>0</v>
      </c>
      <c r="D22" s="64"/>
      <c r="E22" s="65">
        <f>'rozpis pro rozpocet'!E60</f>
        <v>0</v>
      </c>
      <c r="F22" s="66"/>
      <c r="G22" s="65"/>
      <c r="H22" s="680">
        <f t="shared" si="3"/>
        <v>0</v>
      </c>
      <c r="I22" s="85">
        <f>'rozpis pro rozpocet'!H60</f>
        <v>0</v>
      </c>
      <c r="J22" s="64"/>
      <c r="K22" s="64"/>
      <c r="L22" s="640">
        <f t="shared" si="16"/>
        <v>0</v>
      </c>
      <c r="M22" s="67">
        <f>I22+J22</f>
        <v>0</v>
      </c>
      <c r="N22" s="67">
        <f t="shared" si="12"/>
        <v>0</v>
      </c>
      <c r="O22" s="65">
        <f t="shared" si="13"/>
        <v>0</v>
      </c>
      <c r="P22" s="659">
        <f t="shared" si="14"/>
        <v>0</v>
      </c>
      <c r="Q22" s="89">
        <f t="shared" si="15"/>
        <v>0</v>
      </c>
      <c r="R22" s="114"/>
    </row>
    <row r="23" spans="1:18" x14ac:dyDescent="0.2">
      <c r="A23" s="876">
        <v>82</v>
      </c>
      <c r="B23" s="877" t="s">
        <v>1</v>
      </c>
      <c r="C23" s="83">
        <f>'rozpis pro rozpocet'!G61</f>
        <v>0</v>
      </c>
      <c r="D23" s="64"/>
      <c r="E23" s="65">
        <f>'rozpis pro rozpocet'!E61</f>
        <v>0</v>
      </c>
      <c r="F23" s="66"/>
      <c r="G23" s="65"/>
      <c r="H23" s="680">
        <f t="shared" si="3"/>
        <v>0</v>
      </c>
      <c r="I23" s="85">
        <f>'rozpis pro rozpocet'!H61</f>
        <v>9348</v>
      </c>
      <c r="J23" s="64"/>
      <c r="K23" s="64"/>
      <c r="L23" s="640">
        <f t="shared" si="16"/>
        <v>9348</v>
      </c>
      <c r="M23" s="67">
        <f>I23+J23</f>
        <v>9348</v>
      </c>
      <c r="N23" s="67">
        <f t="shared" si="12"/>
        <v>0</v>
      </c>
      <c r="O23" s="65">
        <f t="shared" si="13"/>
        <v>0</v>
      </c>
      <c r="P23" s="659">
        <f t="shared" si="14"/>
        <v>0</v>
      </c>
      <c r="Q23" s="89">
        <f t="shared" si="15"/>
        <v>0</v>
      </c>
      <c r="R23" s="114"/>
    </row>
    <row r="24" spans="1:18" x14ac:dyDescent="0.2">
      <c r="A24" s="876">
        <v>83</v>
      </c>
      <c r="B24" s="877" t="s">
        <v>80</v>
      </c>
      <c r="C24" s="83">
        <f>'rozpis pro rozpocet'!G62</f>
        <v>6500</v>
      </c>
      <c r="D24" s="64"/>
      <c r="E24" s="65">
        <f>'rozpis pro rozpocet'!E62</f>
        <v>0</v>
      </c>
      <c r="F24" s="66"/>
      <c r="G24" s="65"/>
      <c r="H24" s="680">
        <f t="shared" si="3"/>
        <v>6500</v>
      </c>
      <c r="I24" s="85">
        <f>'rozpis pro rozpocet'!H62</f>
        <v>2070</v>
      </c>
      <c r="J24" s="64"/>
      <c r="K24" s="64"/>
      <c r="L24" s="640">
        <f t="shared" si="16"/>
        <v>2070</v>
      </c>
      <c r="M24" s="67">
        <f t="shared" ref="M24:M31" si="17">I24+J24</f>
        <v>2070</v>
      </c>
      <c r="N24" s="67">
        <f t="shared" si="12"/>
        <v>0</v>
      </c>
      <c r="O24" s="65">
        <f t="shared" si="13"/>
        <v>0</v>
      </c>
      <c r="P24" s="659">
        <f t="shared" si="14"/>
        <v>0</v>
      </c>
      <c r="Q24" s="89">
        <f t="shared" si="15"/>
        <v>0</v>
      </c>
      <c r="R24" s="114"/>
    </row>
    <row r="25" spans="1:18" x14ac:dyDescent="0.2">
      <c r="A25" s="876">
        <v>84</v>
      </c>
      <c r="B25" s="877" t="s">
        <v>79</v>
      </c>
      <c r="C25" s="83">
        <f>'rozpis pro rozpocet'!G63</f>
        <v>3000</v>
      </c>
      <c r="D25" s="64"/>
      <c r="E25" s="65">
        <f>'rozpis pro rozpocet'!E63</f>
        <v>563.79999999999995</v>
      </c>
      <c r="F25" s="66"/>
      <c r="G25" s="64"/>
      <c r="H25" s="680">
        <f t="shared" si="3"/>
        <v>3000</v>
      </c>
      <c r="I25" s="85">
        <f>'rozpis pro rozpocet'!H63</f>
        <v>10</v>
      </c>
      <c r="J25" s="64"/>
      <c r="K25" s="64"/>
      <c r="L25" s="640">
        <f t="shared" si="16"/>
        <v>10</v>
      </c>
      <c r="M25" s="67">
        <f t="shared" si="17"/>
        <v>10</v>
      </c>
      <c r="N25" s="67">
        <f t="shared" si="12"/>
        <v>0</v>
      </c>
      <c r="O25" s="65">
        <f t="shared" si="13"/>
        <v>0</v>
      </c>
      <c r="P25" s="659">
        <f t="shared" si="14"/>
        <v>563.79999999999995</v>
      </c>
      <c r="Q25" s="89">
        <f t="shared" si="15"/>
        <v>564</v>
      </c>
      <c r="R25" s="114"/>
    </row>
    <row r="26" spans="1:18" x14ac:dyDescent="0.2">
      <c r="A26" s="876">
        <v>85</v>
      </c>
      <c r="B26" s="877" t="s">
        <v>100</v>
      </c>
      <c r="C26" s="83">
        <f>'rozpis pro rozpocet'!G64</f>
        <v>1347.8</v>
      </c>
      <c r="D26" s="64"/>
      <c r="E26" s="65">
        <f>'rozpis pro rozpocet'!E64</f>
        <v>1740</v>
      </c>
      <c r="F26" s="66"/>
      <c r="G26" s="64"/>
      <c r="H26" s="680">
        <f t="shared" si="3"/>
        <v>1347.8</v>
      </c>
      <c r="I26" s="85">
        <f>'rozpis pro rozpocet'!H64</f>
        <v>0</v>
      </c>
      <c r="J26" s="64"/>
      <c r="K26" s="64"/>
      <c r="L26" s="640">
        <f t="shared" si="16"/>
        <v>0</v>
      </c>
      <c r="M26" s="67">
        <f t="shared" si="17"/>
        <v>0</v>
      </c>
      <c r="N26" s="67">
        <f t="shared" si="12"/>
        <v>0</v>
      </c>
      <c r="O26" s="65">
        <f t="shared" si="13"/>
        <v>0</v>
      </c>
      <c r="P26" s="659">
        <f t="shared" si="14"/>
        <v>1740</v>
      </c>
      <c r="Q26" s="89">
        <f t="shared" si="15"/>
        <v>1740</v>
      </c>
      <c r="R26" s="114"/>
    </row>
    <row r="27" spans="1:18" x14ac:dyDescent="0.2">
      <c r="A27" s="876">
        <v>87</v>
      </c>
      <c r="B27" s="877" t="s">
        <v>129</v>
      </c>
      <c r="C27" s="83">
        <f>'rozpis pro rozpocet'!G65</f>
        <v>8000</v>
      </c>
      <c r="D27" s="269">
        <f>-'Plánované náklady z IP'!C18</f>
        <v>-8000</v>
      </c>
      <c r="E27" s="65">
        <f>'rozpis pro rozpocet'!E65</f>
        <v>18</v>
      </c>
      <c r="F27" s="66"/>
      <c r="G27" s="64"/>
      <c r="H27" s="680">
        <f>C27+G27+D27</f>
        <v>0</v>
      </c>
      <c r="I27" s="85">
        <f>'rozpis pro rozpocet'!H65</f>
        <v>800</v>
      </c>
      <c r="J27" s="65">
        <f>-('Plánované náklady z IP'!C16+'Plánované náklady z IP'!C17)</f>
        <v>-800</v>
      </c>
      <c r="K27" s="65"/>
      <c r="L27" s="640">
        <f t="shared" si="16"/>
        <v>0</v>
      </c>
      <c r="M27" s="67">
        <f t="shared" si="17"/>
        <v>0</v>
      </c>
      <c r="N27" s="67">
        <f t="shared" si="12"/>
        <v>0</v>
      </c>
      <c r="O27" s="65">
        <f>-D27-G27-J27-K27</f>
        <v>8800</v>
      </c>
      <c r="P27" s="659">
        <f t="shared" si="14"/>
        <v>8818</v>
      </c>
      <c r="Q27" s="89">
        <f t="shared" si="15"/>
        <v>8818</v>
      </c>
      <c r="R27" s="114"/>
    </row>
    <row r="28" spans="1:18" x14ac:dyDescent="0.2">
      <c r="A28" s="876">
        <v>92</v>
      </c>
      <c r="B28" s="877" t="s">
        <v>17</v>
      </c>
      <c r="C28" s="83">
        <f>'rozpis pro rozpocet'!G66</f>
        <v>105817</v>
      </c>
      <c r="D28" s="269">
        <v>0</v>
      </c>
      <c r="E28" s="65">
        <f>'rozpis pro rozpocet'!E66</f>
        <v>4985.3999999999996</v>
      </c>
      <c r="F28" s="66"/>
      <c r="G28" s="64"/>
      <c r="H28" s="680">
        <f t="shared" si="3"/>
        <v>105817</v>
      </c>
      <c r="I28" s="85">
        <f>'rozpis pro rozpocet'!H66</f>
        <v>29700</v>
      </c>
      <c r="J28" s="65">
        <v>0</v>
      </c>
      <c r="K28" s="65"/>
      <c r="L28" s="640">
        <f t="shared" si="16"/>
        <v>29700</v>
      </c>
      <c r="M28" s="67">
        <f t="shared" si="17"/>
        <v>29700</v>
      </c>
      <c r="N28" s="67">
        <f t="shared" si="12"/>
        <v>0</v>
      </c>
      <c r="O28" s="65">
        <f t="shared" si="13"/>
        <v>0</v>
      </c>
      <c r="P28" s="659">
        <f>O28+E28</f>
        <v>4985.3999999999996</v>
      </c>
      <c r="Q28" s="89">
        <f t="shared" si="15"/>
        <v>4985</v>
      </c>
      <c r="R28" s="114"/>
    </row>
    <row r="29" spans="1:18" x14ac:dyDescent="0.2">
      <c r="A29" s="876">
        <v>96</v>
      </c>
      <c r="B29" s="877" t="s">
        <v>24</v>
      </c>
      <c r="C29" s="83">
        <f>'rozpis pro rozpocet'!G67</f>
        <v>36000.000000000007</v>
      </c>
      <c r="D29" s="269"/>
      <c r="E29" s="65">
        <f>'rozpis pro rozpocet'!E67</f>
        <v>870.9</v>
      </c>
      <c r="F29" s="66"/>
      <c r="G29" s="64"/>
      <c r="H29" s="680">
        <f t="shared" si="3"/>
        <v>36000.000000000007</v>
      </c>
      <c r="I29" s="85">
        <f>'rozpis pro rozpocet'!H67</f>
        <v>0</v>
      </c>
      <c r="J29" s="64"/>
      <c r="K29" s="64"/>
      <c r="L29" s="640">
        <f t="shared" si="16"/>
        <v>0</v>
      </c>
      <c r="M29" s="67">
        <f t="shared" si="17"/>
        <v>0</v>
      </c>
      <c r="N29" s="67">
        <f t="shared" si="12"/>
        <v>0</v>
      </c>
      <c r="O29" s="65">
        <f t="shared" si="13"/>
        <v>0</v>
      </c>
      <c r="P29" s="659">
        <f t="shared" si="14"/>
        <v>870.9</v>
      </c>
      <c r="Q29" s="89">
        <f t="shared" si="15"/>
        <v>871</v>
      </c>
      <c r="R29" s="114"/>
    </row>
    <row r="30" spans="1:18" x14ac:dyDescent="0.2">
      <c r="A30" s="876">
        <v>97</v>
      </c>
      <c r="B30" s="877" t="s">
        <v>25</v>
      </c>
      <c r="C30" s="83">
        <f>'rozpis pro rozpocet'!G68</f>
        <v>11650</v>
      </c>
      <c r="D30" s="269"/>
      <c r="E30" s="65">
        <f>'rozpis pro rozpocet'!E68</f>
        <v>0</v>
      </c>
      <c r="F30" s="66"/>
      <c r="G30" s="64"/>
      <c r="H30" s="680">
        <f>C30+G30+D30</f>
        <v>11650</v>
      </c>
      <c r="I30" s="85">
        <f>'rozpis pro rozpocet'!H68</f>
        <v>0</v>
      </c>
      <c r="J30" s="65"/>
      <c r="K30" s="64"/>
      <c r="L30" s="640">
        <f t="shared" si="16"/>
        <v>0</v>
      </c>
      <c r="M30" s="67">
        <f t="shared" si="17"/>
        <v>0</v>
      </c>
      <c r="N30" s="67">
        <f t="shared" si="12"/>
        <v>0</v>
      </c>
      <c r="O30" s="65">
        <f t="shared" si="13"/>
        <v>0</v>
      </c>
      <c r="P30" s="659">
        <f t="shared" si="14"/>
        <v>0</v>
      </c>
      <c r="Q30" s="89">
        <f t="shared" si="15"/>
        <v>0</v>
      </c>
      <c r="R30" s="114"/>
    </row>
    <row r="31" spans="1:18" ht="12.75" thickBot="1" x14ac:dyDescent="0.25">
      <c r="A31" s="878">
        <v>99</v>
      </c>
      <c r="B31" s="879" t="s">
        <v>82</v>
      </c>
      <c r="C31" s="83">
        <f>'rozpis pro rozpocet'!G69</f>
        <v>80206.167414391311</v>
      </c>
      <c r="D31" s="1495">
        <f>-'Plánované náklady z IP'!C10</f>
        <v>-5260</v>
      </c>
      <c r="E31" s="65">
        <f>'rozpis pro rozpocet'!E69</f>
        <v>52300</v>
      </c>
      <c r="F31" s="73"/>
      <c r="G31" s="71"/>
      <c r="H31" s="681">
        <f t="shared" si="3"/>
        <v>74946.167414391311</v>
      </c>
      <c r="I31" s="765">
        <f>'rozpis pro rozpocet'!H69</f>
        <v>102668.25</v>
      </c>
      <c r="J31" s="72">
        <f>-('Plánované náklady z IP'!C7+'Plánované náklady z IP'!C8+'Plánované náklady z IP'!C9)</f>
        <v>-2735</v>
      </c>
      <c r="K31" s="72"/>
      <c r="L31" s="641">
        <f t="shared" si="16"/>
        <v>99933.25</v>
      </c>
      <c r="M31" s="67">
        <f t="shared" si="17"/>
        <v>99933.25</v>
      </c>
      <c r="N31" s="74">
        <f t="shared" si="12"/>
        <v>0</v>
      </c>
      <c r="O31" s="72">
        <f t="shared" si="13"/>
        <v>7995</v>
      </c>
      <c r="P31" s="660">
        <f t="shared" si="14"/>
        <v>60295</v>
      </c>
      <c r="Q31" s="89">
        <f t="shared" si="15"/>
        <v>60295</v>
      </c>
      <c r="R31" s="114"/>
    </row>
    <row r="32" spans="1:18" ht="13.5" customHeight="1" thickBot="1" x14ac:dyDescent="0.25">
      <c r="A32" s="1597" t="s">
        <v>337</v>
      </c>
      <c r="B32" s="1598"/>
      <c r="C32" s="91">
        <f t="shared" ref="C32:I32" si="18">SUM(C20:C31)</f>
        <v>252520.96741439134</v>
      </c>
      <c r="D32" s="92">
        <f t="shared" si="18"/>
        <v>-13260</v>
      </c>
      <c r="E32" s="92">
        <f t="shared" si="18"/>
        <v>158396.20000000001</v>
      </c>
      <c r="F32" s="93">
        <f t="shared" si="18"/>
        <v>0.14663778581033252</v>
      </c>
      <c r="G32" s="92">
        <f t="shared" si="18"/>
        <v>1944.4170398450092</v>
      </c>
      <c r="H32" s="684">
        <f t="shared" si="18"/>
        <v>241205.38445423631</v>
      </c>
      <c r="I32" s="92">
        <f t="shared" si="18"/>
        <v>151936.25</v>
      </c>
      <c r="J32" s="92">
        <f t="shared" ref="J32:P32" si="19">SUM(J20:J31)</f>
        <v>-8875</v>
      </c>
      <c r="K32" s="92">
        <f t="shared" si="19"/>
        <v>1301.410349066701</v>
      </c>
      <c r="L32" s="644">
        <f t="shared" si="19"/>
        <v>144362.66034906672</v>
      </c>
      <c r="M32" s="94">
        <f t="shared" si="19"/>
        <v>143061.25</v>
      </c>
      <c r="N32" s="94">
        <f t="shared" si="19"/>
        <v>1301.4103490667012</v>
      </c>
      <c r="O32" s="92">
        <f t="shared" si="19"/>
        <v>18889.172611088288</v>
      </c>
      <c r="P32" s="663">
        <f t="shared" si="19"/>
        <v>177285.37261108827</v>
      </c>
      <c r="Q32" s="95">
        <f>SUM(Q20:Q31)</f>
        <v>177285</v>
      </c>
      <c r="R32" s="114"/>
    </row>
    <row r="33" spans="1:18" x14ac:dyDescent="0.2">
      <c r="A33" s="880" t="s">
        <v>668</v>
      </c>
      <c r="B33" s="881"/>
      <c r="C33" s="83">
        <f t="shared" ref="C33:I33" si="20">C19+C20</f>
        <v>1497813.7999999998</v>
      </c>
      <c r="D33" s="85">
        <f t="shared" si="20"/>
        <v>0</v>
      </c>
      <c r="E33" s="85">
        <f t="shared" si="20"/>
        <v>667754.9</v>
      </c>
      <c r="F33" s="86">
        <f t="shared" si="20"/>
        <v>1</v>
      </c>
      <c r="G33" s="85">
        <f t="shared" si="20"/>
        <v>13259.999999999998</v>
      </c>
      <c r="H33" s="683">
        <f t="shared" si="20"/>
        <v>1511073.8</v>
      </c>
      <c r="I33" s="85">
        <f t="shared" si="20"/>
        <v>48126</v>
      </c>
      <c r="J33" s="85">
        <f t="shared" ref="J33:P33" si="21">J19+J20</f>
        <v>0</v>
      </c>
      <c r="K33" s="85">
        <f t="shared" si="21"/>
        <v>8875</v>
      </c>
      <c r="L33" s="643">
        <f t="shared" si="21"/>
        <v>57000.999999999993</v>
      </c>
      <c r="M33" s="87">
        <f t="shared" si="21"/>
        <v>48126</v>
      </c>
      <c r="N33" s="67">
        <f t="shared" si="12"/>
        <v>8874.9999999999927</v>
      </c>
      <c r="O33" s="85">
        <f t="shared" si="21"/>
        <v>-22135</v>
      </c>
      <c r="P33" s="662">
        <f t="shared" si="21"/>
        <v>645619.89999999991</v>
      </c>
      <c r="Q33" s="662">
        <f>Q19+Q20</f>
        <v>645620</v>
      </c>
      <c r="R33" s="114"/>
    </row>
    <row r="34" spans="1:18" x14ac:dyDescent="0.2">
      <c r="A34" s="880" t="s">
        <v>304</v>
      </c>
      <c r="B34" s="881"/>
      <c r="C34" s="97"/>
      <c r="D34" s="64"/>
      <c r="E34" s="64"/>
      <c r="F34" s="66"/>
      <c r="G34" s="64"/>
      <c r="H34" s="680"/>
      <c r="I34" s="65">
        <f>'rozpis pro rozpocet'!H71</f>
        <v>121000</v>
      </c>
      <c r="J34" s="64"/>
      <c r="K34" s="64"/>
      <c r="L34" s="640">
        <f>I34+K34</f>
        <v>121000</v>
      </c>
      <c r="M34" s="67">
        <f>L34</f>
        <v>121000</v>
      </c>
      <c r="N34" s="67">
        <f t="shared" si="12"/>
        <v>0</v>
      </c>
      <c r="O34" s="65">
        <f>G34+K34</f>
        <v>0</v>
      </c>
      <c r="P34" s="659">
        <f>O34+E34</f>
        <v>0</v>
      </c>
      <c r="Q34" s="69"/>
      <c r="R34" s="114"/>
    </row>
    <row r="35" spans="1:18" ht="12.75" thickBot="1" x14ac:dyDescent="0.25">
      <c r="A35" s="880" t="s">
        <v>33</v>
      </c>
      <c r="B35" s="881"/>
      <c r="C35" s="98"/>
      <c r="D35" s="71"/>
      <c r="E35" s="71"/>
      <c r="F35" s="73"/>
      <c r="G35" s="71"/>
      <c r="H35" s="681"/>
      <c r="I35" s="72">
        <f>'rozpis pro rozpocet'!I69</f>
        <v>15000</v>
      </c>
      <c r="J35" s="71"/>
      <c r="K35" s="71"/>
      <c r="L35" s="641">
        <f>I35</f>
        <v>15000</v>
      </c>
      <c r="M35" s="74">
        <f>L35</f>
        <v>15000</v>
      </c>
      <c r="N35" s="67">
        <f t="shared" si="12"/>
        <v>0</v>
      </c>
      <c r="O35" s="72"/>
      <c r="P35" s="660"/>
      <c r="Q35" s="76"/>
      <c r="R35" s="114"/>
    </row>
    <row r="36" spans="1:18" ht="12.75" thickBot="1" x14ac:dyDescent="0.25">
      <c r="A36" s="99" t="s">
        <v>71</v>
      </c>
      <c r="B36" s="882"/>
      <c r="C36" s="91">
        <f t="shared" ref="C36:H36" si="22">C19+C32+C34</f>
        <v>1750334.767414391</v>
      </c>
      <c r="D36" s="92">
        <f t="shared" si="22"/>
        <v>-13260</v>
      </c>
      <c r="E36" s="92">
        <f>E19+E32+E34</f>
        <v>728233</v>
      </c>
      <c r="F36" s="93">
        <f t="shared" si="22"/>
        <v>1</v>
      </c>
      <c r="G36" s="92">
        <f t="shared" si="22"/>
        <v>13259.999999999998</v>
      </c>
      <c r="H36" s="684">
        <f t="shared" si="22"/>
        <v>1750334.7674143915</v>
      </c>
      <c r="I36" s="92">
        <f>I19+I32+I34+I35</f>
        <v>334062.25</v>
      </c>
      <c r="J36" s="92">
        <f>J19+J32+J34+J35</f>
        <v>-8875</v>
      </c>
      <c r="K36" s="92">
        <f t="shared" ref="K36:P36" si="23">K19+K32+K34+K35</f>
        <v>8875</v>
      </c>
      <c r="L36" s="644">
        <f>L19+L32+L34+L35</f>
        <v>334062.25</v>
      </c>
      <c r="M36" s="94">
        <f t="shared" si="23"/>
        <v>325187.25</v>
      </c>
      <c r="N36" s="94">
        <f>N19+N34+N32+N35</f>
        <v>8875</v>
      </c>
      <c r="O36" s="92">
        <f t="shared" si="23"/>
        <v>-3.637978807091713E-12</v>
      </c>
      <c r="P36" s="663">
        <f t="shared" si="23"/>
        <v>728233</v>
      </c>
      <c r="Q36" s="95">
        <f>Q19+Q32+Q34+Q35</f>
        <v>728233</v>
      </c>
      <c r="R36" s="114"/>
    </row>
    <row r="37" spans="1:18" ht="12.75" thickBot="1" x14ac:dyDescent="0.25">
      <c r="B37" s="100"/>
      <c r="C37" s="1013">
        <f>'rozpis pro rozpocet'!G72</f>
        <v>1750334.767414391</v>
      </c>
      <c r="D37" s="101"/>
      <c r="E37" s="1014">
        <f>'rozpis pro rozpocet'!E72</f>
        <v>728233</v>
      </c>
      <c r="F37" s="101"/>
      <c r="G37" s="101"/>
      <c r="H37" s="101"/>
      <c r="I37" s="1014">
        <f>'rozpis pro rozpocet'!H72+I35</f>
        <v>334062.25</v>
      </c>
      <c r="J37" s="101"/>
      <c r="K37" s="102"/>
      <c r="L37" s="102"/>
      <c r="M37" s="102"/>
      <c r="N37" s="1014">
        <f>'Plánované náklady z IP'!C7+'Plánované náklady z IP'!C8+'Plánované náklady z IP'!C9+'Plánované náklady z IP'!C16+'Plánované náklady z IP'!C17+'Plánované náklady z IP'!C24</f>
        <v>8875</v>
      </c>
      <c r="O37" s="103">
        <f>G37+K37</f>
        <v>0</v>
      </c>
      <c r="P37" s="104">
        <f>O37+E37</f>
        <v>728233</v>
      </c>
      <c r="Q37" s="104"/>
      <c r="R37" s="114"/>
    </row>
    <row r="38" spans="1:18" x14ac:dyDescent="0.2">
      <c r="E38" s="114"/>
      <c r="I38" s="1012">
        <f>C37+I37</f>
        <v>2084397.017414391</v>
      </c>
      <c r="Q38" s="114"/>
    </row>
    <row r="39" spans="1:18" x14ac:dyDescent="0.2">
      <c r="A39" s="955" t="s">
        <v>335</v>
      </c>
      <c r="Q39" s="114"/>
    </row>
    <row r="41" spans="1:18" x14ac:dyDescent="0.2">
      <c r="H41" s="735"/>
    </row>
    <row r="42" spans="1:18" x14ac:dyDescent="0.2">
      <c r="H42" s="735"/>
    </row>
  </sheetData>
  <mergeCells count="7">
    <mergeCell ref="M6:N7"/>
    <mergeCell ref="A19:B19"/>
    <mergeCell ref="A32:B32"/>
    <mergeCell ref="D6:D7"/>
    <mergeCell ref="G6:G7"/>
    <mergeCell ref="J6:J7"/>
    <mergeCell ref="K6:K7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 differentFirst="1" scaleWithDoc="0" alignWithMargins="0">
    <oddFooter>&amp;C&amp;9 7</oddFooter>
    <firstFooter>&amp;C&amp;N+7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5" x14ac:dyDescent="0.25"/>
  <cols>
    <col min="1" max="1" width="10.140625" style="1482" bestFit="1" customWidth="1"/>
    <col min="2" max="2" width="10.140625" style="1482" customWidth="1"/>
    <col min="3" max="3" width="14" style="1482" customWidth="1"/>
    <col min="4" max="16384" width="9.140625" style="1482"/>
  </cols>
  <sheetData>
    <row r="1" spans="1:3" ht="18.75" x14ac:dyDescent="0.3">
      <c r="A1" s="1481" t="s">
        <v>652</v>
      </c>
      <c r="B1" s="1481"/>
    </row>
    <row r="2" spans="1:3" x14ac:dyDescent="0.25">
      <c r="A2" s="1483" t="s">
        <v>653</v>
      </c>
      <c r="B2" s="1483"/>
    </row>
    <row r="3" spans="1:3" ht="15.75" thickBot="1" x14ac:dyDescent="0.3">
      <c r="A3" s="1484"/>
      <c r="B3" s="1484"/>
    </row>
    <row r="4" spans="1:3" ht="15.75" thickBot="1" x14ac:dyDescent="0.3">
      <c r="B4" s="1485" t="s">
        <v>654</v>
      </c>
      <c r="C4" s="1486">
        <f>C11+C19+C25</f>
        <v>22135</v>
      </c>
    </row>
    <row r="5" spans="1:3" ht="15.75" x14ac:dyDescent="0.25">
      <c r="A5" s="1487" t="s">
        <v>452</v>
      </c>
      <c r="B5" s="1487"/>
    </row>
    <row r="6" spans="1:3" x14ac:dyDescent="0.25">
      <c r="A6" s="1488" t="s">
        <v>448</v>
      </c>
      <c r="B6" s="1488" t="s">
        <v>658</v>
      </c>
      <c r="C6" s="1488" t="s">
        <v>655</v>
      </c>
    </row>
    <row r="7" spans="1:3" x14ac:dyDescent="0.25">
      <c r="A7" s="1489" t="s">
        <v>209</v>
      </c>
      <c r="B7" s="1506">
        <v>1112</v>
      </c>
      <c r="C7" s="1490">
        <v>695</v>
      </c>
    </row>
    <row r="8" spans="1:3" x14ac:dyDescent="0.25">
      <c r="A8" s="1489" t="s">
        <v>631</v>
      </c>
      <c r="B8" s="1506">
        <v>1112</v>
      </c>
      <c r="C8" s="1490">
        <v>420</v>
      </c>
    </row>
    <row r="9" spans="1:3" x14ac:dyDescent="0.25">
      <c r="A9" s="1489" t="s">
        <v>656</v>
      </c>
      <c r="B9" s="1506">
        <v>1112</v>
      </c>
      <c r="C9" s="1490">
        <v>1620</v>
      </c>
    </row>
    <row r="10" spans="1:3" x14ac:dyDescent="0.25">
      <c r="A10" s="1489" t="s">
        <v>644</v>
      </c>
      <c r="B10" s="1506">
        <v>1111</v>
      </c>
      <c r="C10" s="1490">
        <v>5260</v>
      </c>
    </row>
    <row r="11" spans="1:3" x14ac:dyDescent="0.25">
      <c r="A11" s="1491" t="s">
        <v>71</v>
      </c>
      <c r="B11" s="1494"/>
      <c r="C11" s="1492">
        <f>SUM(C7:C10)</f>
        <v>7995</v>
      </c>
    </row>
    <row r="12" spans="1:3" x14ac:dyDescent="0.25">
      <c r="A12" s="1493"/>
      <c r="B12" s="1493"/>
      <c r="C12" s="1493"/>
    </row>
    <row r="13" spans="1:3" x14ac:dyDescent="0.25">
      <c r="A13" s="1493"/>
      <c r="B13" s="1493"/>
      <c r="C13" s="1493"/>
    </row>
    <row r="14" spans="1:3" ht="15.75" x14ac:dyDescent="0.25">
      <c r="A14" s="1487" t="s">
        <v>459</v>
      </c>
      <c r="B14" s="1487"/>
    </row>
    <row r="15" spans="1:3" x14ac:dyDescent="0.25">
      <c r="A15" s="1488" t="s">
        <v>448</v>
      </c>
      <c r="B15" s="1488" t="s">
        <v>658</v>
      </c>
      <c r="C15" s="1488" t="s">
        <v>655</v>
      </c>
    </row>
    <row r="16" spans="1:3" x14ac:dyDescent="0.25">
      <c r="A16" s="1489"/>
      <c r="B16" s="1506">
        <v>1112</v>
      </c>
      <c r="C16" s="1490">
        <v>150</v>
      </c>
    </row>
    <row r="17" spans="1:3" x14ac:dyDescent="0.25">
      <c r="A17" s="1489"/>
      <c r="B17" s="1506">
        <v>1112</v>
      </c>
      <c r="C17" s="1490">
        <v>650</v>
      </c>
    </row>
    <row r="18" spans="1:3" x14ac:dyDescent="0.25">
      <c r="A18" s="1489"/>
      <c r="B18" s="1506">
        <v>1111</v>
      </c>
      <c r="C18" s="1490">
        <v>8000</v>
      </c>
    </row>
    <row r="19" spans="1:3" x14ac:dyDescent="0.25">
      <c r="A19" s="1491" t="s">
        <v>71</v>
      </c>
      <c r="B19" s="1494"/>
      <c r="C19" s="1492">
        <f>SUM(C16:C18)</f>
        <v>8800</v>
      </c>
    </row>
    <row r="22" spans="1:3" ht="15.75" x14ac:dyDescent="0.25">
      <c r="A22" s="1487" t="s">
        <v>657</v>
      </c>
      <c r="B22" s="1487"/>
    </row>
    <row r="23" spans="1:3" x14ac:dyDescent="0.25">
      <c r="A23" s="1488" t="s">
        <v>448</v>
      </c>
      <c r="B23" s="1488" t="s">
        <v>658</v>
      </c>
      <c r="C23" s="1488" t="s">
        <v>655</v>
      </c>
    </row>
    <row r="24" spans="1:3" x14ac:dyDescent="0.25">
      <c r="A24" s="1489"/>
      <c r="B24" s="1506">
        <v>1112</v>
      </c>
      <c r="C24" s="1490">
        <v>5340</v>
      </c>
    </row>
    <row r="25" spans="1:3" x14ac:dyDescent="0.25">
      <c r="A25" s="1491" t="s">
        <v>71</v>
      </c>
      <c r="B25" s="1494"/>
      <c r="C25" s="1492">
        <f>SUM(C24)</f>
        <v>5340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L50"/>
  <sheetViews>
    <sheetView showGridLines="0" workbookViewId="0"/>
  </sheetViews>
  <sheetFormatPr defaultColWidth="8.7109375" defaultRowHeight="12.75" x14ac:dyDescent="0.2"/>
  <cols>
    <col min="1" max="1" width="4.140625" style="33" customWidth="1"/>
    <col min="2" max="2" width="6.42578125" style="33" customWidth="1"/>
    <col min="3" max="3" width="9.42578125" style="33" customWidth="1"/>
    <col min="4" max="4" width="5.7109375" style="33" customWidth="1"/>
    <col min="5" max="6" width="9.42578125" style="33" customWidth="1"/>
    <col min="7" max="7" width="5.7109375" style="33" customWidth="1"/>
    <col min="8" max="9" width="9.42578125" style="33" customWidth="1"/>
    <col min="10" max="10" width="5.7109375" style="33" customWidth="1"/>
    <col min="11" max="12" width="9.42578125" style="33" customWidth="1"/>
    <col min="13" max="13" width="5.7109375" style="33" customWidth="1"/>
    <col min="14" max="16" width="9.42578125" style="33" customWidth="1"/>
    <col min="17" max="17" width="8.140625" style="33" customWidth="1"/>
    <col min="18" max="19" width="9.42578125" style="33" customWidth="1"/>
    <col min="20" max="20" width="8.140625" style="33" customWidth="1"/>
    <col min="21" max="22" width="9.42578125" style="33" customWidth="1"/>
    <col min="23" max="23" width="5.7109375" style="33" customWidth="1"/>
    <col min="24" max="25" width="9.42578125" style="33" customWidth="1"/>
    <col min="26" max="26" width="5.7109375" style="33" customWidth="1"/>
    <col min="27" max="28" width="9.42578125" style="33" customWidth="1"/>
    <col min="29" max="29" width="5.7109375" style="33" customWidth="1"/>
    <col min="30" max="30" width="9.42578125" style="33" customWidth="1"/>
    <col min="31" max="31" width="9.5703125" style="33" customWidth="1"/>
    <col min="32" max="32" width="5.7109375" style="33" customWidth="1"/>
    <col min="33" max="36" width="8.7109375" style="33"/>
    <col min="37" max="37" width="9.42578125" style="33" bestFit="1" customWidth="1"/>
    <col min="38" max="16384" width="8.7109375" style="33"/>
  </cols>
  <sheetData>
    <row r="1" spans="1:34" s="184" customFormat="1" ht="15.75" x14ac:dyDescent="0.25">
      <c r="A1" s="715" t="s">
        <v>662</v>
      </c>
      <c r="K1" s="184" t="s">
        <v>356</v>
      </c>
      <c r="N1" s="716">
        <f>'str1'!H7</f>
        <v>500255.17435781809</v>
      </c>
      <c r="Q1" s="934" t="s">
        <v>339</v>
      </c>
      <c r="R1" s="708">
        <f>D3+G3+J3+O3+Q3+W3+Z3+AC3+AF3+T3</f>
        <v>1</v>
      </c>
      <c r="S1" s="708"/>
      <c r="T1" s="708"/>
      <c r="U1" s="708"/>
    </row>
    <row r="2" spans="1:34" ht="13.5" thickBot="1" x14ac:dyDescent="0.25">
      <c r="A2" s="106"/>
    </row>
    <row r="3" spans="1:34" ht="12.75" customHeight="1" x14ac:dyDescent="0.2">
      <c r="A3" s="1514"/>
      <c r="B3" s="1515"/>
      <c r="C3" s="205"/>
      <c r="D3" s="933">
        <v>0.30331483921245134</v>
      </c>
      <c r="E3" s="206"/>
      <c r="F3" s="205"/>
      <c r="G3" s="933">
        <v>6.6851607875486807E-3</v>
      </c>
      <c r="H3" s="206"/>
      <c r="I3" s="205"/>
      <c r="J3" s="933">
        <v>0.1</v>
      </c>
      <c r="K3" s="206"/>
      <c r="L3" s="208">
        <v>2.5</v>
      </c>
      <c r="M3" s="209">
        <v>1.5</v>
      </c>
      <c r="N3" s="210" t="s">
        <v>193</v>
      </c>
      <c r="O3" s="932">
        <v>0.04</v>
      </c>
      <c r="P3" s="207"/>
      <c r="Q3" s="933">
        <v>0.05</v>
      </c>
      <c r="R3" s="206"/>
      <c r="S3" s="207"/>
      <c r="T3" s="933">
        <v>0.05</v>
      </c>
      <c r="U3" s="1350"/>
      <c r="V3" s="207"/>
      <c r="W3" s="933">
        <v>0.1</v>
      </c>
      <c r="X3" s="1350"/>
      <c r="Y3" s="207"/>
      <c r="Z3" s="933">
        <v>0.03</v>
      </c>
      <c r="AA3" s="206"/>
      <c r="AB3" s="207"/>
      <c r="AC3" s="933">
        <v>0.27</v>
      </c>
      <c r="AD3" s="206"/>
      <c r="AE3" s="207"/>
      <c r="AF3" s="933">
        <v>0.05</v>
      </c>
      <c r="AG3" s="206"/>
      <c r="AH3" s="1522" t="s">
        <v>340</v>
      </c>
    </row>
    <row r="4" spans="1:34" s="214" customFormat="1" ht="69.75" customHeight="1" x14ac:dyDescent="0.2">
      <c r="A4" s="1520" t="s">
        <v>621</v>
      </c>
      <c r="B4" s="1521"/>
      <c r="C4" s="211" t="s">
        <v>613</v>
      </c>
      <c r="D4" s="212" t="s">
        <v>21</v>
      </c>
      <c r="E4" s="213" t="s">
        <v>230</v>
      </c>
      <c r="F4" s="211" t="s">
        <v>583</v>
      </c>
      <c r="G4" s="212" t="s">
        <v>21</v>
      </c>
      <c r="H4" s="213" t="s">
        <v>582</v>
      </c>
      <c r="I4" s="211" t="s">
        <v>581</v>
      </c>
      <c r="J4" s="212" t="s">
        <v>21</v>
      </c>
      <c r="K4" s="213" t="s">
        <v>585</v>
      </c>
      <c r="L4" s="211" t="s">
        <v>228</v>
      </c>
      <c r="M4" s="212" t="s">
        <v>229</v>
      </c>
      <c r="N4" s="212" t="s">
        <v>193</v>
      </c>
      <c r="O4" s="213" t="s">
        <v>329</v>
      </c>
      <c r="P4" s="211" t="s">
        <v>586</v>
      </c>
      <c r="Q4" s="212" t="s">
        <v>21</v>
      </c>
      <c r="R4" s="213" t="s">
        <v>587</v>
      </c>
      <c r="S4" s="211" t="s">
        <v>615</v>
      </c>
      <c r="T4" s="212" t="s">
        <v>21</v>
      </c>
      <c r="U4" s="213" t="s">
        <v>616</v>
      </c>
      <c r="V4" s="211" t="s">
        <v>614</v>
      </c>
      <c r="W4" s="212" t="s">
        <v>21</v>
      </c>
      <c r="X4" s="213" t="s">
        <v>617</v>
      </c>
      <c r="Y4" s="211" t="s">
        <v>584</v>
      </c>
      <c r="Z4" s="212" t="s">
        <v>21</v>
      </c>
      <c r="AA4" s="213" t="s">
        <v>588</v>
      </c>
      <c r="AB4" s="211" t="s">
        <v>589</v>
      </c>
      <c r="AC4" s="212" t="s">
        <v>21</v>
      </c>
      <c r="AD4" s="213" t="s">
        <v>590</v>
      </c>
      <c r="AE4" s="211" t="s">
        <v>618</v>
      </c>
      <c r="AF4" s="212" t="s">
        <v>21</v>
      </c>
      <c r="AG4" s="213" t="s">
        <v>619</v>
      </c>
      <c r="AH4" s="1523"/>
    </row>
    <row r="5" spans="1:34" s="214" customFormat="1" ht="12" thickBot="1" x14ac:dyDescent="0.25">
      <c r="A5" s="1385"/>
      <c r="B5" s="1386"/>
      <c r="C5" s="1387"/>
      <c r="D5" s="1388"/>
      <c r="E5" s="1389" t="s">
        <v>231</v>
      </c>
      <c r="F5" s="1387"/>
      <c r="G5" s="1388"/>
      <c r="H5" s="1389" t="s">
        <v>232</v>
      </c>
      <c r="I5" s="1387"/>
      <c r="J5" s="1388"/>
      <c r="K5" s="1389" t="s">
        <v>233</v>
      </c>
      <c r="L5" s="1387"/>
      <c r="M5" s="1388"/>
      <c r="N5" s="1388"/>
      <c r="O5" s="1389" t="s">
        <v>234</v>
      </c>
      <c r="P5" s="1387"/>
      <c r="Q5" s="1388"/>
      <c r="R5" s="1389" t="s">
        <v>235</v>
      </c>
      <c r="S5" s="1387"/>
      <c r="T5" s="1388"/>
      <c r="U5" s="1389" t="s">
        <v>236</v>
      </c>
      <c r="V5" s="1387"/>
      <c r="W5" s="1388"/>
      <c r="X5" s="1389" t="s">
        <v>237</v>
      </c>
      <c r="Y5" s="1387"/>
      <c r="Z5" s="1388"/>
      <c r="AA5" s="1389" t="s">
        <v>238</v>
      </c>
      <c r="AB5" s="1387"/>
      <c r="AC5" s="1388"/>
      <c r="AD5" s="1389" t="s">
        <v>620</v>
      </c>
      <c r="AE5" s="1387"/>
      <c r="AF5" s="1388"/>
      <c r="AG5" s="1389" t="s">
        <v>330</v>
      </c>
      <c r="AH5" s="1390" t="s">
        <v>535</v>
      </c>
    </row>
    <row r="6" spans="1:34" x14ac:dyDescent="0.2">
      <c r="A6" s="215">
        <v>11</v>
      </c>
      <c r="B6" s="216" t="s">
        <v>7</v>
      </c>
      <c r="C6" s="1377">
        <v>27211.103702559434</v>
      </c>
      <c r="D6" s="1378">
        <f>C6/$C$18</f>
        <v>0.10901351555537678</v>
      </c>
      <c r="E6" s="1379">
        <f t="shared" ref="E6:E17" si="0">D6*$N$1*$D$3</f>
        <v>16541.145917865917</v>
      </c>
      <c r="F6" s="1377"/>
      <c r="G6" s="1378"/>
      <c r="H6" s="1379"/>
      <c r="I6" s="1377">
        <v>275485.74248000002</v>
      </c>
      <c r="J6" s="1378">
        <f>I6/$I$18</f>
        <v>0.25516307858885034</v>
      </c>
      <c r="K6" s="1379">
        <f t="shared" ref="K6:K17" si="1">J6*$N$1*$J$3</f>
        <v>12764.665036914297</v>
      </c>
      <c r="L6" s="1377">
        <v>57.769999999999996</v>
      </c>
      <c r="M6" s="1380">
        <v>56.794999999999995</v>
      </c>
      <c r="N6" s="1381">
        <f t="shared" ref="N6:N17" si="2">L6*$L$3+M6*$M$3</f>
        <v>229.61749999999998</v>
      </c>
      <c r="O6" s="1379">
        <f t="shared" ref="O6:O17" si="3">N6/$N$18*$N$1*$O$3</f>
        <v>4202.8946106968306</v>
      </c>
      <c r="P6" s="1377">
        <v>1656.2317653785021</v>
      </c>
      <c r="Q6" s="1382">
        <f t="shared" ref="Q6:Q17" si="4">P6/$P$18</f>
        <v>0.21728582915598751</v>
      </c>
      <c r="R6" s="1379">
        <f t="shared" ref="R6:R17" si="5">Q6*$N$1*$Q$3</f>
        <v>5434.9180174955809</v>
      </c>
      <c r="S6" s="1377">
        <v>747</v>
      </c>
      <c r="T6" s="1382">
        <f>S6/$S$18</f>
        <v>0.48855461085676916</v>
      </c>
      <c r="U6" s="1379">
        <f>T6*$T$3*$N$1</f>
        <v>12220.098601873453</v>
      </c>
      <c r="V6" s="1377">
        <v>4.2359999999999998</v>
      </c>
      <c r="W6" s="1382">
        <f>V6/$V$18</f>
        <v>3.743603793094305E-2</v>
      </c>
      <c r="X6" s="1379">
        <f t="shared" ref="X6:X17" si="6">W6*$W$3*$N$1</f>
        <v>1872.7571682409809</v>
      </c>
      <c r="Y6" s="1383">
        <v>39.934165720771844</v>
      </c>
      <c r="Z6" s="1382">
        <f t="shared" ref="Z6:Z14" si="7">Y6/$Y$18</f>
        <v>7.6463492822446563E-2</v>
      </c>
      <c r="AA6" s="1379">
        <f t="shared" ref="AA6:AA14" si="8">Z6*$N$1*$Z$3</f>
        <v>1147.5377380170232</v>
      </c>
      <c r="AB6" s="1383">
        <v>29258.238230887626</v>
      </c>
      <c r="AC6" s="1382">
        <f t="shared" ref="AC6:AC14" si="9">AB6/$AB$18</f>
        <v>5.8801885320796561E-2</v>
      </c>
      <c r="AD6" s="1379">
        <f t="shared" ref="AD6:AD17" si="10">AC6*$N$1*$AC$3</f>
        <v>7942.3057963053479</v>
      </c>
      <c r="AE6" s="1383">
        <v>2375.1726668996853</v>
      </c>
      <c r="AF6" s="1382">
        <f t="shared" ref="AF6:AF14" si="11">AE6/$AE$18</f>
        <v>0.14520754753314724</v>
      </c>
      <c r="AG6" s="1379">
        <f t="shared" ref="AG6:AG17" si="12">AF6*$N$1*$AF$3</f>
        <v>3632.041350463287</v>
      </c>
      <c r="AH6" s="1384">
        <f>E6+H6+K6+O6+R6+X6+AA6+AD6+AG6+U6</f>
        <v>65758.364237872724</v>
      </c>
    </row>
    <row r="7" spans="1:34" x14ac:dyDescent="0.2">
      <c r="A7" s="174">
        <v>21</v>
      </c>
      <c r="B7" s="220" t="s">
        <v>8</v>
      </c>
      <c r="C7" s="217">
        <v>26809.367415071567</v>
      </c>
      <c r="D7" s="232">
        <f t="shared" ref="D7:D17" si="13">C7/$C$18</f>
        <v>0.10740407385452072</v>
      </c>
      <c r="E7" s="218">
        <f t="shared" si="0"/>
        <v>16296.93757466617</v>
      </c>
      <c r="F7" s="217">
        <v>4210.2</v>
      </c>
      <c r="G7" s="232">
        <f>F7/$F$18</f>
        <v>0.59634560906515577</v>
      </c>
      <c r="H7" s="218">
        <f>G7*$N$1*$G$3</f>
        <v>1994.3504357828367</v>
      </c>
      <c r="I7" s="217">
        <v>80552.618300000002</v>
      </c>
      <c r="J7" s="232">
        <f t="shared" ref="J7:J17" si="14">I7/$I$18</f>
        <v>7.4610228060396883E-2</v>
      </c>
      <c r="K7" s="218">
        <f t="shared" si="1"/>
        <v>3732.4152647230421</v>
      </c>
      <c r="L7" s="217">
        <v>31.549999999999997</v>
      </c>
      <c r="M7" s="219">
        <v>63.9</v>
      </c>
      <c r="N7" s="176">
        <f t="shared" si="2"/>
        <v>174.72499999999999</v>
      </c>
      <c r="O7" s="218">
        <f t="shared" si="3"/>
        <v>3198.148054281593</v>
      </c>
      <c r="P7" s="217">
        <v>1121.3408881610817</v>
      </c>
      <c r="Q7" s="1351">
        <f t="shared" si="4"/>
        <v>0.14711194999626753</v>
      </c>
      <c r="R7" s="218">
        <f t="shared" si="5"/>
        <v>3679.6757097750715</v>
      </c>
      <c r="S7" s="217">
        <v>220</v>
      </c>
      <c r="T7" s="1382">
        <f t="shared" ref="T7:T14" si="15">S7/$S$18</f>
        <v>0.14388489208633093</v>
      </c>
      <c r="U7" s="1379">
        <f t="shared" ref="U7:U17" si="16">T7*$T$3*$N$1</f>
        <v>3598.9580889051663</v>
      </c>
      <c r="V7" s="217">
        <v>33.713000000000001</v>
      </c>
      <c r="W7" s="1382">
        <f t="shared" ref="W7:W17" si="17">V7/$V$18</f>
        <v>0.29794172492112447</v>
      </c>
      <c r="X7" s="218">
        <f t="shared" si="6"/>
        <v>14904.688954888621</v>
      </c>
      <c r="Y7" s="175">
        <v>51.843359818388194</v>
      </c>
      <c r="Z7" s="1351">
        <f t="shared" si="7"/>
        <v>9.9266487725894623E-2</v>
      </c>
      <c r="AA7" s="218">
        <f t="shared" si="8"/>
        <v>1489.7572237561687</v>
      </c>
      <c r="AB7" s="175">
        <v>132023.64310800913</v>
      </c>
      <c r="AC7" s="1351">
        <f t="shared" si="9"/>
        <v>0.26533515314245248</v>
      </c>
      <c r="AD7" s="218">
        <f t="shared" si="10"/>
        <v>35838.526490604709</v>
      </c>
      <c r="AE7" s="175">
        <v>2786.3229992790193</v>
      </c>
      <c r="AF7" s="1351">
        <f t="shared" si="11"/>
        <v>0.17034345965618908</v>
      </c>
      <c r="AG7" s="218">
        <f t="shared" si="12"/>
        <v>4260.7598555510413</v>
      </c>
      <c r="AH7" s="1384">
        <f t="shared" ref="AH7:AH17" si="18">E7+H7+K7+O7+R7+X7+AA7+AD7+AG7+U7</f>
        <v>88994.217652934429</v>
      </c>
    </row>
    <row r="8" spans="1:34" x14ac:dyDescent="0.2">
      <c r="A8" s="174">
        <v>22</v>
      </c>
      <c r="B8" s="220" t="s">
        <v>9</v>
      </c>
      <c r="C8" s="217">
        <v>9391.3299965979968</v>
      </c>
      <c r="D8" s="232">
        <f t="shared" si="13"/>
        <v>3.7623681489020858E-2</v>
      </c>
      <c r="E8" s="218">
        <f t="shared" si="0"/>
        <v>5708.8224547814771</v>
      </c>
      <c r="F8" s="217"/>
      <c r="G8" s="232"/>
      <c r="H8" s="218"/>
      <c r="I8" s="217">
        <v>33952.964310000003</v>
      </c>
      <c r="J8" s="232">
        <f t="shared" si="14"/>
        <v>3.144824419066234E-2</v>
      </c>
      <c r="K8" s="218">
        <f t="shared" si="1"/>
        <v>1573.2146880847031</v>
      </c>
      <c r="L8" s="217">
        <v>11.75</v>
      </c>
      <c r="M8" s="219">
        <v>24.875</v>
      </c>
      <c r="N8" s="176">
        <f t="shared" si="2"/>
        <v>66.6875</v>
      </c>
      <c r="O8" s="218">
        <f t="shared" si="3"/>
        <v>1220.6409979676851</v>
      </c>
      <c r="P8" s="217">
        <v>789.91401609648278</v>
      </c>
      <c r="Q8" s="1351">
        <f t="shared" si="4"/>
        <v>0.10363110135750581</v>
      </c>
      <c r="R8" s="218">
        <f t="shared" si="5"/>
        <v>2592.0997339245896</v>
      </c>
      <c r="S8" s="217">
        <v>13</v>
      </c>
      <c r="T8" s="1382">
        <f t="shared" si="15"/>
        <v>8.502289077828646E-3</v>
      </c>
      <c r="U8" s="1379">
        <f t="shared" si="16"/>
        <v>212.66570525348712</v>
      </c>
      <c r="V8" s="217">
        <v>2</v>
      </c>
      <c r="W8" s="1382">
        <f t="shared" si="17"/>
        <v>1.7675183159085481E-2</v>
      </c>
      <c r="X8" s="218">
        <f t="shared" si="6"/>
        <v>884.21018330546781</v>
      </c>
      <c r="Y8" s="175">
        <v>7</v>
      </c>
      <c r="Z8" s="1351">
        <f t="shared" si="7"/>
        <v>1.3403170946393837E-2</v>
      </c>
      <c r="AA8" s="218">
        <f t="shared" si="8"/>
        <v>201.15016856207671</v>
      </c>
      <c r="AB8" s="175">
        <v>47248.8085608849</v>
      </c>
      <c r="AC8" s="1351">
        <f t="shared" si="9"/>
        <v>9.4958520763166854E-2</v>
      </c>
      <c r="AD8" s="218">
        <f t="shared" si="10"/>
        <v>12825.942667507403</v>
      </c>
      <c r="AE8" s="175">
        <v>2010.3940650925333</v>
      </c>
      <c r="AF8" s="1351">
        <f t="shared" si="11"/>
        <v>0.12290659783835012</v>
      </c>
      <c r="AG8" s="218">
        <f t="shared" si="12"/>
        <v>3074.2330765675033</v>
      </c>
      <c r="AH8" s="1384">
        <f t="shared" si="18"/>
        <v>28292.979675954393</v>
      </c>
    </row>
    <row r="9" spans="1:34" x14ac:dyDescent="0.2">
      <c r="A9" s="174">
        <v>23</v>
      </c>
      <c r="B9" s="220" t="s">
        <v>10</v>
      </c>
      <c r="C9" s="217">
        <v>14381.165248165462</v>
      </c>
      <c r="D9" s="232">
        <f t="shared" si="13"/>
        <v>5.7614031338900459E-2</v>
      </c>
      <c r="E9" s="218">
        <f t="shared" si="0"/>
        <v>8742.0545465222203</v>
      </c>
      <c r="F9" s="217"/>
      <c r="G9" s="232"/>
      <c r="H9" s="218"/>
      <c r="I9" s="217">
        <v>48425.388010000002</v>
      </c>
      <c r="J9" s="232">
        <f t="shared" si="14"/>
        <v>4.4853032956463298E-2</v>
      </c>
      <c r="K9" s="218">
        <f t="shared" si="1"/>
        <v>2243.7961822112511</v>
      </c>
      <c r="L9" s="217">
        <v>14.9</v>
      </c>
      <c r="M9" s="219">
        <v>20.89</v>
      </c>
      <c r="N9" s="176">
        <f t="shared" si="2"/>
        <v>68.585000000000008</v>
      </c>
      <c r="O9" s="218">
        <f t="shared" si="3"/>
        <v>1255.3726387346007</v>
      </c>
      <c r="P9" s="217">
        <v>539.09191155618271</v>
      </c>
      <c r="Q9" s="1351">
        <f t="shared" si="4"/>
        <v>7.0725024988880031E-2</v>
      </c>
      <c r="R9" s="218">
        <f t="shared" si="5"/>
        <v>1769.0279853636612</v>
      </c>
      <c r="S9" s="217">
        <v>177</v>
      </c>
      <c r="T9" s="1382">
        <f t="shared" si="15"/>
        <v>0.1157619359058208</v>
      </c>
      <c r="U9" s="1379">
        <f t="shared" si="16"/>
        <v>2895.5253715282479</v>
      </c>
      <c r="V9" s="217">
        <v>9.1</v>
      </c>
      <c r="W9" s="1382">
        <f t="shared" si="17"/>
        <v>8.0422083373838937E-2</v>
      </c>
      <c r="X9" s="218">
        <f t="shared" si="6"/>
        <v>4023.1563340398779</v>
      </c>
      <c r="Y9" s="175">
        <v>67</v>
      </c>
      <c r="Z9" s="1351">
        <f t="shared" si="7"/>
        <v>0.12828749334405531</v>
      </c>
      <c r="AA9" s="218">
        <f t="shared" si="8"/>
        <v>1925.2944705227344</v>
      </c>
      <c r="AB9" s="175">
        <v>92147.496211764068</v>
      </c>
      <c r="AC9" s="1351">
        <f t="shared" si="9"/>
        <v>0.18519387469893819</v>
      </c>
      <c r="AD9" s="218">
        <f t="shared" si="10"/>
        <v>25013.932400929658</v>
      </c>
      <c r="AE9" s="175">
        <v>1719.9154518950438</v>
      </c>
      <c r="AF9" s="1351">
        <f t="shared" si="11"/>
        <v>0.10514802069528525</v>
      </c>
      <c r="AG9" s="218">
        <f t="shared" si="12"/>
        <v>2630.0420713149697</v>
      </c>
      <c r="AH9" s="1384">
        <f t="shared" si="18"/>
        <v>50498.202001167221</v>
      </c>
    </row>
    <row r="10" spans="1:34" x14ac:dyDescent="0.2">
      <c r="A10" s="174">
        <v>31</v>
      </c>
      <c r="B10" s="220" t="s">
        <v>11</v>
      </c>
      <c r="C10" s="217">
        <v>98460.500761369491</v>
      </c>
      <c r="D10" s="232">
        <f t="shared" si="13"/>
        <v>0.39445387620679867</v>
      </c>
      <c r="E10" s="218">
        <f t="shared" si="0"/>
        <v>59852.387027093384</v>
      </c>
      <c r="F10" s="217"/>
      <c r="G10" s="232"/>
      <c r="H10" s="218"/>
      <c r="I10" s="217">
        <v>298493.77551999997</v>
      </c>
      <c r="J10" s="232">
        <f t="shared" si="14"/>
        <v>0.27647380229422175</v>
      </c>
      <c r="K10" s="218">
        <f t="shared" si="1"/>
        <v>13830.745017206484</v>
      </c>
      <c r="L10" s="217">
        <v>57.295000000000002</v>
      </c>
      <c r="M10" s="219">
        <v>95.797499999999985</v>
      </c>
      <c r="N10" s="176">
        <f t="shared" si="2"/>
        <v>286.93374999999997</v>
      </c>
      <c r="O10" s="218">
        <f t="shared" si="3"/>
        <v>5252.0052326239575</v>
      </c>
      <c r="P10" s="217">
        <v>1308.6940791352949</v>
      </c>
      <c r="Q10" s="1351">
        <f t="shared" si="4"/>
        <v>0.17169135627069593</v>
      </c>
      <c r="R10" s="218">
        <f t="shared" si="5"/>
        <v>4294.4744683463632</v>
      </c>
      <c r="S10" s="217">
        <v>144</v>
      </c>
      <c r="T10" s="1382">
        <f t="shared" si="15"/>
        <v>9.4179202092871159E-2</v>
      </c>
      <c r="U10" s="1379">
        <f t="shared" si="16"/>
        <v>2355.6816581924727</v>
      </c>
      <c r="V10" s="217">
        <v>40.645000000000003</v>
      </c>
      <c r="W10" s="1382">
        <f t="shared" si="17"/>
        <v>0.35920390975051475</v>
      </c>
      <c r="X10" s="218">
        <f t="shared" si="6"/>
        <v>17969.361450225369</v>
      </c>
      <c r="Y10" s="175">
        <v>132</v>
      </c>
      <c r="Z10" s="1351">
        <f t="shared" si="7"/>
        <v>0.25274550927485523</v>
      </c>
      <c r="AA10" s="218">
        <f t="shared" si="8"/>
        <v>3793.1174643134468</v>
      </c>
      <c r="AB10" s="175">
        <v>49000.04809948679</v>
      </c>
      <c r="AC10" s="1351">
        <f t="shared" si="9"/>
        <v>9.8478082867538605E-2</v>
      </c>
      <c r="AD10" s="218">
        <f t="shared" si="10"/>
        <v>13301.326039137532</v>
      </c>
      <c r="AE10" s="175">
        <v>2075.4599761051372</v>
      </c>
      <c r="AF10" s="1351">
        <f t="shared" si="11"/>
        <v>0.1268844397434116</v>
      </c>
      <c r="AG10" s="218">
        <f t="shared" si="12"/>
        <v>3173.7298763567214</v>
      </c>
      <c r="AH10" s="1384">
        <f t="shared" si="18"/>
        <v>123822.82823349573</v>
      </c>
    </row>
    <row r="11" spans="1:34" x14ac:dyDescent="0.2">
      <c r="A11" s="174">
        <v>33</v>
      </c>
      <c r="B11" s="220" t="s">
        <v>12</v>
      </c>
      <c r="C11" s="217">
        <v>16641.178517261473</v>
      </c>
      <c r="D11" s="232">
        <f t="shared" si="13"/>
        <v>6.6668129046917449E-2</v>
      </c>
      <c r="E11" s="218">
        <f t="shared" si="0"/>
        <v>10115.876412370097</v>
      </c>
      <c r="F11" s="217">
        <v>1203.9000000000001</v>
      </c>
      <c r="G11" s="232">
        <f>F11/$F$18</f>
        <v>0.17052407932011332</v>
      </c>
      <c r="H11" s="218">
        <f>G11*$N$1*$G$3</f>
        <v>570.28133809295457</v>
      </c>
      <c r="I11" s="217">
        <v>41163.603060000001</v>
      </c>
      <c r="J11" s="232">
        <f t="shared" si="14"/>
        <v>3.81269520086382E-2</v>
      </c>
      <c r="K11" s="218">
        <f t="shared" si="1"/>
        <v>1907.3205024813467</v>
      </c>
      <c r="L11" s="217">
        <v>12.4575</v>
      </c>
      <c r="M11" s="219">
        <v>21.715</v>
      </c>
      <c r="N11" s="176">
        <f t="shared" si="2"/>
        <v>63.716249999999995</v>
      </c>
      <c r="O11" s="218">
        <f t="shared" si="3"/>
        <v>1166.2555499420207</v>
      </c>
      <c r="P11" s="217">
        <v>224.17525137582729</v>
      </c>
      <c r="Q11" s="1351">
        <f t="shared" si="4"/>
        <v>2.9410198735269844E-2</v>
      </c>
      <c r="R11" s="218">
        <f t="shared" si="5"/>
        <v>735.6302048105249</v>
      </c>
      <c r="S11" s="217">
        <v>73</v>
      </c>
      <c r="T11" s="1382">
        <f t="shared" si="15"/>
        <v>4.7743623283191629E-2</v>
      </c>
      <c r="U11" s="1379">
        <f t="shared" si="16"/>
        <v>1194.1997295003507</v>
      </c>
      <c r="V11" s="217">
        <v>9.07</v>
      </c>
      <c r="W11" s="1382">
        <f t="shared" si="17"/>
        <v>8.0156955626452669E-2</v>
      </c>
      <c r="X11" s="218">
        <f t="shared" si="6"/>
        <v>4009.893181290297</v>
      </c>
      <c r="Y11" s="175">
        <v>158</v>
      </c>
      <c r="Z11" s="1351">
        <f t="shared" si="7"/>
        <v>0.30252871564717521</v>
      </c>
      <c r="AA11" s="218">
        <f t="shared" si="8"/>
        <v>4540.2466618297321</v>
      </c>
      <c r="AB11" s="175">
        <v>20233.682637258305</v>
      </c>
      <c r="AC11" s="1351">
        <f t="shared" si="9"/>
        <v>4.0664741214575868E-2</v>
      </c>
      <c r="AD11" s="218">
        <f t="shared" si="10"/>
        <v>5492.5417457585654</v>
      </c>
      <c r="AE11" s="175">
        <v>760.65095652173909</v>
      </c>
      <c r="AF11" s="1351">
        <f t="shared" si="11"/>
        <v>4.6502833863206146E-2</v>
      </c>
      <c r="AG11" s="218">
        <f t="shared" si="12"/>
        <v>1163.1641631185419</v>
      </c>
      <c r="AH11" s="1384">
        <f t="shared" si="18"/>
        <v>30895.40948919443</v>
      </c>
    </row>
    <row r="12" spans="1:34" x14ac:dyDescent="0.2">
      <c r="A12" s="174">
        <v>41</v>
      </c>
      <c r="B12" s="220" t="s">
        <v>13</v>
      </c>
      <c r="C12" s="217">
        <v>10630.155847210241</v>
      </c>
      <c r="D12" s="232">
        <f t="shared" si="13"/>
        <v>4.2586683453671718E-2</v>
      </c>
      <c r="E12" s="218">
        <f t="shared" si="0"/>
        <v>6461.882653507414</v>
      </c>
      <c r="F12" s="217">
        <v>1645.9</v>
      </c>
      <c r="G12" s="232">
        <f>F12/$F$18</f>
        <v>0.23313031161473088</v>
      </c>
      <c r="H12" s="218">
        <f>G12*$N$1*$G$3</f>
        <v>779.65450150942263</v>
      </c>
      <c r="I12" s="217">
        <v>31065.230020000003</v>
      </c>
      <c r="J12" s="232">
        <f t="shared" si="14"/>
        <v>2.8773538904828967E-2</v>
      </c>
      <c r="K12" s="218">
        <f t="shared" si="1"/>
        <v>1439.4111721726676</v>
      </c>
      <c r="L12" s="217">
        <v>10.45</v>
      </c>
      <c r="M12" s="219">
        <v>50.82</v>
      </c>
      <c r="N12" s="176">
        <f t="shared" si="2"/>
        <v>102.355</v>
      </c>
      <c r="O12" s="218">
        <f t="shared" si="3"/>
        <v>1873.4951729631848</v>
      </c>
      <c r="P12" s="217">
        <v>1156.2531693966544</v>
      </c>
      <c r="Q12" s="1351">
        <f t="shared" si="4"/>
        <v>0.15169219301211428</v>
      </c>
      <c r="R12" s="218">
        <f t="shared" si="5"/>
        <v>3794.2402231997512</v>
      </c>
      <c r="S12" s="217">
        <v>39</v>
      </c>
      <c r="T12" s="1382">
        <f t="shared" si="15"/>
        <v>2.5506867233485938E-2</v>
      </c>
      <c r="U12" s="1379">
        <f t="shared" si="16"/>
        <v>637.99711576046127</v>
      </c>
      <c r="V12" s="217">
        <v>9.23</v>
      </c>
      <c r="W12" s="1382">
        <f t="shared" si="17"/>
        <v>8.1570970279179505E-2</v>
      </c>
      <c r="X12" s="218">
        <f t="shared" si="6"/>
        <v>4080.6299959547346</v>
      </c>
      <c r="Y12" s="175">
        <v>19.48694665153235</v>
      </c>
      <c r="Z12" s="1351">
        <f t="shared" si="7"/>
        <v>3.7312411027677864E-2</v>
      </c>
      <c r="AA12" s="218">
        <f t="shared" si="8"/>
        <v>559.97180053084696</v>
      </c>
      <c r="AB12" s="175">
        <v>42067.781842503522</v>
      </c>
      <c r="AC12" s="1351">
        <f t="shared" si="9"/>
        <v>8.4545927341303728E-2</v>
      </c>
      <c r="AD12" s="218">
        <f t="shared" si="10"/>
        <v>11419.525158309176</v>
      </c>
      <c r="AE12" s="175">
        <v>2676.2120543293718</v>
      </c>
      <c r="AF12" s="1351">
        <f t="shared" si="11"/>
        <v>0.16361176368497951</v>
      </c>
      <c r="AG12" s="218">
        <f t="shared" si="12"/>
        <v>4092.3815684609781</v>
      </c>
      <c r="AH12" s="1384">
        <f t="shared" si="18"/>
        <v>35139.189362368634</v>
      </c>
    </row>
    <row r="13" spans="1:34" x14ac:dyDescent="0.2">
      <c r="A13" s="174">
        <v>51</v>
      </c>
      <c r="B13" s="220" t="s">
        <v>14</v>
      </c>
      <c r="C13" s="217">
        <v>1617.8308927224737</v>
      </c>
      <c r="D13" s="232">
        <f t="shared" si="13"/>
        <v>6.4813774228930608E-3</v>
      </c>
      <c r="E13" s="218">
        <f t="shared" si="0"/>
        <v>983.45062219716726</v>
      </c>
      <c r="F13" s="217"/>
      <c r="G13" s="232"/>
      <c r="H13" s="218"/>
      <c r="I13" s="217">
        <v>8124.8234199999997</v>
      </c>
      <c r="J13" s="232">
        <f t="shared" si="14"/>
        <v>7.525452817176195E-3</v>
      </c>
      <c r="K13" s="218">
        <f t="shared" si="1"/>
        <v>376.46467111780112</v>
      </c>
      <c r="L13" s="217">
        <v>4.3</v>
      </c>
      <c r="M13" s="219">
        <v>9.6</v>
      </c>
      <c r="N13" s="176">
        <f t="shared" si="2"/>
        <v>25.15</v>
      </c>
      <c r="O13" s="218">
        <f t="shared" si="3"/>
        <v>460.34295930852522</v>
      </c>
      <c r="P13" s="217">
        <v>439.09774939315838</v>
      </c>
      <c r="Q13" s="1351">
        <f t="shared" si="4"/>
        <v>5.7606502031807276E-2</v>
      </c>
      <c r="R13" s="218">
        <f t="shared" si="5"/>
        <v>1440.8975359032875</v>
      </c>
      <c r="S13" s="217">
        <v>6</v>
      </c>
      <c r="T13" s="1382">
        <f t="shared" si="15"/>
        <v>3.9241334205362983E-3</v>
      </c>
      <c r="U13" s="1379">
        <f t="shared" si="16"/>
        <v>98.153402424686362</v>
      </c>
      <c r="V13" s="217">
        <v>0.54</v>
      </c>
      <c r="W13" s="1382">
        <f t="shared" si="17"/>
        <v>4.7722994529530811E-3</v>
      </c>
      <c r="X13" s="218">
        <f t="shared" si="6"/>
        <v>238.73674949247638</v>
      </c>
      <c r="Y13" s="175">
        <v>5</v>
      </c>
      <c r="Z13" s="1351">
        <f t="shared" si="7"/>
        <v>9.5736935331384547E-3</v>
      </c>
      <c r="AA13" s="218">
        <f t="shared" si="8"/>
        <v>143.67869183005479</v>
      </c>
      <c r="AB13" s="175">
        <v>18747.456424126714</v>
      </c>
      <c r="AC13" s="1351">
        <f t="shared" si="9"/>
        <v>3.7677790918536999E-2</v>
      </c>
      <c r="AD13" s="218">
        <f t="shared" si="10"/>
        <v>5089.097663649939</v>
      </c>
      <c r="AE13" s="175">
        <v>791.22191011235964</v>
      </c>
      <c r="AF13" s="1351">
        <f t="shared" si="11"/>
        <v>4.8371806699794941E-2</v>
      </c>
      <c r="AG13" s="218">
        <f t="shared" si="12"/>
        <v>1209.9123297304295</v>
      </c>
      <c r="AH13" s="1384">
        <f t="shared" si="18"/>
        <v>10040.734625654368</v>
      </c>
    </row>
    <row r="14" spans="1:34" x14ac:dyDescent="0.2">
      <c r="A14" s="174">
        <v>56</v>
      </c>
      <c r="B14" s="220" t="s">
        <v>15</v>
      </c>
      <c r="C14" s="217">
        <v>5742.8687040428304</v>
      </c>
      <c r="D14" s="232">
        <f t="shared" si="13"/>
        <v>2.3007163312591922E-2</v>
      </c>
      <c r="E14" s="218">
        <f t="shared" si="0"/>
        <v>3490.9877327681875</v>
      </c>
      <c r="F14" s="217"/>
      <c r="G14" s="232"/>
      <c r="H14" s="218"/>
      <c r="I14" s="217">
        <v>18060.02104</v>
      </c>
      <c r="J14" s="232">
        <f t="shared" si="14"/>
        <v>1.6727727999500248E-2</v>
      </c>
      <c r="K14" s="218">
        <f t="shared" si="1"/>
        <v>836.81324870001527</v>
      </c>
      <c r="L14" s="217">
        <v>6.25</v>
      </c>
      <c r="M14" s="219">
        <v>20.55</v>
      </c>
      <c r="N14" s="176">
        <f t="shared" si="2"/>
        <v>46.45</v>
      </c>
      <c r="O14" s="218">
        <f t="shared" si="3"/>
        <v>850.2159228580914</v>
      </c>
      <c r="P14" s="217">
        <v>387.56555383814975</v>
      </c>
      <c r="Q14" s="1351">
        <f t="shared" si="4"/>
        <v>5.0845844451471819E-2</v>
      </c>
      <c r="R14" s="218">
        <f t="shared" si="5"/>
        <v>1271.7948390720767</v>
      </c>
      <c r="S14" s="217">
        <v>110</v>
      </c>
      <c r="T14" s="1382">
        <f t="shared" si="15"/>
        <v>7.1942446043165464E-2</v>
      </c>
      <c r="U14" s="1379">
        <f t="shared" si="16"/>
        <v>1799.4790444525831</v>
      </c>
      <c r="V14" s="217">
        <v>4.6189999999999998</v>
      </c>
      <c r="W14" s="1382">
        <f t="shared" si="17"/>
        <v>4.0820835505907919E-2</v>
      </c>
      <c r="X14" s="218">
        <f t="shared" si="6"/>
        <v>2042.0834183439779</v>
      </c>
      <c r="Y14" s="175">
        <v>42</v>
      </c>
      <c r="Z14" s="1351">
        <f t="shared" si="7"/>
        <v>8.0419025678363024E-2</v>
      </c>
      <c r="AA14" s="218">
        <f t="shared" si="8"/>
        <v>1206.9010113724603</v>
      </c>
      <c r="AB14" s="175">
        <v>66845.976618319779</v>
      </c>
      <c r="AC14" s="1351">
        <f t="shared" si="9"/>
        <v>0.13434402373269078</v>
      </c>
      <c r="AD14" s="218">
        <f t="shared" si="10"/>
        <v>18145.69911440858</v>
      </c>
      <c r="AE14" s="175">
        <v>1161.7381514046751</v>
      </c>
      <c r="AF14" s="1351">
        <f t="shared" si="11"/>
        <v>7.1023530285636141E-2</v>
      </c>
      <c r="AG14" s="218">
        <f t="shared" si="12"/>
        <v>1776.4944263274342</v>
      </c>
      <c r="AH14" s="1384">
        <f t="shared" si="18"/>
        <v>31420.468758303403</v>
      </c>
    </row>
    <row r="15" spans="1:34" x14ac:dyDescent="0.2">
      <c r="A15" s="174">
        <v>71</v>
      </c>
      <c r="B15" s="220" t="s">
        <v>196</v>
      </c>
      <c r="C15" s="217">
        <v>36237.569472006071</v>
      </c>
      <c r="D15" s="232">
        <f t="shared" si="13"/>
        <v>0.14517547272270376</v>
      </c>
      <c r="E15" s="218">
        <f t="shared" si="0"/>
        <v>22028.173899057103</v>
      </c>
      <c r="F15" s="217"/>
      <c r="G15" s="232"/>
      <c r="H15" s="218"/>
      <c r="I15" s="217">
        <v>201109.68733000002</v>
      </c>
      <c r="J15" s="232">
        <f t="shared" si="14"/>
        <v>0.18627376680624186</v>
      </c>
      <c r="K15" s="218">
        <f t="shared" si="1"/>
        <v>9318.4415691944068</v>
      </c>
      <c r="L15" s="217">
        <v>3.81</v>
      </c>
      <c r="M15" s="219">
        <v>10.6175</v>
      </c>
      <c r="N15" s="176">
        <f t="shared" si="2"/>
        <v>25.451250000000002</v>
      </c>
      <c r="O15" s="218">
        <f t="shared" si="3"/>
        <v>465.85700767797624</v>
      </c>
      <c r="P15" s="217"/>
      <c r="Q15" s="1351">
        <f t="shared" si="4"/>
        <v>0</v>
      </c>
      <c r="R15" s="218">
        <f t="shared" si="5"/>
        <v>0</v>
      </c>
      <c r="S15" s="217"/>
      <c r="T15" s="1351">
        <f>S15/$V$18</f>
        <v>0</v>
      </c>
      <c r="U15" s="1379">
        <f t="shared" si="16"/>
        <v>0</v>
      </c>
      <c r="V15" s="217"/>
      <c r="W15" s="1382">
        <f t="shared" si="17"/>
        <v>0</v>
      </c>
      <c r="X15" s="218">
        <f t="shared" si="6"/>
        <v>0</v>
      </c>
      <c r="Y15" s="217"/>
      <c r="Z15" s="219"/>
      <c r="AA15" s="218"/>
      <c r="AB15" s="217"/>
      <c r="AC15" s="219"/>
      <c r="AD15" s="218">
        <f t="shared" si="10"/>
        <v>0</v>
      </c>
      <c r="AE15" s="217"/>
      <c r="AF15" s="219"/>
      <c r="AG15" s="218">
        <f t="shared" si="12"/>
        <v>0</v>
      </c>
      <c r="AH15" s="1384">
        <f t="shared" si="18"/>
        <v>31812.472475929488</v>
      </c>
    </row>
    <row r="16" spans="1:34" x14ac:dyDescent="0.2">
      <c r="A16" s="174">
        <v>85</v>
      </c>
      <c r="B16" s="220" t="s">
        <v>100</v>
      </c>
      <c r="C16" s="217">
        <v>644.12402303845636</v>
      </c>
      <c r="D16" s="232">
        <f t="shared" si="13"/>
        <v>2.5804989379570819E-3</v>
      </c>
      <c r="E16" s="218">
        <f t="shared" si="0"/>
        <v>391.55153612088822</v>
      </c>
      <c r="F16" s="217"/>
      <c r="G16" s="232"/>
      <c r="H16" s="218"/>
      <c r="I16" s="217">
        <v>20340.392779999998</v>
      </c>
      <c r="J16" s="232">
        <f t="shared" si="14"/>
        <v>1.883987604849649E-2</v>
      </c>
      <c r="K16" s="218">
        <f t="shared" si="1"/>
        <v>942.47454775202937</v>
      </c>
      <c r="L16" s="217">
        <v>0.30000000000000004</v>
      </c>
      <c r="M16" s="219">
        <v>0</v>
      </c>
      <c r="N16" s="176">
        <f t="shared" si="2"/>
        <v>0.75000000000000011</v>
      </c>
      <c r="O16" s="218">
        <f t="shared" si="3"/>
        <v>13.727921251745286</v>
      </c>
      <c r="P16" s="217"/>
      <c r="Q16" s="1351">
        <f t="shared" si="4"/>
        <v>0</v>
      </c>
      <c r="R16" s="218">
        <f t="shared" si="5"/>
        <v>0</v>
      </c>
      <c r="S16" s="217"/>
      <c r="T16" s="1351">
        <f>S16/$V$18</f>
        <v>0</v>
      </c>
      <c r="U16" s="1379">
        <f t="shared" si="16"/>
        <v>0</v>
      </c>
      <c r="V16" s="217"/>
      <c r="W16" s="1382">
        <f t="shared" si="17"/>
        <v>0</v>
      </c>
      <c r="X16" s="218">
        <f t="shared" si="6"/>
        <v>0</v>
      </c>
      <c r="Y16" s="217"/>
      <c r="Z16" s="219"/>
      <c r="AA16" s="218"/>
      <c r="AB16" s="217"/>
      <c r="AC16" s="219"/>
      <c r="AD16" s="218">
        <f t="shared" si="10"/>
        <v>0</v>
      </c>
      <c r="AE16" s="217"/>
      <c r="AF16" s="219"/>
      <c r="AG16" s="218">
        <f t="shared" si="12"/>
        <v>0</v>
      </c>
      <c r="AH16" s="1384">
        <f t="shared" si="18"/>
        <v>1347.7540051246629</v>
      </c>
    </row>
    <row r="17" spans="1:38" ht="13.5" thickBot="1" x14ac:dyDescent="0.25">
      <c r="A17" s="179">
        <v>92</v>
      </c>
      <c r="B17" s="221" t="s">
        <v>17</v>
      </c>
      <c r="C17" s="222">
        <v>1845.0077595507555</v>
      </c>
      <c r="D17" s="232">
        <f t="shared" si="13"/>
        <v>7.3914966586474439E-3</v>
      </c>
      <c r="E17" s="218">
        <f t="shared" si="0"/>
        <v>1121.5473985883709</v>
      </c>
      <c r="F17" s="222"/>
      <c r="G17" s="232"/>
      <c r="H17" s="218"/>
      <c r="I17" s="222">
        <v>22871.539490000003</v>
      </c>
      <c r="J17" s="232">
        <f t="shared" si="14"/>
        <v>2.1184299324523304E-2</v>
      </c>
      <c r="K17" s="218">
        <f t="shared" si="1"/>
        <v>1059.7555352237614</v>
      </c>
      <c r="L17" s="222">
        <v>1</v>
      </c>
      <c r="M17" s="223">
        <v>0.19999999999999998</v>
      </c>
      <c r="N17" s="176">
        <f t="shared" si="2"/>
        <v>2.8</v>
      </c>
      <c r="O17" s="218">
        <f t="shared" si="3"/>
        <v>51.250906006515727</v>
      </c>
      <c r="P17" s="222"/>
      <c r="Q17" s="1351">
        <f t="shared" si="4"/>
        <v>0</v>
      </c>
      <c r="R17" s="218">
        <f t="shared" si="5"/>
        <v>0</v>
      </c>
      <c r="S17" s="222"/>
      <c r="T17" s="1351">
        <f>S17/$V$18</f>
        <v>0</v>
      </c>
      <c r="U17" s="1379">
        <f t="shared" si="16"/>
        <v>0</v>
      </c>
      <c r="V17" s="222"/>
      <c r="W17" s="1382">
        <f t="shared" si="17"/>
        <v>0</v>
      </c>
      <c r="X17" s="218">
        <f t="shared" si="6"/>
        <v>0</v>
      </c>
      <c r="Y17" s="222"/>
      <c r="Z17" s="219"/>
      <c r="AA17" s="218"/>
      <c r="AB17" s="222"/>
      <c r="AC17" s="219"/>
      <c r="AD17" s="218">
        <f t="shared" si="10"/>
        <v>0</v>
      </c>
      <c r="AE17" s="222"/>
      <c r="AF17" s="219"/>
      <c r="AG17" s="218">
        <f t="shared" si="12"/>
        <v>0</v>
      </c>
      <c r="AH17" s="1384">
        <f t="shared" si="18"/>
        <v>2232.5538398186482</v>
      </c>
    </row>
    <row r="18" spans="1:38" ht="13.5" thickBot="1" x14ac:dyDescent="0.25">
      <c r="A18" s="224" t="s">
        <v>226</v>
      </c>
      <c r="B18" s="225"/>
      <c r="C18" s="226">
        <f t="shared" ref="C18:K18" si="19">SUM(C6:C17)</f>
        <v>249612.20233959626</v>
      </c>
      <c r="D18" s="229">
        <f t="shared" si="19"/>
        <v>0.99999999999999989</v>
      </c>
      <c r="E18" s="227">
        <f t="shared" si="19"/>
        <v>151734.81777553839</v>
      </c>
      <c r="F18" s="226">
        <f t="shared" si="19"/>
        <v>7060</v>
      </c>
      <c r="G18" s="229">
        <f t="shared" si="19"/>
        <v>0.99999999999999989</v>
      </c>
      <c r="H18" s="227">
        <f t="shared" si="19"/>
        <v>3344.2862753852137</v>
      </c>
      <c r="I18" s="226">
        <f t="shared" si="19"/>
        <v>1079645.7857600001</v>
      </c>
      <c r="J18" s="229">
        <f t="shared" si="19"/>
        <v>0.99999999999999978</v>
      </c>
      <c r="K18" s="227">
        <f t="shared" si="19"/>
        <v>50025.517435781803</v>
      </c>
      <c r="L18" s="226">
        <f t="shared" ref="L18:AD18" si="20">SUM(L6:L17)</f>
        <v>211.83250000000001</v>
      </c>
      <c r="M18" s="229">
        <f>SUM(M6:M17)</f>
        <v>375.75999999999993</v>
      </c>
      <c r="N18" s="230">
        <f>SUM(N6:N17)</f>
        <v>1093.2212499999998</v>
      </c>
      <c r="O18" s="227">
        <f t="shared" si="20"/>
        <v>20010.206974312729</v>
      </c>
      <c r="P18" s="226">
        <f t="shared" si="20"/>
        <v>7622.3643843313339</v>
      </c>
      <c r="Q18" s="229">
        <f t="shared" si="20"/>
        <v>1.0000000000000002</v>
      </c>
      <c r="R18" s="227">
        <f t="shared" si="20"/>
        <v>25012.758717890905</v>
      </c>
      <c r="S18" s="226">
        <f t="shared" ref="S18:U18" si="21">SUM(S6:S17)</f>
        <v>1529</v>
      </c>
      <c r="T18" s="229">
        <f t="shared" si="21"/>
        <v>1</v>
      </c>
      <c r="U18" s="227">
        <f t="shared" si="21"/>
        <v>25012.758717890905</v>
      </c>
      <c r="V18" s="226">
        <f t="shared" si="20"/>
        <v>113.15300000000002</v>
      </c>
      <c r="W18" s="229">
        <f t="shared" si="20"/>
        <v>0.99999999999999978</v>
      </c>
      <c r="X18" s="227">
        <f t="shared" si="20"/>
        <v>50025.517435781803</v>
      </c>
      <c r="Y18" s="228">
        <f>SUM(Y6:Y17)</f>
        <v>522.26447219069235</v>
      </c>
      <c r="Z18" s="229">
        <f>SUM(Z6:Z17)</f>
        <v>1.0000000000000002</v>
      </c>
      <c r="AA18" s="227">
        <f>SUM(AA6:AA17)</f>
        <v>15007.655230734546</v>
      </c>
      <c r="AB18" s="228">
        <f t="shared" si="20"/>
        <v>497573.13173324079</v>
      </c>
      <c r="AC18" s="229">
        <f t="shared" si="20"/>
        <v>1</v>
      </c>
      <c r="AD18" s="227">
        <f t="shared" si="20"/>
        <v>135068.89707661091</v>
      </c>
      <c r="AE18" s="228">
        <f>SUM(AE6:AE17)</f>
        <v>16357.088231639564</v>
      </c>
      <c r="AF18" s="229">
        <f>SUM(AF6:AF17)</f>
        <v>1</v>
      </c>
      <c r="AG18" s="227">
        <f>SUM(AG6:AG17)</f>
        <v>25012.758717890909</v>
      </c>
      <c r="AH18" s="1362">
        <f>SUM(AH6:AH17)</f>
        <v>500255.17435781809</v>
      </c>
    </row>
    <row r="19" spans="1:38" x14ac:dyDescent="0.2">
      <c r="A19" s="174"/>
      <c r="B19" s="231" t="s">
        <v>79</v>
      </c>
      <c r="C19" s="232">
        <v>208.64889717463757</v>
      </c>
      <c r="D19" s="45"/>
      <c r="P19" s="45"/>
      <c r="S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L19" s="107"/>
    </row>
    <row r="20" spans="1:38" x14ac:dyDescent="0.2">
      <c r="A20" s="174"/>
      <c r="B20" s="231" t="s">
        <v>129</v>
      </c>
      <c r="C20" s="232">
        <v>6.6784110003999997</v>
      </c>
      <c r="D20" s="45"/>
      <c r="P20" s="45"/>
      <c r="S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L20" s="107"/>
    </row>
    <row r="21" spans="1:38" x14ac:dyDescent="0.2">
      <c r="A21" s="174"/>
      <c r="B21" s="231" t="s">
        <v>24</v>
      </c>
      <c r="C21" s="232">
        <v>322.29885059493972</v>
      </c>
      <c r="D21" s="45"/>
      <c r="P21" s="45"/>
      <c r="S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L21" s="107"/>
    </row>
    <row r="22" spans="1:38" x14ac:dyDescent="0.2">
      <c r="A22" s="233" t="s">
        <v>71</v>
      </c>
      <c r="B22" s="234"/>
      <c r="C22" s="235">
        <f>C18+SUM(C19:C21)</f>
        <v>250149.82849836623</v>
      </c>
      <c r="D22" s="45"/>
      <c r="P22" s="45"/>
      <c r="S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L22" s="107"/>
    </row>
    <row r="23" spans="1:38" x14ac:dyDescent="0.2">
      <c r="A23" s="45"/>
      <c r="B23" s="45"/>
      <c r="C23" s="45"/>
      <c r="D23" s="45"/>
      <c r="M23" s="45"/>
      <c r="P23" s="45"/>
      <c r="S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L23" s="107"/>
    </row>
    <row r="24" spans="1:38" ht="13.5" hidden="1" customHeight="1" thickBo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8" ht="12.75" hidden="1" customHeight="1" x14ac:dyDescent="0.2">
      <c r="A25" s="1516"/>
      <c r="B25" s="1517"/>
      <c r="C25" s="236" t="s">
        <v>192</v>
      </c>
      <c r="D25" s="236" t="s">
        <v>192</v>
      </c>
      <c r="E25" s="237" t="s">
        <v>194</v>
      </c>
      <c r="F25" s="237"/>
      <c r="G25" s="237"/>
      <c r="H25" s="237"/>
      <c r="I25" s="237"/>
      <c r="J25" s="237"/>
      <c r="K25" s="237"/>
      <c r="L25" s="236" t="s">
        <v>203</v>
      </c>
      <c r="M25" s="236"/>
      <c r="N25" s="237"/>
      <c r="O25" s="236"/>
      <c r="P25" s="236"/>
      <c r="Q25" s="237"/>
      <c r="R25" s="236"/>
      <c r="S25" s="236"/>
      <c r="T25" s="237"/>
      <c r="U25" s="45"/>
      <c r="V25" s="45"/>
      <c r="W25" s="45"/>
      <c r="X25" s="45"/>
      <c r="Y25" s="45"/>
      <c r="Z25" s="45"/>
      <c r="AA25" s="45"/>
      <c r="AB25" s="45"/>
      <c r="AC25" s="236"/>
      <c r="AD25" s="45"/>
      <c r="AE25" s="45"/>
      <c r="AF25" s="45"/>
      <c r="AG25" s="45"/>
      <c r="AH25" s="45"/>
      <c r="AI25" s="45"/>
      <c r="AJ25" s="45"/>
    </row>
    <row r="26" spans="1:38" ht="13.5" hidden="1" customHeight="1" thickBot="1" x14ac:dyDescent="0.25">
      <c r="A26" s="1518"/>
      <c r="B26" s="1519"/>
      <c r="C26" s="172" t="s">
        <v>251</v>
      </c>
      <c r="D26" s="172" t="s">
        <v>239</v>
      </c>
      <c r="E26" s="238" t="s">
        <v>195</v>
      </c>
      <c r="F26" s="238"/>
      <c r="G26" s="238"/>
      <c r="H26" s="238"/>
      <c r="I26" s="238"/>
      <c r="J26" s="238"/>
      <c r="K26" s="238"/>
      <c r="L26" s="172" t="s">
        <v>227</v>
      </c>
      <c r="M26" s="172"/>
      <c r="N26" s="238"/>
      <c r="O26" s="172"/>
      <c r="P26" s="172"/>
      <c r="Q26" s="238"/>
      <c r="R26" s="172"/>
      <c r="S26" s="172"/>
      <c r="T26" s="238"/>
      <c r="U26" s="45"/>
      <c r="V26" s="45"/>
      <c r="W26" s="45"/>
      <c r="X26" s="45"/>
      <c r="Y26" s="45"/>
      <c r="Z26" s="45"/>
      <c r="AA26" s="45"/>
      <c r="AB26" s="45"/>
      <c r="AC26" s="172"/>
      <c r="AD26" s="45"/>
      <c r="AE26" s="45"/>
      <c r="AF26" s="45"/>
      <c r="AG26" s="45"/>
      <c r="AH26" s="45"/>
      <c r="AI26" s="45"/>
      <c r="AJ26" s="45"/>
    </row>
    <row r="27" spans="1:38" ht="12.75" hidden="1" customHeight="1" x14ac:dyDescent="0.2">
      <c r="A27" s="239">
        <v>11</v>
      </c>
      <c r="B27" s="240" t="s">
        <v>7</v>
      </c>
      <c r="C27" s="173" t="e">
        <f>'str1'!#REF!</f>
        <v>#REF!</v>
      </c>
      <c r="D27" s="173">
        <f t="shared" ref="D27:D38" si="22">AH6</f>
        <v>65758.364237872724</v>
      </c>
      <c r="E27" s="241" t="e">
        <f>SUM(C27:D27)</f>
        <v>#REF!</v>
      </c>
      <c r="F27" s="241"/>
      <c r="G27" s="241"/>
      <c r="H27" s="241"/>
      <c r="I27" s="241"/>
      <c r="J27" s="241"/>
      <c r="K27" s="241"/>
      <c r="L27" s="173">
        <v>328299</v>
      </c>
      <c r="M27" s="173"/>
      <c r="N27" s="241"/>
      <c r="O27" s="173"/>
      <c r="P27" s="173"/>
      <c r="Q27" s="241"/>
      <c r="R27" s="173"/>
      <c r="S27" s="173"/>
      <c r="T27" s="241"/>
      <c r="U27" s="45"/>
      <c r="V27" s="45"/>
      <c r="W27" s="45"/>
      <c r="X27" s="45"/>
      <c r="Y27" s="45"/>
      <c r="Z27" s="45"/>
      <c r="AA27" s="45"/>
      <c r="AB27" s="45"/>
      <c r="AC27" s="173"/>
      <c r="AD27" s="45"/>
      <c r="AE27" s="45"/>
      <c r="AF27" s="45"/>
      <c r="AG27" s="45"/>
      <c r="AH27" s="45"/>
      <c r="AI27" s="45"/>
      <c r="AJ27" s="45"/>
    </row>
    <row r="28" spans="1:38" ht="12.75" hidden="1" customHeight="1" x14ac:dyDescent="0.2">
      <c r="A28" s="242">
        <v>21</v>
      </c>
      <c r="B28" s="243" t="s">
        <v>8</v>
      </c>
      <c r="C28" s="178" t="e">
        <f>'str1'!#REF!</f>
        <v>#REF!</v>
      </c>
      <c r="D28" s="178">
        <f t="shared" si="22"/>
        <v>88994.217652934429</v>
      </c>
      <c r="E28" s="244" t="e">
        <f t="shared" ref="E28:E38" si="23">SUM(C28:D28)</f>
        <v>#REF!</v>
      </c>
      <c r="F28" s="244"/>
      <c r="G28" s="244"/>
      <c r="H28" s="244"/>
      <c r="I28" s="244"/>
      <c r="J28" s="244"/>
      <c r="K28" s="244"/>
      <c r="L28" s="178">
        <v>333427</v>
      </c>
      <c r="M28" s="178"/>
      <c r="N28" s="244"/>
      <c r="O28" s="178"/>
      <c r="P28" s="178"/>
      <c r="Q28" s="244"/>
      <c r="R28" s="178"/>
      <c r="S28" s="178"/>
      <c r="T28" s="244"/>
      <c r="U28" s="45"/>
      <c r="V28" s="45"/>
      <c r="W28" s="45"/>
      <c r="X28" s="45"/>
      <c r="Y28" s="45"/>
      <c r="Z28" s="45"/>
      <c r="AA28" s="45"/>
      <c r="AB28" s="45"/>
      <c r="AC28" s="178"/>
      <c r="AD28" s="45"/>
      <c r="AE28" s="45"/>
      <c r="AF28" s="45"/>
      <c r="AG28" s="45"/>
      <c r="AH28" s="45"/>
      <c r="AI28" s="45"/>
      <c r="AJ28" s="45"/>
    </row>
    <row r="29" spans="1:38" ht="12.75" hidden="1" customHeight="1" x14ac:dyDescent="0.2">
      <c r="A29" s="242">
        <v>22</v>
      </c>
      <c r="B29" s="243" t="s">
        <v>9</v>
      </c>
      <c r="C29" s="178" t="e">
        <f>'str1'!#REF!</f>
        <v>#REF!</v>
      </c>
      <c r="D29" s="178">
        <f t="shared" si="22"/>
        <v>28292.979675954393</v>
      </c>
      <c r="E29" s="244" t="e">
        <f t="shared" si="23"/>
        <v>#REF!</v>
      </c>
      <c r="F29" s="244"/>
      <c r="G29" s="244"/>
      <c r="H29" s="244"/>
      <c r="I29" s="244"/>
      <c r="J29" s="244"/>
      <c r="K29" s="244"/>
      <c r="L29" s="178">
        <v>126011</v>
      </c>
      <c r="M29" s="178"/>
      <c r="N29" s="244"/>
      <c r="O29" s="178"/>
      <c r="P29" s="178"/>
      <c r="Q29" s="244"/>
      <c r="R29" s="178"/>
      <c r="S29" s="178"/>
      <c r="T29" s="244"/>
      <c r="U29" s="45"/>
      <c r="V29" s="45"/>
      <c r="W29" s="45"/>
      <c r="X29" s="45"/>
      <c r="Y29" s="45"/>
      <c r="Z29" s="45"/>
      <c r="AA29" s="45"/>
      <c r="AB29" s="45"/>
      <c r="AC29" s="178"/>
      <c r="AD29" s="45"/>
      <c r="AE29" s="45"/>
      <c r="AF29" s="45"/>
      <c r="AG29" s="45"/>
      <c r="AH29" s="45"/>
      <c r="AI29" s="45"/>
      <c r="AJ29" s="45"/>
    </row>
    <row r="30" spans="1:38" ht="12.75" hidden="1" customHeight="1" x14ac:dyDescent="0.2">
      <c r="A30" s="242">
        <v>23</v>
      </c>
      <c r="B30" s="243" t="s">
        <v>10</v>
      </c>
      <c r="C30" s="178" t="e">
        <f>'str1'!#REF!</f>
        <v>#REF!</v>
      </c>
      <c r="D30" s="178">
        <f t="shared" si="22"/>
        <v>50498.202001167221</v>
      </c>
      <c r="E30" s="244" t="e">
        <f t="shared" si="23"/>
        <v>#REF!</v>
      </c>
      <c r="F30" s="244"/>
      <c r="G30" s="244"/>
      <c r="H30" s="244"/>
      <c r="I30" s="244"/>
      <c r="J30" s="244"/>
      <c r="K30" s="244"/>
      <c r="L30" s="178">
        <v>139398</v>
      </c>
      <c r="M30" s="178"/>
      <c r="N30" s="244"/>
      <c r="O30" s="178"/>
      <c r="P30" s="178"/>
      <c r="Q30" s="244"/>
      <c r="R30" s="178"/>
      <c r="S30" s="178"/>
      <c r="T30" s="244"/>
      <c r="U30" s="45"/>
      <c r="V30" s="45"/>
      <c r="W30" s="45"/>
      <c r="X30" s="45"/>
      <c r="Y30" s="45"/>
      <c r="Z30" s="45"/>
      <c r="AA30" s="45"/>
      <c r="AB30" s="45"/>
      <c r="AC30" s="178"/>
      <c r="AD30" s="45"/>
      <c r="AE30" s="45"/>
      <c r="AF30" s="45"/>
      <c r="AG30" s="45"/>
      <c r="AH30" s="45"/>
      <c r="AI30" s="45"/>
      <c r="AJ30" s="45"/>
    </row>
    <row r="31" spans="1:38" ht="12.75" hidden="1" customHeight="1" x14ac:dyDescent="0.2">
      <c r="A31" s="242">
        <v>31</v>
      </c>
      <c r="B31" s="243" t="s">
        <v>11</v>
      </c>
      <c r="C31" s="178" t="e">
        <f>'str1'!#REF!</f>
        <v>#REF!</v>
      </c>
      <c r="D31" s="178">
        <f t="shared" si="22"/>
        <v>123822.82823349573</v>
      </c>
      <c r="E31" s="244" t="e">
        <f t="shared" si="23"/>
        <v>#REF!</v>
      </c>
      <c r="F31" s="244"/>
      <c r="G31" s="244"/>
      <c r="H31" s="244"/>
      <c r="I31" s="244"/>
      <c r="J31" s="244"/>
      <c r="K31" s="244"/>
      <c r="L31" s="178">
        <v>345106</v>
      </c>
      <c r="M31" s="178"/>
      <c r="N31" s="244"/>
      <c r="O31" s="178"/>
      <c r="P31" s="178"/>
      <c r="Q31" s="244"/>
      <c r="R31" s="178"/>
      <c r="S31" s="178"/>
      <c r="T31" s="244"/>
      <c r="U31" s="45"/>
      <c r="V31" s="45"/>
      <c r="W31" s="45"/>
      <c r="X31" s="45"/>
      <c r="Y31" s="45"/>
      <c r="Z31" s="45"/>
      <c r="AA31" s="45"/>
      <c r="AB31" s="45"/>
      <c r="AC31" s="178"/>
      <c r="AD31" s="45"/>
      <c r="AE31" s="45"/>
      <c r="AF31" s="45"/>
      <c r="AG31" s="45"/>
      <c r="AH31" s="45"/>
      <c r="AI31" s="45"/>
      <c r="AJ31" s="45"/>
    </row>
    <row r="32" spans="1:38" ht="12.75" hidden="1" customHeight="1" x14ac:dyDescent="0.2">
      <c r="A32" s="242">
        <v>33</v>
      </c>
      <c r="B32" s="243" t="s">
        <v>12</v>
      </c>
      <c r="C32" s="178" t="e">
        <f>'str1'!#REF!</f>
        <v>#REF!</v>
      </c>
      <c r="D32" s="178">
        <f t="shared" si="22"/>
        <v>30895.40948919443</v>
      </c>
      <c r="E32" s="244" t="e">
        <f t="shared" si="23"/>
        <v>#REF!</v>
      </c>
      <c r="F32" s="244"/>
      <c r="G32" s="244"/>
      <c r="H32" s="244"/>
      <c r="I32" s="244"/>
      <c r="J32" s="244"/>
      <c r="K32" s="244"/>
      <c r="L32" s="178">
        <v>126549</v>
      </c>
      <c r="M32" s="178"/>
      <c r="N32" s="244"/>
      <c r="O32" s="178"/>
      <c r="P32" s="178"/>
      <c r="Q32" s="244"/>
      <c r="R32" s="178"/>
      <c r="S32" s="178"/>
      <c r="T32" s="244"/>
      <c r="AC32" s="178"/>
    </row>
    <row r="33" spans="1:31" ht="12.75" hidden="1" customHeight="1" x14ac:dyDescent="0.2">
      <c r="A33" s="242">
        <v>41</v>
      </c>
      <c r="B33" s="243" t="s">
        <v>13</v>
      </c>
      <c r="C33" s="178" t="e">
        <f>'str1'!#REF!</f>
        <v>#REF!</v>
      </c>
      <c r="D33" s="178">
        <f t="shared" si="22"/>
        <v>35139.189362368634</v>
      </c>
      <c r="E33" s="244" t="e">
        <f t="shared" si="23"/>
        <v>#REF!</v>
      </c>
      <c r="F33" s="244"/>
      <c r="G33" s="244"/>
      <c r="H33" s="244"/>
      <c r="I33" s="244"/>
      <c r="J33" s="244"/>
      <c r="K33" s="244"/>
      <c r="L33" s="178">
        <v>202164</v>
      </c>
      <c r="M33" s="178"/>
      <c r="N33" s="244"/>
      <c r="O33" s="178"/>
      <c r="P33" s="178"/>
      <c r="Q33" s="244"/>
      <c r="R33" s="178"/>
      <c r="S33" s="178"/>
      <c r="T33" s="244"/>
      <c r="AC33" s="178"/>
    </row>
    <row r="34" spans="1:31" ht="12.75" hidden="1" customHeight="1" x14ac:dyDescent="0.2">
      <c r="A34" s="242">
        <v>51</v>
      </c>
      <c r="B34" s="243" t="s">
        <v>14</v>
      </c>
      <c r="C34" s="178" t="e">
        <f>'str1'!#REF!</f>
        <v>#REF!</v>
      </c>
      <c r="D34" s="178">
        <f t="shared" si="22"/>
        <v>10040.734625654368</v>
      </c>
      <c r="E34" s="244" t="e">
        <f t="shared" si="23"/>
        <v>#REF!</v>
      </c>
      <c r="F34" s="244"/>
      <c r="G34" s="244"/>
      <c r="H34" s="244"/>
      <c r="I34" s="244"/>
      <c r="J34" s="244"/>
      <c r="K34" s="244"/>
      <c r="L34" s="178">
        <v>71266</v>
      </c>
      <c r="M34" s="178"/>
      <c r="N34" s="244"/>
      <c r="O34" s="178"/>
      <c r="P34" s="178"/>
      <c r="Q34" s="244"/>
      <c r="R34" s="178"/>
      <c r="S34" s="178"/>
      <c r="T34" s="244"/>
      <c r="AC34" s="178"/>
    </row>
    <row r="35" spans="1:31" ht="12.75" hidden="1" customHeight="1" x14ac:dyDescent="0.2">
      <c r="A35" s="242">
        <v>56</v>
      </c>
      <c r="B35" s="243" t="s">
        <v>15</v>
      </c>
      <c r="C35" s="178" t="e">
        <f>'str1'!#REF!</f>
        <v>#REF!</v>
      </c>
      <c r="D35" s="178">
        <f t="shared" si="22"/>
        <v>31420.468758303403</v>
      </c>
      <c r="E35" s="244" t="e">
        <f t="shared" si="23"/>
        <v>#REF!</v>
      </c>
      <c r="F35" s="244"/>
      <c r="G35" s="244"/>
      <c r="H35" s="244"/>
      <c r="I35" s="244"/>
      <c r="J35" s="244"/>
      <c r="K35" s="244"/>
      <c r="L35" s="178">
        <v>122590</v>
      </c>
      <c r="M35" s="178"/>
      <c r="N35" s="244"/>
      <c r="O35" s="178"/>
      <c r="P35" s="178"/>
      <c r="Q35" s="244"/>
      <c r="R35" s="178"/>
      <c r="S35" s="178"/>
      <c r="T35" s="244"/>
      <c r="AC35" s="178"/>
    </row>
    <row r="36" spans="1:31" ht="12.75" hidden="1" customHeight="1" x14ac:dyDescent="0.2">
      <c r="A36" s="242">
        <v>71</v>
      </c>
      <c r="B36" s="243" t="s">
        <v>196</v>
      </c>
      <c r="C36" s="178" t="e">
        <f>'str1'!#REF!</f>
        <v>#REF!</v>
      </c>
      <c r="D36" s="178">
        <f t="shared" si="22"/>
        <v>31812.472475929488</v>
      </c>
      <c r="E36" s="244" t="e">
        <f t="shared" si="23"/>
        <v>#REF!</v>
      </c>
      <c r="F36" s="244"/>
      <c r="G36" s="244"/>
      <c r="H36" s="244"/>
      <c r="I36" s="244"/>
      <c r="J36" s="244"/>
      <c r="K36" s="244"/>
      <c r="L36" s="178">
        <v>21395</v>
      </c>
      <c r="M36" s="178"/>
      <c r="N36" s="244"/>
      <c r="O36" s="178"/>
      <c r="P36" s="178"/>
      <c r="Q36" s="244"/>
      <c r="R36" s="178"/>
      <c r="S36" s="178"/>
      <c r="T36" s="244"/>
      <c r="AC36" s="178"/>
    </row>
    <row r="37" spans="1:31" ht="12.75" hidden="1" customHeight="1" x14ac:dyDescent="0.2">
      <c r="A37" s="242">
        <v>85</v>
      </c>
      <c r="B37" s="243" t="s">
        <v>100</v>
      </c>
      <c r="C37" s="178" t="e">
        <f>'str1'!#REF!</f>
        <v>#REF!</v>
      </c>
      <c r="D37" s="178">
        <f t="shared" si="22"/>
        <v>1347.7540051246629</v>
      </c>
      <c r="E37" s="245" t="e">
        <f t="shared" si="23"/>
        <v>#REF!</v>
      </c>
      <c r="F37" s="245"/>
      <c r="G37" s="245"/>
      <c r="H37" s="245"/>
      <c r="I37" s="245"/>
      <c r="J37" s="245"/>
      <c r="K37" s="245"/>
      <c r="L37" s="178">
        <v>1648</v>
      </c>
      <c r="M37" s="178"/>
      <c r="N37" s="245"/>
      <c r="O37" s="178"/>
      <c r="P37" s="178"/>
      <c r="Q37" s="245"/>
      <c r="R37" s="178"/>
      <c r="S37" s="178"/>
      <c r="T37" s="245"/>
      <c r="AC37" s="178"/>
    </row>
    <row r="38" spans="1:31" ht="13.5" hidden="1" customHeight="1" thickBot="1" x14ac:dyDescent="0.25">
      <c r="A38" s="246">
        <v>92</v>
      </c>
      <c r="B38" s="247" t="s">
        <v>17</v>
      </c>
      <c r="C38" s="248" t="e">
        <f>'str1'!#REF!</f>
        <v>#REF!</v>
      </c>
      <c r="D38" s="248">
        <f t="shared" si="22"/>
        <v>2232.5538398186482</v>
      </c>
      <c r="E38" s="249" t="e">
        <f t="shared" si="23"/>
        <v>#REF!</v>
      </c>
      <c r="F38" s="249"/>
      <c r="G38" s="249"/>
      <c r="H38" s="249"/>
      <c r="I38" s="249"/>
      <c r="J38" s="249"/>
      <c r="K38" s="249"/>
      <c r="L38" s="248">
        <v>2251</v>
      </c>
      <c r="M38" s="248"/>
      <c r="N38" s="249"/>
      <c r="O38" s="248"/>
      <c r="P38" s="248"/>
      <c r="Q38" s="249"/>
      <c r="R38" s="248"/>
      <c r="S38" s="248"/>
      <c r="T38" s="249"/>
      <c r="AC38" s="248"/>
    </row>
    <row r="39" spans="1:31" ht="13.5" hidden="1" customHeight="1" thickBot="1" x14ac:dyDescent="0.25">
      <c r="A39" s="250" t="s">
        <v>68</v>
      </c>
      <c r="B39" s="186"/>
      <c r="C39" s="180" t="e">
        <f>SUM(C27:C37)</f>
        <v>#REF!</v>
      </c>
      <c r="D39" s="180">
        <f>SUM(D27:D38)</f>
        <v>500255.17435781809</v>
      </c>
      <c r="E39" s="251" t="e">
        <f>SUM(E27:E38)</f>
        <v>#REF!</v>
      </c>
      <c r="F39" s="251"/>
      <c r="G39" s="251"/>
      <c r="H39" s="251"/>
      <c r="I39" s="251"/>
      <c r="J39" s="251"/>
      <c r="K39" s="251"/>
      <c r="L39" s="180">
        <f>SUM(L27:L38)</f>
        <v>1820104</v>
      </c>
      <c r="M39" s="180"/>
      <c r="N39" s="251"/>
      <c r="O39" s="180"/>
      <c r="P39" s="180"/>
      <c r="Q39" s="251"/>
      <c r="R39" s="180"/>
      <c r="S39" s="180"/>
      <c r="T39" s="251"/>
      <c r="AC39" s="180"/>
    </row>
    <row r="40" spans="1:31" hidden="1" x14ac:dyDescent="0.2">
      <c r="A40" s="252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AC40" s="253"/>
    </row>
    <row r="42" spans="1:31" x14ac:dyDescent="0.2">
      <c r="AD42" s="1349"/>
      <c r="AE42" s="1348"/>
    </row>
    <row r="43" spans="1:31" x14ac:dyDescent="0.2">
      <c r="AD43" s="1349"/>
      <c r="AE43" s="1348"/>
    </row>
    <row r="44" spans="1:31" x14ac:dyDescent="0.2">
      <c r="AD44" s="1349"/>
      <c r="AE44" s="1348"/>
    </row>
    <row r="45" spans="1:31" x14ac:dyDescent="0.2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AD45" s="1349"/>
      <c r="AE45" s="1348"/>
    </row>
    <row r="46" spans="1:31" x14ac:dyDescent="0.2">
      <c r="AD46" s="1349"/>
      <c r="AE46" s="1348"/>
    </row>
    <row r="47" spans="1:31" x14ac:dyDescent="0.2">
      <c r="AD47" s="1349"/>
      <c r="AE47" s="1348"/>
    </row>
    <row r="48" spans="1:31" x14ac:dyDescent="0.2">
      <c r="AD48" s="1349"/>
      <c r="AE48" s="1348"/>
    </row>
    <row r="49" spans="30:31" x14ac:dyDescent="0.2">
      <c r="AD49" s="1349"/>
      <c r="AE49" s="1348"/>
    </row>
    <row r="50" spans="30:31" x14ac:dyDescent="0.2">
      <c r="AD50" s="1349"/>
      <c r="AE50" s="1348"/>
    </row>
  </sheetData>
  <mergeCells count="4">
    <mergeCell ref="A3:B3"/>
    <mergeCell ref="A25:B26"/>
    <mergeCell ref="A4:B4"/>
    <mergeCell ref="AH3:AH4"/>
  </mergeCells>
  <phoneticPr fontId="3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T63"/>
  <sheetViews>
    <sheetView showGridLines="0" workbookViewId="0"/>
  </sheetViews>
  <sheetFormatPr defaultColWidth="11.42578125" defaultRowHeight="12.75" x14ac:dyDescent="0.2"/>
  <cols>
    <col min="1" max="1" width="11.42578125" style="33" customWidth="1"/>
    <col min="2" max="2" width="11.140625" style="33" customWidth="1"/>
    <col min="3" max="3" width="10.42578125" style="33" customWidth="1"/>
    <col min="4" max="5" width="10.28515625" style="33" customWidth="1"/>
    <col min="6" max="6" width="11.28515625" style="33" customWidth="1"/>
    <col min="7" max="7" width="11.140625" style="33" customWidth="1"/>
    <col min="8" max="8" width="10.42578125" style="33" customWidth="1"/>
    <col min="9" max="9" width="10.28515625" style="33" customWidth="1"/>
    <col min="10" max="10" width="11" style="33" bestFit="1" customWidth="1"/>
    <col min="11" max="11" width="9.85546875" style="33" customWidth="1"/>
    <col min="12" max="12" width="9.140625" style="33" customWidth="1"/>
    <col min="13" max="13" width="9.5703125" style="33" customWidth="1"/>
    <col min="14" max="14" width="4" style="33" customWidth="1"/>
    <col min="15" max="15" width="10.28515625" style="33" customWidth="1"/>
    <col min="16" max="16" width="2.7109375" style="33" customWidth="1"/>
    <col min="17" max="17" width="8.7109375" style="33" customWidth="1"/>
    <col min="18" max="18" width="11.42578125" style="33" customWidth="1"/>
    <col min="19" max="19" width="10.7109375" style="33" customWidth="1"/>
    <col min="20" max="16384" width="11.42578125" style="33"/>
  </cols>
  <sheetData>
    <row r="1" spans="1:11" ht="15.75" x14ac:dyDescent="0.25">
      <c r="A1" s="108" t="s">
        <v>673</v>
      </c>
    </row>
    <row r="2" spans="1:11" x14ac:dyDescent="0.2">
      <c r="A2" s="258" t="s">
        <v>605</v>
      </c>
    </row>
    <row r="3" spans="1:11" ht="13.5" thickBot="1" x14ac:dyDescent="0.25">
      <c r="A3" s="254"/>
    </row>
    <row r="4" spans="1:11" ht="15.75" customHeight="1" x14ac:dyDescent="0.3">
      <c r="A4" s="11" t="s">
        <v>262</v>
      </c>
      <c r="C4" s="255">
        <f>'str1'!F8</f>
        <v>728233.41200000001</v>
      </c>
    </row>
    <row r="5" spans="1:11" ht="15.75" customHeight="1" x14ac:dyDescent="0.2">
      <c r="A5" s="12" t="s">
        <v>606</v>
      </c>
      <c r="B5" s="12"/>
      <c r="C5" s="924">
        <v>52300</v>
      </c>
    </row>
    <row r="6" spans="1:11" ht="19.5" thickBot="1" x14ac:dyDescent="0.35">
      <c r="A6" s="13" t="s">
        <v>263</v>
      </c>
      <c r="B6" s="12"/>
      <c r="C6" s="25">
        <f>C4-C5</f>
        <v>675933.41200000001</v>
      </c>
    </row>
    <row r="7" spans="1:11" ht="13.5" thickBot="1" x14ac:dyDescent="0.25"/>
    <row r="8" spans="1:11" ht="44.25" customHeight="1" x14ac:dyDescent="0.2">
      <c r="A8" s="21"/>
      <c r="B8" s="22" t="s">
        <v>317</v>
      </c>
      <c r="C8" s="22" t="s">
        <v>318</v>
      </c>
      <c r="D8" s="632" t="s">
        <v>264</v>
      </c>
      <c r="E8" s="22" t="s">
        <v>21</v>
      </c>
      <c r="F8" s="22" t="s">
        <v>609</v>
      </c>
      <c r="G8" s="23" t="s">
        <v>265</v>
      </c>
      <c r="H8" s="631" t="s">
        <v>610</v>
      </c>
      <c r="I8" s="30" t="s">
        <v>331</v>
      </c>
    </row>
    <row r="9" spans="1:11" s="12" customFormat="1" ht="12.75" customHeight="1" thickBot="1" x14ac:dyDescent="0.25">
      <c r="A9" s="1371"/>
      <c r="B9" s="1372">
        <v>1</v>
      </c>
      <c r="C9" s="1372">
        <v>2</v>
      </c>
      <c r="D9" s="1373" t="s">
        <v>291</v>
      </c>
      <c r="E9" s="1372">
        <v>4</v>
      </c>
      <c r="F9" s="1372">
        <v>5</v>
      </c>
      <c r="G9" s="1374">
        <v>6</v>
      </c>
      <c r="H9" s="1375">
        <v>7</v>
      </c>
      <c r="I9" s="1376">
        <v>8</v>
      </c>
    </row>
    <row r="10" spans="1:11" x14ac:dyDescent="0.2">
      <c r="A10" s="1363" t="s">
        <v>7</v>
      </c>
      <c r="B10" s="1364">
        <v>27211.103702559401</v>
      </c>
      <c r="C10" s="1364"/>
      <c r="D10" s="1365">
        <f>SUM(B10:C10)</f>
        <v>27211.103702559401</v>
      </c>
      <c r="E10" s="1366">
        <f t="shared" ref="E10:E24" si="0">D10/$D$28</f>
        <v>0.10877922190035452</v>
      </c>
      <c r="F10" s="1367">
        <f>E10*$C$6</f>
        <v>73527.510613811755</v>
      </c>
      <c r="G10" s="1368"/>
      <c r="H10" s="1369">
        <f t="shared" ref="H10:H27" si="1">F10+G10</f>
        <v>73527.510613811755</v>
      </c>
      <c r="I10" s="1370">
        <f>ROUND(H10,1)</f>
        <v>73527.5</v>
      </c>
    </row>
    <row r="11" spans="1:11" x14ac:dyDescent="0.2">
      <c r="A11" s="24" t="s">
        <v>8</v>
      </c>
      <c r="B11" s="923">
        <v>26853.686415315708</v>
      </c>
      <c r="C11" s="923">
        <v>-44.319000244141002</v>
      </c>
      <c r="D11" s="633">
        <f t="shared" ref="D11:D27" si="2">SUM(B11:C11)</f>
        <v>26809.367415071567</v>
      </c>
      <c r="E11" s="1257">
        <f t="shared" si="0"/>
        <v>0.10717323923828583</v>
      </c>
      <c r="F11" s="14">
        <f>E11*$C$6</f>
        <v>72441.973273426818</v>
      </c>
      <c r="G11" s="15"/>
      <c r="H11" s="635">
        <f t="shared" si="1"/>
        <v>72441.973273426818</v>
      </c>
      <c r="I11" s="31">
        <f t="shared" ref="I11:I27" si="3">ROUND(H11,1)</f>
        <v>72442</v>
      </c>
    </row>
    <row r="12" spans="1:11" x14ac:dyDescent="0.2">
      <c r="A12" s="24" t="s">
        <v>9</v>
      </c>
      <c r="B12" s="923">
        <v>9391.3299965979968</v>
      </c>
      <c r="C12" s="923"/>
      <c r="D12" s="633">
        <f t="shared" si="2"/>
        <v>9391.3299965979968</v>
      </c>
      <c r="E12" s="1257">
        <f t="shared" si="0"/>
        <v>3.7542820048982503E-2</v>
      </c>
      <c r="F12" s="14">
        <f t="shared" ref="F12:F24" si="4">E12*$C$6</f>
        <v>25376.446451810752</v>
      </c>
      <c r="G12" s="15"/>
      <c r="H12" s="635">
        <f t="shared" si="1"/>
        <v>25376.446451810752</v>
      </c>
      <c r="I12" s="31">
        <f t="shared" si="3"/>
        <v>25376.400000000001</v>
      </c>
    </row>
    <row r="13" spans="1:11" x14ac:dyDescent="0.2">
      <c r="A13" s="24" t="s">
        <v>266</v>
      </c>
      <c r="B13" s="935">
        <v>14176.122641053822</v>
      </c>
      <c r="C13" s="935">
        <v>205.04260711164</v>
      </c>
      <c r="D13" s="633">
        <f t="shared" si="2"/>
        <v>14381.165248165462</v>
      </c>
      <c r="E13" s="1257">
        <f t="shared" si="0"/>
        <v>5.7490206307534569E-2</v>
      </c>
      <c r="F13" s="14">
        <f t="shared" si="4"/>
        <v>38859.551306035763</v>
      </c>
      <c r="G13" s="15"/>
      <c r="H13" s="635">
        <f t="shared" si="1"/>
        <v>38859.551306035763</v>
      </c>
      <c r="I13" s="31">
        <f t="shared" si="3"/>
        <v>38859.599999999999</v>
      </c>
      <c r="K13" s="256"/>
    </row>
    <row r="14" spans="1:11" x14ac:dyDescent="0.2">
      <c r="A14" s="24" t="s">
        <v>11</v>
      </c>
      <c r="B14" s="923">
        <v>98455.009761194015</v>
      </c>
      <c r="C14" s="923">
        <v>5.4910001754759996</v>
      </c>
      <c r="D14" s="633">
        <f t="shared" si="2"/>
        <v>98460.500761369491</v>
      </c>
      <c r="E14" s="1257">
        <f t="shared" si="0"/>
        <v>0.39360610939620361</v>
      </c>
      <c r="F14" s="14">
        <f t="shared" si="4"/>
        <v>266051.52050822118</v>
      </c>
      <c r="G14" s="15"/>
      <c r="H14" s="635">
        <f t="shared" si="1"/>
        <v>266051.52050822118</v>
      </c>
      <c r="I14" s="31">
        <f t="shared" si="3"/>
        <v>266051.5</v>
      </c>
    </row>
    <row r="15" spans="1:11" x14ac:dyDescent="0.2">
      <c r="A15" s="24" t="s">
        <v>12</v>
      </c>
      <c r="B15" s="923">
        <v>16641.178517261473</v>
      </c>
      <c r="C15" s="923"/>
      <c r="D15" s="633">
        <f t="shared" si="2"/>
        <v>16641.178517261473</v>
      </c>
      <c r="E15" s="1257">
        <f t="shared" si="0"/>
        <v>6.6524844798644997E-2</v>
      </c>
      <c r="F15" s="14">
        <f t="shared" si="4"/>
        <v>44966.365327518564</v>
      </c>
      <c r="G15" s="15"/>
      <c r="H15" s="635">
        <f t="shared" si="1"/>
        <v>44966.365327518564</v>
      </c>
      <c r="I15" s="31">
        <f t="shared" si="3"/>
        <v>44966.400000000001</v>
      </c>
    </row>
    <row r="16" spans="1:11" x14ac:dyDescent="0.2">
      <c r="A16" s="24" t="s">
        <v>13</v>
      </c>
      <c r="B16" s="923">
        <v>10630.155847210241</v>
      </c>
      <c r="C16" s="923"/>
      <c r="D16" s="633">
        <f t="shared" si="2"/>
        <v>10630.155847210241</v>
      </c>
      <c r="E16" s="1257">
        <f t="shared" si="0"/>
        <v>4.24951554475268E-2</v>
      </c>
      <c r="F16" s="14">
        <f t="shared" si="4"/>
        <v>28723.895415117178</v>
      </c>
      <c r="G16" s="15"/>
      <c r="H16" s="635">
        <f t="shared" si="1"/>
        <v>28723.895415117178</v>
      </c>
      <c r="I16" s="31">
        <f t="shared" si="3"/>
        <v>28723.9</v>
      </c>
    </row>
    <row r="17" spans="1:13" x14ac:dyDescent="0.2">
      <c r="A17" s="24" t="s">
        <v>14</v>
      </c>
      <c r="B17" s="923">
        <v>1617.8308927224737</v>
      </c>
      <c r="C17" s="923"/>
      <c r="D17" s="633">
        <f t="shared" si="2"/>
        <v>1617.8308927224737</v>
      </c>
      <c r="E17" s="1257">
        <f t="shared" si="0"/>
        <v>6.4674475390777263E-3</v>
      </c>
      <c r="F17" s="14">
        <f t="shared" si="4"/>
        <v>4371.563882019811</v>
      </c>
      <c r="G17" s="15"/>
      <c r="H17" s="635">
        <f t="shared" si="1"/>
        <v>4371.563882019811</v>
      </c>
      <c r="I17" s="31">
        <f t="shared" si="3"/>
        <v>4371.6000000000004</v>
      </c>
    </row>
    <row r="18" spans="1:13" x14ac:dyDescent="0.2">
      <c r="A18" s="24" t="s">
        <v>15</v>
      </c>
      <c r="B18" s="923">
        <v>5742.8687040428304</v>
      </c>
      <c r="C18" s="923"/>
      <c r="D18" s="633">
        <f t="shared" si="2"/>
        <v>5742.8687040428304</v>
      </c>
      <c r="E18" s="1257">
        <f t="shared" si="0"/>
        <v>2.2957715935753038E-2</v>
      </c>
      <c r="F18" s="14">
        <f t="shared" si="4"/>
        <v>15517.887264180325</v>
      </c>
      <c r="G18" s="15"/>
      <c r="H18" s="635">
        <f t="shared" si="1"/>
        <v>15517.887264180325</v>
      </c>
      <c r="I18" s="31">
        <f t="shared" si="3"/>
        <v>15517.9</v>
      </c>
    </row>
    <row r="19" spans="1:13" x14ac:dyDescent="0.2">
      <c r="A19" s="24" t="s">
        <v>267</v>
      </c>
      <c r="B19" s="923">
        <v>36237.569472006071</v>
      </c>
      <c r="C19" s="923"/>
      <c r="D19" s="633">
        <f t="shared" si="2"/>
        <v>36237.569472006071</v>
      </c>
      <c r="E19" s="1257">
        <f t="shared" si="0"/>
        <v>0.14486345918979013</v>
      </c>
      <c r="F19" s="14">
        <f t="shared" si="4"/>
        <v>97918.052244277598</v>
      </c>
      <c r="G19" s="15"/>
      <c r="H19" s="635">
        <f t="shared" si="1"/>
        <v>97918.052244277598</v>
      </c>
      <c r="I19" s="31">
        <f t="shared" si="3"/>
        <v>97918.1</v>
      </c>
    </row>
    <row r="20" spans="1:13" x14ac:dyDescent="0.2">
      <c r="A20" s="24" t="s">
        <v>100</v>
      </c>
      <c r="B20" s="923">
        <v>644.12402303845636</v>
      </c>
      <c r="C20" s="923"/>
      <c r="D20" s="633">
        <f t="shared" si="2"/>
        <v>644.12402303845636</v>
      </c>
      <c r="E20" s="1257">
        <f t="shared" si="0"/>
        <v>2.5749528868562201E-3</v>
      </c>
      <c r="F20" s="14">
        <f t="shared" si="4"/>
        <v>1740.4966905519748</v>
      </c>
      <c r="G20" s="15"/>
      <c r="H20" s="635">
        <f t="shared" si="1"/>
        <v>1740.4966905519748</v>
      </c>
      <c r="I20" s="31">
        <f>ROUND(H20,0)</f>
        <v>1740</v>
      </c>
    </row>
    <row r="21" spans="1:13" x14ac:dyDescent="0.2">
      <c r="A21" s="24" t="s">
        <v>129</v>
      </c>
      <c r="B21" s="923">
        <v>6.6784110003999997</v>
      </c>
      <c r="C21" s="923"/>
      <c r="D21" s="633">
        <f t="shared" si="2"/>
        <v>6.6784110003999997</v>
      </c>
      <c r="E21" s="1257">
        <f t="shared" si="0"/>
        <v>2.6697643730120003E-5</v>
      </c>
      <c r="F21" s="14">
        <f t="shared" si="4"/>
        <v>18.045829418860421</v>
      </c>
      <c r="G21" s="15"/>
      <c r="H21" s="635">
        <f t="shared" si="1"/>
        <v>18.045829418860421</v>
      </c>
      <c r="I21" s="31">
        <f t="shared" si="3"/>
        <v>18</v>
      </c>
    </row>
    <row r="22" spans="1:13" x14ac:dyDescent="0.2">
      <c r="A22" s="24" t="s">
        <v>79</v>
      </c>
      <c r="B22" s="923">
        <v>208.64889717463757</v>
      </c>
      <c r="C22" s="923"/>
      <c r="D22" s="633">
        <f t="shared" si="2"/>
        <v>208.64889717463757</v>
      </c>
      <c r="E22" s="1257">
        <f t="shared" si="0"/>
        <v>8.3409570347157101E-4</v>
      </c>
      <c r="F22" s="14">
        <f t="shared" si="4"/>
        <v>563.79315478207923</v>
      </c>
      <c r="G22" s="15"/>
      <c r="H22" s="635">
        <f t="shared" si="1"/>
        <v>563.79315478207923</v>
      </c>
      <c r="I22" s="31">
        <f t="shared" si="3"/>
        <v>563.79999999999995</v>
      </c>
    </row>
    <row r="23" spans="1:13" x14ac:dyDescent="0.2">
      <c r="A23" s="24" t="s">
        <v>17</v>
      </c>
      <c r="B23" s="923">
        <v>1845.0077595507555</v>
      </c>
      <c r="C23" s="14"/>
      <c r="D23" s="633">
        <f t="shared" si="2"/>
        <v>1845.0077595507555</v>
      </c>
      <c r="E23" s="1257">
        <f t="shared" si="0"/>
        <v>7.3756107314812969E-3</v>
      </c>
      <c r="F23" s="14">
        <f t="shared" si="4"/>
        <v>4985.4217273139693</v>
      </c>
      <c r="G23" s="15"/>
      <c r="H23" s="635">
        <f t="shared" si="1"/>
        <v>4985.4217273139693</v>
      </c>
      <c r="I23" s="31">
        <f t="shared" si="3"/>
        <v>4985.3999999999996</v>
      </c>
    </row>
    <row r="24" spans="1:13" x14ac:dyDescent="0.2">
      <c r="A24" s="24" t="s">
        <v>24</v>
      </c>
      <c r="B24" s="923">
        <v>322.29885059493972</v>
      </c>
      <c r="C24" s="14"/>
      <c r="D24" s="633">
        <f t="shared" si="2"/>
        <v>322.29885059493972</v>
      </c>
      <c r="E24" s="1257">
        <f t="shared" si="0"/>
        <v>1.2884232323071322E-3</v>
      </c>
      <c r="F24" s="14">
        <f t="shared" si="4"/>
        <v>870.88831151342856</v>
      </c>
      <c r="G24" s="15"/>
      <c r="H24" s="635">
        <f t="shared" si="1"/>
        <v>870.88831151342856</v>
      </c>
      <c r="I24" s="31">
        <f t="shared" si="3"/>
        <v>870.9</v>
      </c>
    </row>
    <row r="25" spans="1:13" x14ac:dyDescent="0.2">
      <c r="A25" s="24" t="s">
        <v>607</v>
      </c>
      <c r="B25" s="923">
        <v>5.4910001754759996</v>
      </c>
      <c r="C25" s="14">
        <f>-B25</f>
        <v>-5.4910001754759996</v>
      </c>
      <c r="D25" s="633"/>
      <c r="E25" s="1257"/>
      <c r="F25" s="14"/>
      <c r="G25" s="15"/>
      <c r="H25" s="635"/>
      <c r="I25" s="31"/>
    </row>
    <row r="26" spans="1:13" x14ac:dyDescent="0.2">
      <c r="A26" s="24" t="s">
        <v>608</v>
      </c>
      <c r="B26" s="923">
        <v>3.5899200000000002</v>
      </c>
      <c r="C26" s="14">
        <f>-B26</f>
        <v>-3.5899200000000002</v>
      </c>
      <c r="D26" s="633"/>
      <c r="E26" s="1257"/>
      <c r="F26" s="14"/>
      <c r="G26" s="15"/>
      <c r="H26" s="635"/>
      <c r="I26" s="31"/>
    </row>
    <row r="27" spans="1:13" ht="13.5" thickBot="1" x14ac:dyDescent="0.25">
      <c r="A27" s="709" t="s">
        <v>268</v>
      </c>
      <c r="B27" s="923">
        <v>157.13368686749899</v>
      </c>
      <c r="C27" s="14">
        <f>-B27</f>
        <v>-157.13368686749899</v>
      </c>
      <c r="D27" s="633">
        <f t="shared" si="2"/>
        <v>0</v>
      </c>
      <c r="E27" s="1257">
        <f>D27/$D$28</f>
        <v>0</v>
      </c>
      <c r="F27" s="923">
        <f>C5</f>
        <v>52300</v>
      </c>
      <c r="G27" s="15"/>
      <c r="H27" s="635">
        <f t="shared" si="1"/>
        <v>52300</v>
      </c>
      <c r="I27" s="31">
        <f t="shared" si="3"/>
        <v>52300</v>
      </c>
    </row>
    <row r="28" spans="1:13" ht="17.25" customHeight="1" thickBot="1" x14ac:dyDescent="0.25">
      <c r="A28" s="26" t="s">
        <v>71</v>
      </c>
      <c r="B28" s="27">
        <f>SUM(B10:B27)</f>
        <v>250149.8284983662</v>
      </c>
      <c r="C28" s="27">
        <f>SUM(C10:C27)</f>
        <v>0</v>
      </c>
      <c r="D28" s="634">
        <f>SUM(D10:D27)</f>
        <v>250149.82849836617</v>
      </c>
      <c r="E28" s="28">
        <f>SUM(E10:E27)</f>
        <v>1</v>
      </c>
      <c r="F28" s="630">
        <f>C4</f>
        <v>728233.41200000001</v>
      </c>
      <c r="G28" s="29">
        <f>SUM(G10:G27)</f>
        <v>0</v>
      </c>
      <c r="H28" s="636">
        <f>SUM(H10:H27)</f>
        <v>728233.41200000001</v>
      </c>
      <c r="I28" s="32">
        <f>SUM(I10:I27)</f>
        <v>728233.00000000012</v>
      </c>
      <c r="L28" s="257"/>
    </row>
    <row r="29" spans="1:13" ht="12" customHeight="1" x14ac:dyDescent="0.2">
      <c r="A29" s="16"/>
      <c r="B29" s="19"/>
      <c r="F29" s="673" t="s">
        <v>311</v>
      </c>
      <c r="G29" s="20">
        <f>F28-F27</f>
        <v>675933.41200000001</v>
      </c>
      <c r="M29" s="257"/>
    </row>
    <row r="30" spans="1:13" ht="12" customHeight="1" x14ac:dyDescent="0.2">
      <c r="F30" s="674" t="s">
        <v>71</v>
      </c>
      <c r="G30" s="17">
        <f>SUM(F10:F27)</f>
        <v>728233.41200000001</v>
      </c>
    </row>
    <row r="31" spans="1:13" ht="6" customHeight="1" x14ac:dyDescent="0.2"/>
    <row r="32" spans="1:13" x14ac:dyDescent="0.2">
      <c r="A32" s="1524" t="s">
        <v>622</v>
      </c>
      <c r="B32" s="1524"/>
      <c r="C32" s="1524"/>
      <c r="D32" s="1524"/>
      <c r="E32" s="1524"/>
      <c r="F32" s="1524"/>
      <c r="G32" s="1524"/>
      <c r="H32" s="1524"/>
      <c r="I32" s="1524"/>
    </row>
    <row r="33" spans="1:20" x14ac:dyDescent="0.2">
      <c r="A33" s="1524"/>
      <c r="B33" s="1524"/>
      <c r="C33" s="1524"/>
      <c r="D33" s="1524"/>
      <c r="E33" s="1524"/>
      <c r="F33" s="1524"/>
      <c r="G33" s="1524"/>
      <c r="H33" s="1524"/>
      <c r="I33" s="1524"/>
    </row>
    <row r="34" spans="1:20" x14ac:dyDescent="0.2">
      <c r="E34" s="257"/>
    </row>
    <row r="40" spans="1:20" x14ac:dyDescent="0.2">
      <c r="T40" s="107"/>
    </row>
    <row r="41" spans="1:20" x14ac:dyDescent="0.2">
      <c r="T41" s="107"/>
    </row>
    <row r="42" spans="1:20" x14ac:dyDescent="0.2">
      <c r="T42" s="107"/>
    </row>
    <row r="43" spans="1:20" x14ac:dyDescent="0.2">
      <c r="T43" s="107"/>
    </row>
    <row r="44" spans="1:20" x14ac:dyDescent="0.2">
      <c r="T44" s="107"/>
    </row>
    <row r="45" spans="1:20" x14ac:dyDescent="0.2">
      <c r="T45" s="107"/>
    </row>
    <row r="46" spans="1:20" x14ac:dyDescent="0.2">
      <c r="T46" s="107"/>
    </row>
    <row r="47" spans="1:20" x14ac:dyDescent="0.2">
      <c r="T47" s="107"/>
    </row>
    <row r="48" spans="1:20" x14ac:dyDescent="0.2">
      <c r="T48" s="107"/>
    </row>
    <row r="49" spans="12:20" x14ac:dyDescent="0.2">
      <c r="T49" s="107"/>
    </row>
    <row r="50" spans="12:20" x14ac:dyDescent="0.2">
      <c r="T50" s="107"/>
    </row>
    <row r="51" spans="12:20" x14ac:dyDescent="0.2">
      <c r="T51" s="107"/>
    </row>
    <row r="52" spans="12:20" x14ac:dyDescent="0.2">
      <c r="T52" s="107"/>
    </row>
    <row r="53" spans="12:20" x14ac:dyDescent="0.2">
      <c r="T53" s="107"/>
    </row>
    <row r="54" spans="12:20" x14ac:dyDescent="0.2">
      <c r="T54" s="107"/>
    </row>
    <row r="55" spans="12:20" x14ac:dyDescent="0.2">
      <c r="T55" s="107"/>
    </row>
    <row r="56" spans="12:20" x14ac:dyDescent="0.2">
      <c r="T56" s="107"/>
    </row>
    <row r="57" spans="12:20" x14ac:dyDescent="0.2">
      <c r="T57" s="107"/>
    </row>
    <row r="58" spans="12:20" x14ac:dyDescent="0.2">
      <c r="T58" s="107"/>
    </row>
    <row r="59" spans="12:20" x14ac:dyDescent="0.2">
      <c r="T59" s="107"/>
    </row>
    <row r="60" spans="12:20" x14ac:dyDescent="0.2">
      <c r="T60" s="107"/>
    </row>
    <row r="61" spans="12:20" x14ac:dyDescent="0.2">
      <c r="T61" s="107"/>
    </row>
    <row r="63" spans="12:20" x14ac:dyDescent="0.2">
      <c r="L63" s="107"/>
    </row>
  </sheetData>
  <mergeCells count="1">
    <mergeCell ref="A32:I3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O52"/>
  <sheetViews>
    <sheetView showGridLines="0" workbookViewId="0"/>
  </sheetViews>
  <sheetFormatPr defaultColWidth="8.7109375" defaultRowHeight="12.75" x14ac:dyDescent="0.2"/>
  <cols>
    <col min="1" max="1" width="3.7109375" style="33" customWidth="1"/>
    <col min="2" max="2" width="8.7109375" style="33"/>
    <col min="3" max="3" width="9.7109375" style="33" customWidth="1"/>
    <col min="4" max="5" width="10.7109375" style="33" customWidth="1"/>
    <col min="6" max="6" width="10" style="33" customWidth="1"/>
    <col min="7" max="7" width="11" style="33" customWidth="1"/>
    <col min="8" max="8" width="9.5703125" style="33" customWidth="1"/>
    <col min="9" max="9" width="9.140625" style="33" bestFit="1" customWidth="1"/>
    <col min="10" max="16384" width="8.7109375" style="33"/>
  </cols>
  <sheetData>
    <row r="3" spans="1:12" ht="16.5" thickBot="1" x14ac:dyDescent="0.3">
      <c r="A3" s="105" t="s">
        <v>319</v>
      </c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</row>
    <row r="4" spans="1:12" x14ac:dyDescent="0.2">
      <c r="A4" s="122"/>
      <c r="B4" s="125"/>
      <c r="C4" s="1528" t="s">
        <v>611</v>
      </c>
      <c r="D4" s="1529"/>
      <c r="E4" s="1530"/>
      <c r="F4" s="1531" t="s">
        <v>612</v>
      </c>
      <c r="G4" s="1531"/>
      <c r="H4" s="1532"/>
      <c r="I4" s="44"/>
      <c r="J4" s="44"/>
      <c r="K4" s="44"/>
      <c r="L4" s="45"/>
    </row>
    <row r="5" spans="1:12" ht="33.75" customHeight="1" thickBot="1" x14ac:dyDescent="0.25">
      <c r="A5" s="1536" t="s">
        <v>6</v>
      </c>
      <c r="B5" s="1537"/>
      <c r="C5" s="259" t="s">
        <v>19</v>
      </c>
      <c r="D5" s="260" t="s">
        <v>148</v>
      </c>
      <c r="E5" s="261" t="s">
        <v>16</v>
      </c>
      <c r="F5" s="262" t="s">
        <v>19</v>
      </c>
      <c r="G5" s="260" t="s">
        <v>148</v>
      </c>
      <c r="H5" s="261" t="s">
        <v>16</v>
      </c>
      <c r="I5" s="44"/>
      <c r="J5" s="44"/>
      <c r="K5" s="44"/>
      <c r="L5" s="45"/>
    </row>
    <row r="6" spans="1:12" x14ac:dyDescent="0.2">
      <c r="A6" s="688">
        <v>11</v>
      </c>
      <c r="B6" s="188" t="s">
        <v>7</v>
      </c>
      <c r="C6" s="714">
        <f>'str1'!H16</f>
        <v>369533.4</v>
      </c>
      <c r="D6" s="265">
        <f>'str3'!I10</f>
        <v>73527.5</v>
      </c>
      <c r="E6" s="263">
        <f>SUM(C6:D6)</f>
        <v>443060.9</v>
      </c>
      <c r="F6" s="264">
        <v>318062.90000000002</v>
      </c>
      <c r="G6" s="265">
        <v>71404.600000000006</v>
      </c>
      <c r="H6" s="710">
        <v>389467.5</v>
      </c>
      <c r="I6" s="44"/>
      <c r="J6" s="44"/>
      <c r="K6" s="44"/>
      <c r="L6" s="45"/>
    </row>
    <row r="7" spans="1:12" x14ac:dyDescent="0.2">
      <c r="A7" s="689">
        <v>21</v>
      </c>
      <c r="B7" s="192" t="s">
        <v>8</v>
      </c>
      <c r="C7" s="637">
        <f>'str1'!H17</f>
        <v>373707.2</v>
      </c>
      <c r="D7" s="269">
        <f>'str3'!I11</f>
        <v>72442</v>
      </c>
      <c r="E7" s="267">
        <f t="shared" ref="E7:E22" si="0">SUM(C7:D7)</f>
        <v>446149.2</v>
      </c>
      <c r="F7" s="268">
        <v>337434.4</v>
      </c>
      <c r="G7" s="269">
        <v>66759.100000000006</v>
      </c>
      <c r="H7" s="711">
        <v>404193.5</v>
      </c>
      <c r="I7" s="44"/>
      <c r="J7" s="44"/>
      <c r="K7" s="44"/>
      <c r="L7" s="45"/>
    </row>
    <row r="8" spans="1:12" x14ac:dyDescent="0.2">
      <c r="A8" s="689">
        <v>22</v>
      </c>
      <c r="B8" s="192" t="s">
        <v>9</v>
      </c>
      <c r="C8" s="637">
        <f>'str1'!H18</f>
        <v>137950.1</v>
      </c>
      <c r="D8" s="269">
        <f>'str3'!I12</f>
        <v>25376.400000000001</v>
      </c>
      <c r="E8" s="267">
        <f t="shared" si="0"/>
        <v>163326.5</v>
      </c>
      <c r="F8" s="268">
        <v>118605</v>
      </c>
      <c r="G8" s="269">
        <v>22858</v>
      </c>
      <c r="H8" s="711">
        <v>141463</v>
      </c>
      <c r="I8" s="44"/>
      <c r="J8" s="44"/>
      <c r="K8" s="44"/>
      <c r="L8" s="45"/>
    </row>
    <row r="9" spans="1:12" x14ac:dyDescent="0.2">
      <c r="A9" s="689">
        <v>23</v>
      </c>
      <c r="B9" s="192" t="s">
        <v>10</v>
      </c>
      <c r="C9" s="637">
        <f>'str1'!H19</f>
        <v>168837.4</v>
      </c>
      <c r="D9" s="269">
        <f>'str3'!I13</f>
        <v>38859.599999999999</v>
      </c>
      <c r="E9" s="267">
        <f t="shared" si="0"/>
        <v>207697</v>
      </c>
      <c r="F9" s="268">
        <v>148432.29999999999</v>
      </c>
      <c r="G9" s="269">
        <v>33977</v>
      </c>
      <c r="H9" s="711">
        <v>182409.3</v>
      </c>
      <c r="I9" s="44"/>
      <c r="J9" s="44"/>
      <c r="K9" s="44"/>
      <c r="L9" s="45"/>
    </row>
    <row r="10" spans="1:12" x14ac:dyDescent="0.2">
      <c r="A10" s="689">
        <v>31</v>
      </c>
      <c r="B10" s="192" t="s">
        <v>11</v>
      </c>
      <c r="C10" s="637">
        <f>'str1'!H20</f>
        <v>412886.3</v>
      </c>
      <c r="D10" s="269">
        <f>'str3'!I14</f>
        <v>266051.5</v>
      </c>
      <c r="E10" s="267">
        <f t="shared" si="0"/>
        <v>678937.8</v>
      </c>
      <c r="F10" s="268">
        <v>367336.9</v>
      </c>
      <c r="G10" s="269">
        <v>234595.7</v>
      </c>
      <c r="H10" s="711">
        <v>601932.60000000009</v>
      </c>
      <c r="I10" s="44"/>
      <c r="J10" s="44"/>
      <c r="K10" s="44"/>
      <c r="L10" s="45"/>
    </row>
    <row r="11" spans="1:12" x14ac:dyDescent="0.2">
      <c r="A11" s="689">
        <v>33</v>
      </c>
      <c r="B11" s="192" t="s">
        <v>12</v>
      </c>
      <c r="C11" s="637">
        <f>'str1'!H21</f>
        <v>150526.29999999999</v>
      </c>
      <c r="D11" s="269">
        <f>'str3'!I15</f>
        <v>44966.400000000001</v>
      </c>
      <c r="E11" s="267">
        <f t="shared" si="0"/>
        <v>195492.69999999998</v>
      </c>
      <c r="F11" s="268">
        <v>137350.20000000001</v>
      </c>
      <c r="G11" s="269">
        <v>38973</v>
      </c>
      <c r="H11" s="711">
        <v>176323.20000000001</v>
      </c>
      <c r="I11" s="44"/>
      <c r="J11" s="44"/>
      <c r="K11" s="44"/>
      <c r="L11" s="45"/>
    </row>
    <row r="12" spans="1:12" x14ac:dyDescent="0.2">
      <c r="A12" s="689">
        <v>41</v>
      </c>
      <c r="B12" s="192" t="s">
        <v>13</v>
      </c>
      <c r="C12" s="712">
        <f>'str1'!H22</f>
        <v>211177.8</v>
      </c>
      <c r="D12" s="269">
        <f>'str3'!I16</f>
        <v>28723.9</v>
      </c>
      <c r="E12" s="267">
        <f t="shared" si="0"/>
        <v>239901.69999999998</v>
      </c>
      <c r="F12" s="268">
        <v>188484</v>
      </c>
      <c r="G12" s="269">
        <v>31202.2</v>
      </c>
      <c r="H12" s="711">
        <v>219686.2</v>
      </c>
      <c r="I12" s="44"/>
      <c r="J12" s="44"/>
      <c r="K12" s="44"/>
      <c r="L12" s="45"/>
    </row>
    <row r="13" spans="1:12" x14ac:dyDescent="0.2">
      <c r="A13" s="689">
        <v>51</v>
      </c>
      <c r="B13" s="192" t="s">
        <v>14</v>
      </c>
      <c r="C13" s="637">
        <f>'str1'!H23</f>
        <v>81235.600000000006</v>
      </c>
      <c r="D13" s="269">
        <f>'str3'!I17</f>
        <v>4371.6000000000004</v>
      </c>
      <c r="E13" s="267">
        <f t="shared" si="0"/>
        <v>85607.200000000012</v>
      </c>
      <c r="F13" s="268">
        <v>69179</v>
      </c>
      <c r="G13" s="269">
        <v>3951.8</v>
      </c>
      <c r="H13" s="711">
        <v>73130.8</v>
      </c>
      <c r="I13" s="44"/>
      <c r="J13" s="44"/>
      <c r="K13" s="44"/>
      <c r="L13" s="45"/>
    </row>
    <row r="14" spans="1:12" x14ac:dyDescent="0.2">
      <c r="A14" s="689">
        <v>56</v>
      </c>
      <c r="B14" s="192" t="s">
        <v>15</v>
      </c>
      <c r="C14" s="713">
        <f>'str1'!H24</f>
        <v>143149.6</v>
      </c>
      <c r="D14" s="269">
        <f>'str3'!I18</f>
        <v>15517.9</v>
      </c>
      <c r="E14" s="267">
        <f t="shared" si="0"/>
        <v>158667.5</v>
      </c>
      <c r="F14" s="268">
        <v>126013.2</v>
      </c>
      <c r="G14" s="269">
        <v>14645</v>
      </c>
      <c r="H14" s="711">
        <v>140658.20000000001</v>
      </c>
      <c r="I14" s="44"/>
      <c r="J14" s="44"/>
      <c r="K14" s="44"/>
      <c r="L14" s="45"/>
    </row>
    <row r="15" spans="1:12" x14ac:dyDescent="0.2">
      <c r="A15" s="689"/>
      <c r="B15" s="192" t="s">
        <v>191</v>
      </c>
      <c r="C15" s="637">
        <v>0</v>
      </c>
      <c r="D15" s="269">
        <v>0</v>
      </c>
      <c r="E15" s="267">
        <f t="shared" si="0"/>
        <v>0</v>
      </c>
      <c r="F15" s="268">
        <v>0</v>
      </c>
      <c r="G15" s="269">
        <v>0</v>
      </c>
      <c r="H15" s="711">
        <v>0</v>
      </c>
      <c r="I15" s="44"/>
      <c r="J15" s="44"/>
      <c r="K15" s="44"/>
      <c r="L15" s="45"/>
    </row>
    <row r="16" spans="1:12" x14ac:dyDescent="0.2">
      <c r="A16" s="689">
        <v>71</v>
      </c>
      <c r="B16" s="192" t="s">
        <v>196</v>
      </c>
      <c r="C16" s="637">
        <f>'str1'!H25</f>
        <v>31812.5</v>
      </c>
      <c r="D16" s="269">
        <f>'str3'!I19</f>
        <v>97918.1</v>
      </c>
      <c r="E16" s="267">
        <f t="shared" si="0"/>
        <v>129730.6</v>
      </c>
      <c r="F16" s="268">
        <v>27832.1</v>
      </c>
      <c r="G16" s="269">
        <v>77404.100000000006</v>
      </c>
      <c r="H16" s="711">
        <v>105236.20000000001</v>
      </c>
      <c r="I16" s="44"/>
      <c r="J16" s="44"/>
      <c r="K16" s="44"/>
      <c r="L16" s="45"/>
    </row>
    <row r="17" spans="1:15" x14ac:dyDescent="0.2">
      <c r="A17" s="689">
        <v>84</v>
      </c>
      <c r="B17" s="192" t="s">
        <v>79</v>
      </c>
      <c r="C17" s="637">
        <v>0</v>
      </c>
      <c r="D17" s="269">
        <f>'str3'!I22</f>
        <v>563.79999999999995</v>
      </c>
      <c r="E17" s="267">
        <f t="shared" si="0"/>
        <v>563.79999999999995</v>
      </c>
      <c r="F17" s="268">
        <v>0</v>
      </c>
      <c r="G17" s="269">
        <v>673.4</v>
      </c>
      <c r="H17" s="711">
        <v>673.4</v>
      </c>
      <c r="I17" s="44"/>
      <c r="J17" s="44"/>
      <c r="K17" s="44"/>
      <c r="L17" s="45"/>
    </row>
    <row r="18" spans="1:15" x14ac:dyDescent="0.2">
      <c r="A18" s="689">
        <v>85</v>
      </c>
      <c r="B18" s="192" t="s">
        <v>100</v>
      </c>
      <c r="C18" s="637">
        <f>'str1'!H26</f>
        <v>1347.8</v>
      </c>
      <c r="D18" s="269">
        <f>'str3'!I20</f>
        <v>1740</v>
      </c>
      <c r="E18" s="267">
        <f t="shared" si="0"/>
        <v>3087.8</v>
      </c>
      <c r="F18" s="268">
        <v>2207.9</v>
      </c>
      <c r="G18" s="269">
        <v>1275</v>
      </c>
      <c r="H18" s="711">
        <v>3482.9</v>
      </c>
      <c r="I18" s="44"/>
      <c r="J18" s="44"/>
      <c r="K18" s="44"/>
      <c r="L18" s="45"/>
    </row>
    <row r="19" spans="1:15" x14ac:dyDescent="0.2">
      <c r="A19" s="689">
        <v>87</v>
      </c>
      <c r="B19" s="192" t="s">
        <v>129</v>
      </c>
      <c r="C19" s="637"/>
      <c r="D19" s="269">
        <f>'str3'!I21</f>
        <v>18</v>
      </c>
      <c r="E19" s="267">
        <f t="shared" ref="E19" si="1">SUM(C19:D19)</f>
        <v>18</v>
      </c>
      <c r="F19" s="268"/>
      <c r="G19" s="269"/>
      <c r="H19" s="711"/>
      <c r="I19" s="44"/>
      <c r="J19" s="44"/>
      <c r="K19" s="44"/>
      <c r="L19" s="45"/>
    </row>
    <row r="20" spans="1:15" x14ac:dyDescent="0.2">
      <c r="A20" s="689">
        <v>92</v>
      </c>
      <c r="B20" s="192" t="s">
        <v>17</v>
      </c>
      <c r="C20" s="637">
        <f>'str1'!H27</f>
        <v>2232.6</v>
      </c>
      <c r="D20" s="269">
        <f>'str3'!I23</f>
        <v>4985.3999999999996</v>
      </c>
      <c r="E20" s="267">
        <f t="shared" si="0"/>
        <v>7218</v>
      </c>
      <c r="F20" s="268">
        <v>1670</v>
      </c>
      <c r="G20" s="269">
        <v>3793.5</v>
      </c>
      <c r="H20" s="711">
        <v>5463.5</v>
      </c>
      <c r="I20" s="44"/>
      <c r="J20" s="44"/>
      <c r="K20" s="44"/>
      <c r="L20" s="45"/>
    </row>
    <row r="21" spans="1:15" x14ac:dyDescent="0.2">
      <c r="A21" s="690">
        <v>96</v>
      </c>
      <c r="B21" s="691" t="s">
        <v>24</v>
      </c>
      <c r="C21" s="637">
        <v>0</v>
      </c>
      <c r="D21" s="269">
        <f>'str3'!I24</f>
        <v>870.9</v>
      </c>
      <c r="E21" s="267">
        <f t="shared" si="0"/>
        <v>870.9</v>
      </c>
      <c r="F21" s="268">
        <v>0</v>
      </c>
      <c r="G21" s="270">
        <v>819.7</v>
      </c>
      <c r="H21" s="711">
        <v>819.7</v>
      </c>
      <c r="I21" s="44"/>
      <c r="J21" s="44"/>
      <c r="K21" s="44"/>
      <c r="L21" s="45"/>
    </row>
    <row r="22" spans="1:15" ht="13.5" thickBot="1" x14ac:dyDescent="0.25">
      <c r="A22" s="690">
        <v>99</v>
      </c>
      <c r="B22" s="691" t="s">
        <v>260</v>
      </c>
      <c r="C22" s="712">
        <v>0</v>
      </c>
      <c r="D22" s="1391">
        <f>'str3'!I27</f>
        <v>52300</v>
      </c>
      <c r="E22" s="1392">
        <f t="shared" si="0"/>
        <v>52300</v>
      </c>
      <c r="F22" s="271">
        <v>0</v>
      </c>
      <c r="G22" s="270">
        <v>24439.5</v>
      </c>
      <c r="H22" s="1393">
        <v>24439.5</v>
      </c>
      <c r="I22" s="44"/>
      <c r="J22" s="44"/>
      <c r="K22" s="44"/>
      <c r="L22" s="45"/>
    </row>
    <row r="23" spans="1:15" ht="13.5" thickBot="1" x14ac:dyDescent="0.25">
      <c r="A23" s="1399" t="s">
        <v>71</v>
      </c>
      <c r="B23" s="1394"/>
      <c r="C23" s="1395">
        <f>SUM(C6:C21)</f>
        <v>2084396.6000000006</v>
      </c>
      <c r="D23" s="1396">
        <f>SUM(D6:D22)</f>
        <v>728233.00000000012</v>
      </c>
      <c r="E23" s="1397">
        <f>SUM(E6:E22)</f>
        <v>2812629.6</v>
      </c>
      <c r="F23" s="1398">
        <v>1842607.9</v>
      </c>
      <c r="G23" s="1398">
        <v>626771.6</v>
      </c>
      <c r="H23" s="1397">
        <v>2469379.5000000005</v>
      </c>
      <c r="I23" s="925">
        <f>H23-G23-F23</f>
        <v>0</v>
      </c>
      <c r="J23" s="44"/>
      <c r="K23" s="44"/>
      <c r="L23" s="113"/>
      <c r="M23" s="113"/>
      <c r="N23" s="113"/>
      <c r="O23" s="113"/>
    </row>
    <row r="24" spans="1:15" s="113" customFormat="1" ht="6" customHeight="1" x14ac:dyDescent="0.2">
      <c r="C24" s="272"/>
      <c r="D24" s="272"/>
      <c r="E24" s="273"/>
      <c r="F24" s="274"/>
      <c r="J24" s="44"/>
      <c r="K24" s="44"/>
      <c r="L24" s="45"/>
      <c r="M24" s="33"/>
      <c r="N24" s="33"/>
      <c r="O24" s="33"/>
    </row>
    <row r="25" spans="1:15" s="113" customFormat="1" x14ac:dyDescent="0.2">
      <c r="A25" s="48" t="s">
        <v>623</v>
      </c>
      <c r="C25" s="272"/>
      <c r="D25" s="905">
        <f>'str3'!I27</f>
        <v>52300</v>
      </c>
      <c r="E25" s="113" t="s">
        <v>504</v>
      </c>
      <c r="J25" s="44"/>
      <c r="K25" s="44"/>
      <c r="L25" s="275"/>
      <c r="M25" s="33"/>
      <c r="N25" s="33"/>
      <c r="O25" s="33"/>
    </row>
    <row r="26" spans="1:15" s="113" customFormat="1" x14ac:dyDescent="0.2">
      <c r="C26" s="272"/>
      <c r="D26" s="272"/>
      <c r="E26" s="273"/>
      <c r="F26" s="274"/>
      <c r="L26" s="45"/>
      <c r="M26" s="33"/>
      <c r="N26" s="33"/>
      <c r="O26" s="33"/>
    </row>
    <row r="27" spans="1:15" s="113" customFormat="1" x14ac:dyDescent="0.2">
      <c r="C27" s="272"/>
      <c r="D27" s="272"/>
      <c r="E27" s="273"/>
      <c r="F27" s="274"/>
      <c r="L27" s="45"/>
      <c r="M27" s="33"/>
      <c r="N27" s="33"/>
      <c r="O27" s="33"/>
    </row>
    <row r="28" spans="1:15" ht="15.75" x14ac:dyDescent="0.25">
      <c r="A28" s="276" t="s">
        <v>320</v>
      </c>
      <c r="L28" s="45"/>
    </row>
    <row r="29" spans="1:15" ht="11.25" customHeight="1" x14ac:dyDescent="0.25">
      <c r="A29" s="276"/>
      <c r="L29" s="45"/>
      <c r="M29" s="111"/>
      <c r="N29" s="111"/>
      <c r="O29" s="111"/>
    </row>
    <row r="30" spans="1:15" s="111" customFormat="1" ht="15.75" thickBot="1" x14ac:dyDescent="0.3">
      <c r="A30" s="110" t="s">
        <v>158</v>
      </c>
      <c r="L30" s="45"/>
      <c r="M30" s="33"/>
      <c r="N30" s="33"/>
      <c r="O30" s="33"/>
    </row>
    <row r="31" spans="1:15" x14ac:dyDescent="0.2">
      <c r="A31" s="34">
        <v>4</v>
      </c>
      <c r="B31" s="277" t="s">
        <v>321</v>
      </c>
      <c r="C31" s="278"/>
      <c r="D31" s="278"/>
      <c r="E31" s="278"/>
      <c r="F31" s="278"/>
      <c r="G31" s="278"/>
      <c r="H31" s="278"/>
      <c r="I31" s="279">
        <f>'příl.1 - cp 2018'!K7</f>
        <v>121000</v>
      </c>
      <c r="J31" s="42"/>
      <c r="L31" s="45"/>
    </row>
    <row r="32" spans="1:15" x14ac:dyDescent="0.2">
      <c r="A32" s="280">
        <v>5</v>
      </c>
      <c r="B32" s="39" t="s">
        <v>322</v>
      </c>
      <c r="C32" s="39"/>
      <c r="D32" s="39"/>
      <c r="E32" s="39"/>
      <c r="F32" s="39"/>
      <c r="G32" s="39"/>
      <c r="H32" s="39"/>
      <c r="I32" s="281">
        <f>'příl.1 - cp 2018'!K12</f>
        <v>0</v>
      </c>
      <c r="J32" s="42"/>
      <c r="L32" s="45"/>
    </row>
    <row r="33" spans="1:15" x14ac:dyDescent="0.2">
      <c r="A33" s="280">
        <v>6</v>
      </c>
      <c r="B33" s="39" t="s">
        <v>81</v>
      </c>
      <c r="C33" s="39"/>
      <c r="D33" s="39"/>
      <c r="E33" s="39"/>
      <c r="F33" s="39"/>
      <c r="G33" s="39"/>
      <c r="H33" s="39"/>
      <c r="I33" s="281">
        <f>'příl.1 - cp 2018'!K13</f>
        <v>2830</v>
      </c>
      <c r="J33" s="42"/>
      <c r="L33" s="45"/>
    </row>
    <row r="34" spans="1:15" ht="13.5" thickBot="1" x14ac:dyDescent="0.25">
      <c r="A34" s="35">
        <v>7</v>
      </c>
      <c r="B34" s="152" t="s">
        <v>190</v>
      </c>
      <c r="C34" s="42"/>
      <c r="D34" s="42"/>
      <c r="E34" s="42"/>
      <c r="F34" s="42"/>
      <c r="G34" s="42"/>
      <c r="H34" s="42"/>
      <c r="I34" s="282">
        <f>'příl.1 - cp 2018'!K26</f>
        <v>0</v>
      </c>
      <c r="J34" s="42"/>
      <c r="L34" s="283"/>
      <c r="M34" s="106"/>
      <c r="N34" s="106"/>
      <c r="O34" s="106"/>
    </row>
    <row r="35" spans="1:15" s="106" customFormat="1" ht="13.5" thickBot="1" x14ac:dyDescent="0.25">
      <c r="A35" s="284">
        <v>8</v>
      </c>
      <c r="B35" s="1525" t="s">
        <v>323</v>
      </c>
      <c r="C35" s="1526"/>
      <c r="D35" s="1526"/>
      <c r="E35" s="1526"/>
      <c r="F35" s="1526"/>
      <c r="G35" s="1526"/>
      <c r="H35" s="1527"/>
      <c r="I35" s="285">
        <f>SUM(I31:I34)</f>
        <v>123830</v>
      </c>
      <c r="J35" s="286"/>
      <c r="L35" s="45"/>
      <c r="M35" s="48"/>
      <c r="N35" s="48"/>
      <c r="O35" s="48"/>
    </row>
    <row r="36" spans="1:15" s="48" customFormat="1" ht="15" x14ac:dyDescent="0.25">
      <c r="A36" s="287"/>
      <c r="B36" s="288"/>
      <c r="I36" s="114"/>
      <c r="J36" s="289"/>
      <c r="L36" s="45"/>
      <c r="M36" s="111"/>
      <c r="N36" s="111"/>
      <c r="O36" s="111"/>
    </row>
    <row r="37" spans="1:15" s="111" customFormat="1" ht="15.75" thickBot="1" x14ac:dyDescent="0.3">
      <c r="A37" s="110" t="s">
        <v>159</v>
      </c>
      <c r="J37" s="289"/>
      <c r="L37" s="45"/>
      <c r="M37" s="33"/>
      <c r="N37" s="33"/>
      <c r="O37" s="33"/>
    </row>
    <row r="38" spans="1:15" x14ac:dyDescent="0.2">
      <c r="A38" s="290">
        <v>9</v>
      </c>
      <c r="B38" s="291" t="s">
        <v>164</v>
      </c>
      <c r="C38" s="291"/>
      <c r="D38" s="291"/>
      <c r="E38" s="291"/>
      <c r="F38" s="291"/>
      <c r="G38" s="291"/>
      <c r="H38" s="291"/>
      <c r="I38" s="292">
        <f>'příl.1 - cp 2018'!K27-'příl.1 - cp 2018'!K92</f>
        <v>195232.25</v>
      </c>
      <c r="J38" s="293"/>
      <c r="L38" s="45"/>
    </row>
    <row r="39" spans="1:15" ht="13.5" thickBot="1" x14ac:dyDescent="0.25">
      <c r="A39" s="35">
        <v>10</v>
      </c>
      <c r="B39" s="42" t="s">
        <v>165</v>
      </c>
      <c r="C39" s="42"/>
      <c r="D39" s="42"/>
      <c r="E39" s="42"/>
      <c r="F39" s="42"/>
      <c r="G39" s="42"/>
      <c r="H39" s="42"/>
      <c r="I39" s="282">
        <f>'příl.1 - cp 2018'!K92</f>
        <v>15000</v>
      </c>
      <c r="J39" s="289"/>
      <c r="L39" s="294"/>
      <c r="M39" s="295"/>
      <c r="N39" s="295"/>
      <c r="O39" s="295"/>
    </row>
    <row r="40" spans="1:15" s="295" customFormat="1" x14ac:dyDescent="0.2">
      <c r="A40" s="296">
        <v>11</v>
      </c>
      <c r="B40" s="1533" t="s">
        <v>161</v>
      </c>
      <c r="C40" s="1534"/>
      <c r="D40" s="1534"/>
      <c r="E40" s="1534"/>
      <c r="F40" s="1534"/>
      <c r="G40" s="1534"/>
      <c r="H40" s="1535"/>
      <c r="I40" s="297">
        <f>SUM(I38:I39)</f>
        <v>210232.25</v>
      </c>
      <c r="J40" s="298"/>
      <c r="L40" s="45"/>
      <c r="M40" s="33"/>
      <c r="N40" s="33"/>
      <c r="O40" s="33"/>
    </row>
    <row r="41" spans="1:15" ht="13.5" thickBot="1" x14ac:dyDescent="0.25">
      <c r="A41" s="299">
        <v>12</v>
      </c>
      <c r="B41" s="300" t="s">
        <v>160</v>
      </c>
      <c r="C41" s="300"/>
      <c r="D41" s="300"/>
      <c r="E41" s="300"/>
      <c r="F41" s="300"/>
      <c r="G41" s="300"/>
      <c r="H41" s="300"/>
      <c r="I41" s="301">
        <f>'příl.1 - cp 2018'!K160</f>
        <v>238774</v>
      </c>
      <c r="J41" s="298"/>
      <c r="L41" s="283"/>
      <c r="M41" s="106"/>
      <c r="N41" s="106"/>
      <c r="O41" s="106"/>
    </row>
    <row r="42" spans="1:15" s="106" customFormat="1" ht="13.5" thickBot="1" x14ac:dyDescent="0.25">
      <c r="A42" s="284">
        <v>13</v>
      </c>
      <c r="B42" s="1525" t="s">
        <v>183</v>
      </c>
      <c r="C42" s="1526"/>
      <c r="D42" s="1526"/>
      <c r="E42" s="1526"/>
      <c r="F42" s="1526"/>
      <c r="G42" s="1526"/>
      <c r="H42" s="1527"/>
      <c r="I42" s="285">
        <f>SUM(I40:I41)</f>
        <v>449006.25</v>
      </c>
      <c r="J42" s="298"/>
      <c r="K42" s="302"/>
      <c r="L42" s="46"/>
      <c r="M42" s="42"/>
      <c r="N42" s="42"/>
      <c r="O42" s="42"/>
    </row>
    <row r="43" spans="1:15" s="42" customFormat="1" ht="15.75" thickBot="1" x14ac:dyDescent="0.3">
      <c r="A43" s="303"/>
      <c r="H43" s="685" t="s">
        <v>71</v>
      </c>
      <c r="I43" s="389">
        <f>I35+I42</f>
        <v>572836.25</v>
      </c>
      <c r="J43" s="286"/>
      <c r="L43" s="47"/>
      <c r="M43" s="185"/>
      <c r="N43" s="185"/>
      <c r="O43" s="185"/>
    </row>
    <row r="44" spans="1:15" s="185" customFormat="1" ht="15.75" hidden="1" thickBot="1" x14ac:dyDescent="0.3">
      <c r="A44" s="115" t="s">
        <v>122</v>
      </c>
      <c r="J44" s="304"/>
      <c r="L44" s="33"/>
      <c r="M44" s="33"/>
      <c r="N44" s="33"/>
      <c r="O44" s="33"/>
    </row>
    <row r="45" spans="1:15" ht="12.75" hidden="1" customHeight="1" x14ac:dyDescent="0.2">
      <c r="A45" s="139">
        <v>14</v>
      </c>
      <c r="B45" s="305" t="s">
        <v>188</v>
      </c>
      <c r="C45" s="306"/>
      <c r="D45" s="306"/>
      <c r="E45" s="306"/>
      <c r="F45" s="306"/>
      <c r="G45" s="307"/>
      <c r="H45" s="308"/>
      <c r="I45" s="143">
        <v>2333005</v>
      </c>
      <c r="J45" s="289"/>
      <c r="L45" s="106"/>
      <c r="M45" s="106"/>
      <c r="N45" s="106"/>
      <c r="O45" s="106"/>
    </row>
    <row r="46" spans="1:15" s="106" customFormat="1" ht="12.75" hidden="1" customHeight="1" x14ac:dyDescent="0.2">
      <c r="A46" s="309">
        <v>15</v>
      </c>
      <c r="B46" s="310" t="s">
        <v>189</v>
      </c>
      <c r="C46" s="311"/>
      <c r="D46" s="311"/>
      <c r="E46" s="311"/>
      <c r="F46" s="311"/>
      <c r="G46" s="312"/>
      <c r="H46" s="313"/>
      <c r="I46" s="314">
        <v>555881</v>
      </c>
      <c r="J46" s="298"/>
    </row>
    <row r="47" spans="1:15" s="106" customFormat="1" ht="12.75" hidden="1" customHeight="1" thickBot="1" x14ac:dyDescent="0.25">
      <c r="A47" s="315">
        <v>16</v>
      </c>
      <c r="B47" s="316" t="s">
        <v>218</v>
      </c>
      <c r="C47" s="317"/>
      <c r="D47" s="317"/>
      <c r="E47" s="317"/>
      <c r="F47" s="317"/>
      <c r="G47" s="318"/>
      <c r="H47" s="319"/>
      <c r="I47" s="320" t="e">
        <v>#REF!</v>
      </c>
      <c r="J47" s="298"/>
      <c r="L47" s="321" t="s">
        <v>166</v>
      </c>
    </row>
    <row r="48" spans="1:15" s="106" customFormat="1" ht="13.5" hidden="1" thickBot="1" x14ac:dyDescent="0.25">
      <c r="A48" s="322">
        <v>17</v>
      </c>
      <c r="B48" s="323" t="s">
        <v>324</v>
      </c>
      <c r="C48" s="324"/>
      <c r="D48" s="324"/>
      <c r="E48" s="324"/>
      <c r="F48" s="324"/>
      <c r="G48" s="324"/>
      <c r="H48" s="325"/>
      <c r="I48" s="326" t="e">
        <v>#REF!</v>
      </c>
      <c r="K48" s="327"/>
      <c r="L48" s="45"/>
      <c r="M48" s="33"/>
      <c r="N48" s="33"/>
      <c r="O48" s="33"/>
    </row>
    <row r="49" spans="1:12" ht="13.5" hidden="1" customHeight="1" x14ac:dyDescent="0.2">
      <c r="A49" s="44"/>
      <c r="B49" s="44"/>
      <c r="C49" s="44"/>
      <c r="D49" s="44"/>
      <c r="E49" s="44"/>
      <c r="F49" s="44"/>
      <c r="G49" s="44"/>
      <c r="H49" s="44"/>
      <c r="I49" s="266" t="e">
        <v>#REF!</v>
      </c>
      <c r="K49" s="107"/>
      <c r="L49" s="45"/>
    </row>
    <row r="50" spans="1:12" hidden="1" x14ac:dyDescent="0.2">
      <c r="A50" s="44"/>
      <c r="B50" s="44"/>
      <c r="C50" s="44"/>
      <c r="D50" s="44"/>
      <c r="E50" s="44"/>
      <c r="F50" s="44"/>
      <c r="G50" s="44"/>
      <c r="H50" s="44" t="s">
        <v>105</v>
      </c>
      <c r="I50" s="266" t="e">
        <v>#REF!</v>
      </c>
      <c r="L50" s="45"/>
    </row>
    <row r="51" spans="1:12" ht="13.5" thickBot="1" x14ac:dyDescent="0.25">
      <c r="I51" s="107"/>
    </row>
    <row r="52" spans="1:12" ht="30.75" customHeight="1" thickBot="1" x14ac:dyDescent="0.25">
      <c r="H52" s="1286" t="s">
        <v>565</v>
      </c>
      <c r="I52" s="1287">
        <v>567107.88749999995</v>
      </c>
    </row>
  </sheetData>
  <mergeCells count="6">
    <mergeCell ref="B42:H42"/>
    <mergeCell ref="C4:E4"/>
    <mergeCell ref="F4:H4"/>
    <mergeCell ref="B35:H35"/>
    <mergeCell ref="B40:H40"/>
    <mergeCell ref="A5:B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191"/>
  <sheetViews>
    <sheetView showGridLines="0" zoomScale="112" zoomScaleNormal="112" workbookViewId="0"/>
  </sheetViews>
  <sheetFormatPr defaultColWidth="11.42578125" defaultRowHeight="11.25" x14ac:dyDescent="0.2"/>
  <cols>
    <col min="1" max="1" width="9" style="332" customWidth="1"/>
    <col min="2" max="2" width="11.7109375" style="332" customWidth="1"/>
    <col min="3" max="3" width="10.5703125" style="332" customWidth="1"/>
    <col min="4" max="4" width="10.28515625" style="332" customWidth="1"/>
    <col min="5" max="5" width="10" style="332" customWidth="1"/>
    <col min="6" max="6" width="8.7109375" style="332" customWidth="1"/>
    <col min="7" max="7" width="10" style="332" customWidth="1"/>
    <col min="8" max="10" width="8.42578125" style="332" customWidth="1"/>
    <col min="11" max="11" width="11.140625" style="332" customWidth="1"/>
    <col min="12" max="12" width="10.7109375" style="332" customWidth="1"/>
    <col min="13" max="13" width="12.140625" style="332" customWidth="1"/>
    <col min="14" max="14" width="11.140625" style="332" customWidth="1"/>
    <col min="15" max="15" width="4.5703125" style="332" customWidth="1"/>
    <col min="16" max="16" width="20.140625" style="332" bestFit="1" customWidth="1"/>
    <col min="17" max="17" width="7.42578125" style="332" bestFit="1" customWidth="1"/>
    <col min="18" max="16384" width="11.42578125" style="332"/>
  </cols>
  <sheetData>
    <row r="1" spans="1:20" s="328" customFormat="1" ht="15.75" x14ac:dyDescent="0.25">
      <c r="A1" s="105" t="s">
        <v>624</v>
      </c>
      <c r="G1" s="329"/>
      <c r="H1" s="329"/>
      <c r="I1" s="329"/>
      <c r="J1" s="329"/>
      <c r="K1" s="329"/>
      <c r="L1" s="329"/>
      <c r="M1" s="329"/>
      <c r="N1" s="329"/>
      <c r="O1" s="329"/>
    </row>
    <row r="2" spans="1:20" s="328" customFormat="1" ht="15.75" x14ac:dyDescent="0.25">
      <c r="A2" s="105"/>
      <c r="G2" s="329"/>
      <c r="H2" s="329"/>
      <c r="I2" s="329"/>
      <c r="J2" s="329"/>
      <c r="K2" s="329"/>
      <c r="L2" s="329"/>
      <c r="M2" s="329"/>
      <c r="N2" s="329"/>
      <c r="O2" s="329"/>
    </row>
    <row r="3" spans="1:20" ht="13.5" customHeight="1" thickBot="1" x14ac:dyDescent="0.2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20" ht="12" hidden="1" thickBot="1" x14ac:dyDescent="0.25">
      <c r="B4" s="333"/>
      <c r="C4" s="330"/>
      <c r="D4" s="330"/>
      <c r="E4" s="330"/>
      <c r="F4" s="334">
        <v>1</v>
      </c>
      <c r="G4" s="335">
        <v>1</v>
      </c>
      <c r="H4" s="334"/>
      <c r="I4" s="334"/>
      <c r="J4" s="334"/>
      <c r="K4" s="336"/>
      <c r="L4" s="330"/>
      <c r="M4" s="330"/>
      <c r="N4" s="330"/>
    </row>
    <row r="5" spans="1:20" s="344" customFormat="1" ht="18.75" customHeight="1" x14ac:dyDescent="0.2">
      <c r="A5" s="337"/>
      <c r="B5" s="651" t="s">
        <v>22</v>
      </c>
      <c r="C5" s="1547" t="s">
        <v>663</v>
      </c>
      <c r="D5" s="339" t="s">
        <v>292</v>
      </c>
      <c r="E5" s="340" t="s">
        <v>197</v>
      </c>
      <c r="F5" s="340"/>
      <c r="G5" s="1538" t="s">
        <v>559</v>
      </c>
      <c r="H5" s="340" t="s">
        <v>200</v>
      </c>
      <c r="I5" s="1538" t="s">
        <v>563</v>
      </c>
      <c r="J5" s="1541" t="s">
        <v>562</v>
      </c>
      <c r="K5" s="341" t="s">
        <v>290</v>
      </c>
      <c r="L5" s="338" t="s">
        <v>294</v>
      </c>
      <c r="M5" s="668" t="s">
        <v>296</v>
      </c>
      <c r="N5" s="669" t="s">
        <v>296</v>
      </c>
      <c r="O5" s="332"/>
      <c r="P5" s="342"/>
      <c r="Q5" s="343"/>
    </row>
    <row r="6" spans="1:20" s="344" customFormat="1" ht="12" customHeight="1" x14ac:dyDescent="0.2">
      <c r="A6" s="345" t="s">
        <v>6</v>
      </c>
      <c r="B6" s="652"/>
      <c r="C6" s="1548"/>
      <c r="D6" s="346" t="s">
        <v>293</v>
      </c>
      <c r="E6" s="347" t="s">
        <v>198</v>
      </c>
      <c r="F6" s="347" t="s">
        <v>21</v>
      </c>
      <c r="G6" s="1539"/>
      <c r="H6" s="347" t="s">
        <v>199</v>
      </c>
      <c r="I6" s="1539"/>
      <c r="J6" s="1542"/>
      <c r="K6" s="348"/>
      <c r="L6" s="670" t="s">
        <v>295</v>
      </c>
      <c r="M6" s="671"/>
      <c r="N6" s="672" t="s">
        <v>328</v>
      </c>
      <c r="O6" s="332"/>
      <c r="P6" s="349" t="s">
        <v>241</v>
      </c>
      <c r="Q6" s="350">
        <v>2016</v>
      </c>
    </row>
    <row r="7" spans="1:20" s="344" customFormat="1" ht="19.5" customHeight="1" thickBot="1" x14ac:dyDescent="0.25">
      <c r="A7" s="351"/>
      <c r="B7" s="652">
        <v>2018</v>
      </c>
      <c r="C7" s="1549"/>
      <c r="D7" s="352"/>
      <c r="E7" s="353" t="s">
        <v>202</v>
      </c>
      <c r="F7" s="353"/>
      <c r="G7" s="1540"/>
      <c r="H7" s="353" t="s">
        <v>201</v>
      </c>
      <c r="I7" s="1540"/>
      <c r="J7" s="1543"/>
      <c r="K7" s="354"/>
      <c r="L7" s="355"/>
      <c r="M7" s="647"/>
      <c r="N7" s="356"/>
      <c r="O7" s="332"/>
      <c r="P7" s="357"/>
      <c r="Q7" s="358"/>
    </row>
    <row r="8" spans="1:20" ht="12" customHeight="1" x14ac:dyDescent="0.2">
      <c r="A8" s="359"/>
      <c r="B8" s="653">
        <v>1</v>
      </c>
      <c r="C8" s="360">
        <v>2</v>
      </c>
      <c r="D8" s="360" t="s">
        <v>291</v>
      </c>
      <c r="E8" s="361">
        <v>4</v>
      </c>
      <c r="F8" s="361">
        <v>5</v>
      </c>
      <c r="G8" s="361">
        <v>6</v>
      </c>
      <c r="H8" s="361">
        <v>7</v>
      </c>
      <c r="I8" s="1284">
        <v>8</v>
      </c>
      <c r="J8" s="1285" t="s">
        <v>561</v>
      </c>
      <c r="K8" s="362" t="s">
        <v>560</v>
      </c>
      <c r="L8" s="363">
        <v>11</v>
      </c>
      <c r="M8" s="648" t="s">
        <v>564</v>
      </c>
      <c r="N8" s="645">
        <v>12</v>
      </c>
      <c r="P8" s="364"/>
      <c r="Q8" s="365"/>
    </row>
    <row r="9" spans="1:20" ht="12.75" customHeight="1" thickBot="1" x14ac:dyDescent="0.25">
      <c r="A9" s="366"/>
      <c r="B9" s="654"/>
      <c r="C9" s="367"/>
      <c r="D9" s="367"/>
      <c r="E9" s="368"/>
      <c r="F9" s="368"/>
      <c r="G9" s="368"/>
      <c r="H9" s="368"/>
      <c r="I9" s="369"/>
      <c r="J9" s="646"/>
      <c r="K9" s="369"/>
      <c r="L9" s="370"/>
      <c r="M9" s="649"/>
      <c r="N9" s="371"/>
      <c r="P9" s="364"/>
      <c r="Q9" s="365"/>
    </row>
    <row r="10" spans="1:20" ht="12.75" customHeight="1" x14ac:dyDescent="0.2">
      <c r="A10" s="359" t="s">
        <v>7</v>
      </c>
      <c r="B10" s="655">
        <v>369533.4</v>
      </c>
      <c r="C10" s="372">
        <v>-2094.6953087123939</v>
      </c>
      <c r="D10" s="372">
        <f>B10+C10</f>
        <v>367438.70469128765</v>
      </c>
      <c r="E10" s="373">
        <v>582747.14511733665</v>
      </c>
      <c r="F10" s="374">
        <f>E10/$E$27</f>
        <v>0.17684741385378905</v>
      </c>
      <c r="G10" s="373">
        <f>F10*'str4'!$I$52</f>
        <v>100291.56328046053</v>
      </c>
      <c r="H10" s="374">
        <f>IF(E10=0,0,G10/E10)</f>
        <v>0.1721013378113877</v>
      </c>
      <c r="I10" s="373">
        <v>489.83257818962562</v>
      </c>
      <c r="J10" s="1009">
        <f>G10+I10</f>
        <v>100781.39585865015</v>
      </c>
      <c r="K10" s="1360">
        <f>D10-J10</f>
        <v>266657.3088326375</v>
      </c>
      <c r="L10" s="405">
        <v>-9023.3058413109065</v>
      </c>
      <c r="M10" s="650">
        <f>K10+L10</f>
        <v>257634.00299132659</v>
      </c>
      <c r="N10" s="1008">
        <f>ROUND(M10,1)</f>
        <v>257634</v>
      </c>
      <c r="P10" s="375" t="s">
        <v>360</v>
      </c>
      <c r="Q10" s="376">
        <f>'příl.1 - cp 2018'!K7</f>
        <v>121000</v>
      </c>
      <c r="S10" s="418">
        <v>-1</v>
      </c>
      <c r="T10" s="658"/>
    </row>
    <row r="11" spans="1:20" ht="12.75" customHeight="1" x14ac:dyDescent="0.2">
      <c r="A11" s="377" t="s">
        <v>8</v>
      </c>
      <c r="B11" s="655">
        <v>373707.2</v>
      </c>
      <c r="C11" s="378">
        <v>4367.5457770161229</v>
      </c>
      <c r="D11" s="378">
        <f t="shared" ref="D11:D26" si="0">B11+C11</f>
        <v>378074.74577701616</v>
      </c>
      <c r="E11" s="379">
        <v>473117.85164622008</v>
      </c>
      <c r="F11" s="380">
        <f t="shared" ref="F11:F26" si="1">E11/$E$27</f>
        <v>0.14357799812961364</v>
      </c>
      <c r="G11" s="379">
        <f>F11*'str4'!$I$52</f>
        <v>81424.21521076413</v>
      </c>
      <c r="H11" s="380">
        <f t="shared" ref="H11:H26" si="2">IF(E11=0,0,G11/E11)</f>
        <v>0.1721013378113877</v>
      </c>
      <c r="I11" s="379">
        <v>1202.3158865697708</v>
      </c>
      <c r="J11" s="1010">
        <f t="shared" ref="J11:J26" si="3">G11+I11</f>
        <v>82626.531097333907</v>
      </c>
      <c r="K11" s="1361">
        <f t="shared" ref="K11:K26" si="4">D11-J11</f>
        <v>295448.21467968228</v>
      </c>
      <c r="L11" s="405">
        <v>-10259.961823006783</v>
      </c>
      <c r="M11" s="650">
        <f>K11+L11</f>
        <v>285188.25285667548</v>
      </c>
      <c r="N11" s="1008">
        <f t="shared" ref="N11:N26" si="5">ROUND(M11,1)</f>
        <v>285188.3</v>
      </c>
      <c r="P11" s="382" t="s">
        <v>250</v>
      </c>
      <c r="Q11" s="383">
        <f>'příl.1 - cp 2018'!K13</f>
        <v>2830</v>
      </c>
      <c r="S11" s="418"/>
      <c r="T11" s="658"/>
    </row>
    <row r="12" spans="1:20" ht="12.75" customHeight="1" x14ac:dyDescent="0.2">
      <c r="A12" s="377" t="s">
        <v>9</v>
      </c>
      <c r="B12" s="655">
        <v>137950.1</v>
      </c>
      <c r="C12" s="378">
        <v>1863.8254324512195</v>
      </c>
      <c r="D12" s="378">
        <f>B12+C12</f>
        <v>139813.92543245121</v>
      </c>
      <c r="E12" s="379">
        <v>160707.38042333335</v>
      </c>
      <c r="F12" s="380">
        <f t="shared" si="1"/>
        <v>4.8770182493748676E-2</v>
      </c>
      <c r="G12" s="379">
        <f>F12*'str4'!$I$52</f>
        <v>27657.955167019292</v>
      </c>
      <c r="H12" s="380">
        <f t="shared" si="2"/>
        <v>0.17210133781138773</v>
      </c>
      <c r="I12" s="379">
        <v>502.45996413161947</v>
      </c>
      <c r="J12" s="1010">
        <f t="shared" si="3"/>
        <v>28160.415131150912</v>
      </c>
      <c r="K12" s="1361">
        <f t="shared" si="4"/>
        <v>111653.5103013003</v>
      </c>
      <c r="L12" s="405">
        <v>-6793.0189828448347</v>
      </c>
      <c r="M12" s="650">
        <f t="shared" ref="M12:M26" si="6">K12+L12</f>
        <v>104860.49131845546</v>
      </c>
      <c r="N12" s="1008">
        <f t="shared" si="5"/>
        <v>104860.5</v>
      </c>
      <c r="P12" s="382" t="s">
        <v>178</v>
      </c>
      <c r="Q12" s="383">
        <f>'příl.1 - cp 2018'!K26</f>
        <v>0</v>
      </c>
      <c r="S12" s="418"/>
      <c r="T12" s="658"/>
    </row>
    <row r="13" spans="1:20" ht="12.75" customHeight="1" x14ac:dyDescent="0.2">
      <c r="A13" s="377" t="s">
        <v>10</v>
      </c>
      <c r="B13" s="655">
        <v>168837.4</v>
      </c>
      <c r="C13" s="378">
        <v>-3818.6723713431966</v>
      </c>
      <c r="D13" s="378">
        <f t="shared" si="0"/>
        <v>165018.72762865681</v>
      </c>
      <c r="E13" s="379">
        <v>228501.64412668659</v>
      </c>
      <c r="F13" s="380">
        <f t="shared" si="1"/>
        <v>6.934384005777805E-2</v>
      </c>
      <c r="G13" s="379">
        <f>F13*'str4'!$I$52</f>
        <v>39325.438646304385</v>
      </c>
      <c r="H13" s="380">
        <f t="shared" si="2"/>
        <v>0.1721013378113877</v>
      </c>
      <c r="I13" s="379">
        <v>435.10739528454002</v>
      </c>
      <c r="J13" s="1010">
        <f t="shared" si="3"/>
        <v>39760.546041588925</v>
      </c>
      <c r="K13" s="1361">
        <f t="shared" si="4"/>
        <v>125258.18158706788</v>
      </c>
      <c r="L13" s="405">
        <v>-4839.7554435448164</v>
      </c>
      <c r="M13" s="650">
        <f t="shared" si="6"/>
        <v>120418.42614352307</v>
      </c>
      <c r="N13" s="1008">
        <f t="shared" si="5"/>
        <v>120418.4</v>
      </c>
      <c r="P13" s="382" t="s">
        <v>163</v>
      </c>
      <c r="Q13" s="383">
        <f>'příl.1 - cp 2018'!K27-'příl.1 - cp 2018'!K92</f>
        <v>195232.25</v>
      </c>
      <c r="S13" s="418"/>
      <c r="T13" s="658"/>
    </row>
    <row r="14" spans="1:20" ht="12.75" customHeight="1" x14ac:dyDescent="0.2">
      <c r="A14" s="377" t="s">
        <v>11</v>
      </c>
      <c r="B14" s="655">
        <v>412886.3</v>
      </c>
      <c r="C14" s="378">
        <v>-113.37666285931118</v>
      </c>
      <c r="D14" s="378">
        <f t="shared" si="0"/>
        <v>412772.9233371407</v>
      </c>
      <c r="E14" s="379">
        <v>816606.52216542664</v>
      </c>
      <c r="F14" s="380">
        <f t="shared" si="1"/>
        <v>0.24781717558138278</v>
      </c>
      <c r="G14" s="379">
        <f>F14*'str4'!$I$52</f>
        <v>140539.07493017457</v>
      </c>
      <c r="H14" s="380">
        <f t="shared" si="2"/>
        <v>0.17210133781138773</v>
      </c>
      <c r="I14" s="379">
        <v>920.17952880249322</v>
      </c>
      <c r="J14" s="1010">
        <f t="shared" si="3"/>
        <v>141459.25445897706</v>
      </c>
      <c r="K14" s="1361">
        <f t="shared" si="4"/>
        <v>271313.66887816368</v>
      </c>
      <c r="L14" s="405">
        <v>-6956.976741336608</v>
      </c>
      <c r="M14" s="650">
        <f t="shared" si="6"/>
        <v>264356.69213682704</v>
      </c>
      <c r="N14" s="1008">
        <f t="shared" si="5"/>
        <v>264356.7</v>
      </c>
      <c r="P14" s="382" t="s">
        <v>33</v>
      </c>
      <c r="Q14" s="383">
        <f>'příl.1 - cp 2018'!K92</f>
        <v>15000</v>
      </c>
      <c r="S14" s="418"/>
      <c r="T14" s="658"/>
    </row>
    <row r="15" spans="1:20" ht="12.75" customHeight="1" x14ac:dyDescent="0.2">
      <c r="A15" s="377" t="s">
        <v>12</v>
      </c>
      <c r="B15" s="655">
        <v>150526.29999999999</v>
      </c>
      <c r="C15" s="378">
        <v>-7382.9762237448485</v>
      </c>
      <c r="D15" s="378">
        <f t="shared" si="0"/>
        <v>143143.32377625513</v>
      </c>
      <c r="E15" s="379">
        <v>207991.83600338886</v>
      </c>
      <c r="F15" s="380">
        <f t="shared" si="1"/>
        <v>6.3119688544324787E-2</v>
      </c>
      <c r="G15" s="379">
        <f>F15*'str4'!$I$52</f>
        <v>35795.673230029977</v>
      </c>
      <c r="H15" s="380">
        <f t="shared" si="2"/>
        <v>0.1721013378113877</v>
      </c>
      <c r="I15" s="379">
        <v>410.61726029666386</v>
      </c>
      <c r="J15" s="1010">
        <f t="shared" si="3"/>
        <v>36206.290490326639</v>
      </c>
      <c r="K15" s="1361">
        <f t="shared" si="4"/>
        <v>106937.03328592848</v>
      </c>
      <c r="L15" s="405">
        <v>-3514.6635714722029</v>
      </c>
      <c r="M15" s="650">
        <f t="shared" si="6"/>
        <v>103422.36971445628</v>
      </c>
      <c r="N15" s="1008">
        <f t="shared" si="5"/>
        <v>103422.39999999999</v>
      </c>
      <c r="P15" s="382" t="s">
        <v>72</v>
      </c>
      <c r="Q15" s="383">
        <f>'příl.1 - cp 2018'!K160</f>
        <v>238774</v>
      </c>
      <c r="S15" s="418"/>
      <c r="T15" s="658"/>
    </row>
    <row r="16" spans="1:20" ht="12.75" customHeight="1" x14ac:dyDescent="0.2">
      <c r="A16" s="377" t="s">
        <v>13</v>
      </c>
      <c r="B16" s="655">
        <v>211177.8</v>
      </c>
      <c r="C16" s="378">
        <v>9102.7223872069244</v>
      </c>
      <c r="D16" s="378">
        <f t="shared" si="0"/>
        <v>220280.5223872069</v>
      </c>
      <c r="E16" s="379">
        <v>261045.08473422338</v>
      </c>
      <c r="F16" s="380">
        <f t="shared" si="1"/>
        <v>7.921986151505768E-2</v>
      </c>
      <c r="G16" s="379">
        <f>F16*'str4'!$I$52</f>
        <v>44926.208311846909</v>
      </c>
      <c r="H16" s="380">
        <f t="shared" si="2"/>
        <v>0.17210133781138773</v>
      </c>
      <c r="I16" s="379">
        <v>679.82434308987763</v>
      </c>
      <c r="J16" s="1010">
        <f t="shared" si="3"/>
        <v>45606.032654936789</v>
      </c>
      <c r="K16" s="1361">
        <f t="shared" si="4"/>
        <v>174674.48973227013</v>
      </c>
      <c r="L16" s="405">
        <v>-6447.8287714105154</v>
      </c>
      <c r="M16" s="650">
        <f t="shared" si="6"/>
        <v>168226.66096085962</v>
      </c>
      <c r="N16" s="1008">
        <f t="shared" si="5"/>
        <v>168226.7</v>
      </c>
      <c r="P16" s="382"/>
      <c r="Q16" s="383"/>
      <c r="S16" s="418"/>
      <c r="T16" s="658"/>
    </row>
    <row r="17" spans="1:20" ht="12.75" customHeight="1" x14ac:dyDescent="0.2">
      <c r="A17" s="377" t="s">
        <v>14</v>
      </c>
      <c r="B17" s="655">
        <v>81235.600000000006</v>
      </c>
      <c r="C17" s="378">
        <v>-5010.5281020367202</v>
      </c>
      <c r="D17" s="378">
        <f t="shared" si="0"/>
        <v>76225.07189796328</v>
      </c>
      <c r="E17" s="379">
        <v>77958.148425933323</v>
      </c>
      <c r="F17" s="380">
        <f t="shared" si="1"/>
        <v>2.3658111504227412E-2</v>
      </c>
      <c r="G17" s="379">
        <f>F17*'str4'!$I$52</f>
        <v>13416.701637401855</v>
      </c>
      <c r="H17" s="380">
        <f t="shared" si="2"/>
        <v>0.17210133781138773</v>
      </c>
      <c r="I17" s="379">
        <v>210.26682644346224</v>
      </c>
      <c r="J17" s="1010">
        <f t="shared" si="3"/>
        <v>13626.968463845316</v>
      </c>
      <c r="K17" s="1361">
        <f t="shared" si="4"/>
        <v>62598.103434117962</v>
      </c>
      <c r="L17" s="405">
        <v>-1119.0822646111628</v>
      </c>
      <c r="M17" s="650">
        <f t="shared" si="6"/>
        <v>61479.021169506799</v>
      </c>
      <c r="N17" s="1008">
        <f t="shared" si="5"/>
        <v>61479</v>
      </c>
      <c r="P17" s="382"/>
      <c r="Q17" s="383"/>
      <c r="S17" s="418"/>
      <c r="T17" s="658"/>
    </row>
    <row r="18" spans="1:20" ht="12.75" customHeight="1" x14ac:dyDescent="0.2">
      <c r="A18" s="377" t="s">
        <v>15</v>
      </c>
      <c r="B18" s="655">
        <v>143149.6</v>
      </c>
      <c r="C18" s="378">
        <v>3086.1550720222058</v>
      </c>
      <c r="D18" s="378">
        <f t="shared" si="0"/>
        <v>146235.75507202221</v>
      </c>
      <c r="E18" s="379">
        <v>154086.17981657659</v>
      </c>
      <c r="F18" s="380">
        <f t="shared" si="1"/>
        <v>4.6760833818730627E-2</v>
      </c>
      <c r="G18" s="379">
        <f>F18*'str4'!$I$52</f>
        <v>26518.43768467888</v>
      </c>
      <c r="H18" s="380">
        <f t="shared" si="2"/>
        <v>0.17210133781138773</v>
      </c>
      <c r="I18" s="379">
        <v>444.12365038030077</v>
      </c>
      <c r="J18" s="1010">
        <f t="shared" si="3"/>
        <v>26962.561335059181</v>
      </c>
      <c r="K18" s="1361">
        <f t="shared" si="4"/>
        <v>119273.19373696303</v>
      </c>
      <c r="L18" s="405">
        <v>-8743.7995604621738</v>
      </c>
      <c r="M18" s="650">
        <f t="shared" si="6"/>
        <v>110529.39417650086</v>
      </c>
      <c r="N18" s="1008">
        <f t="shared" si="5"/>
        <v>110529.4</v>
      </c>
      <c r="P18" s="384"/>
      <c r="Q18" s="385"/>
      <c r="S18" s="418"/>
      <c r="T18" s="658"/>
    </row>
    <row r="19" spans="1:20" ht="12.75" customHeight="1" x14ac:dyDescent="0.2">
      <c r="A19" s="377" t="s">
        <v>191</v>
      </c>
      <c r="B19" s="655"/>
      <c r="C19" s="378"/>
      <c r="D19" s="378">
        <f>B19+C19</f>
        <v>0</v>
      </c>
      <c r="E19" s="379"/>
      <c r="F19" s="380">
        <f t="shared" si="1"/>
        <v>0</v>
      </c>
      <c r="G19" s="379">
        <f>F19*'str4'!$I$52</f>
        <v>0</v>
      </c>
      <c r="H19" s="380">
        <f t="shared" si="2"/>
        <v>0</v>
      </c>
      <c r="I19" s="379"/>
      <c r="J19" s="1010">
        <f t="shared" si="3"/>
        <v>0</v>
      </c>
      <c r="K19" s="379">
        <f t="shared" si="4"/>
        <v>0</v>
      </c>
      <c r="L19" s="761">
        <v>21698.392999999996</v>
      </c>
      <c r="M19" s="650">
        <f t="shared" si="6"/>
        <v>21698.392999999996</v>
      </c>
      <c r="N19" s="1008">
        <f t="shared" si="5"/>
        <v>21698.400000000001</v>
      </c>
      <c r="P19" s="386"/>
      <c r="Q19" s="387"/>
      <c r="S19" s="418"/>
    </row>
    <row r="20" spans="1:20" ht="12.75" customHeight="1" thickBot="1" x14ac:dyDescent="0.25">
      <c r="A20" s="377" t="s">
        <v>24</v>
      </c>
      <c r="B20" s="655"/>
      <c r="C20" s="378"/>
      <c r="D20" s="378">
        <f t="shared" si="0"/>
        <v>0</v>
      </c>
      <c r="E20" s="379"/>
      <c r="F20" s="380">
        <f t="shared" si="1"/>
        <v>0</v>
      </c>
      <c r="G20" s="379">
        <f>F20*'str4'!$I$52</f>
        <v>0</v>
      </c>
      <c r="H20" s="380">
        <f t="shared" si="2"/>
        <v>0</v>
      </c>
      <c r="I20" s="379"/>
      <c r="J20" s="1010">
        <f t="shared" si="3"/>
        <v>0</v>
      </c>
      <c r="K20" s="379">
        <f t="shared" si="4"/>
        <v>0</v>
      </c>
      <c r="L20" s="761">
        <v>36000.000000000007</v>
      </c>
      <c r="M20" s="650">
        <f t="shared" si="6"/>
        <v>36000.000000000007</v>
      </c>
      <c r="N20" s="1008">
        <f t="shared" si="5"/>
        <v>36000</v>
      </c>
      <c r="P20" s="388" t="s">
        <v>242</v>
      </c>
      <c r="Q20" s="739">
        <f>SUM(Q10:Q18)</f>
        <v>572836.25</v>
      </c>
    </row>
    <row r="21" spans="1:20" ht="12.75" customHeight="1" x14ac:dyDescent="0.2">
      <c r="A21" s="390" t="s">
        <v>196</v>
      </c>
      <c r="B21" s="655">
        <v>31812.5</v>
      </c>
      <c r="C21" s="378"/>
      <c r="D21" s="378">
        <f t="shared" si="0"/>
        <v>31812.5</v>
      </c>
      <c r="E21" s="379">
        <v>303419.96814000007</v>
      </c>
      <c r="F21" s="380">
        <f t="shared" si="1"/>
        <v>9.2079450112713609E-2</v>
      </c>
      <c r="G21" s="379">
        <f>F21*'str4'!$I$52</f>
        <v>52218.982435582649</v>
      </c>
      <c r="H21" s="380">
        <f t="shared" si="2"/>
        <v>0.1721013378113877</v>
      </c>
      <c r="I21" s="379">
        <v>248.80422783468134</v>
      </c>
      <c r="J21" s="1010">
        <f t="shared" si="3"/>
        <v>52467.786663417333</v>
      </c>
      <c r="K21" s="379">
        <f t="shared" si="4"/>
        <v>-20655.286663417333</v>
      </c>
      <c r="L21" s="381"/>
      <c r="M21" s="678">
        <f t="shared" si="6"/>
        <v>-20655.286663417333</v>
      </c>
      <c r="N21" s="1289">
        <f t="shared" si="5"/>
        <v>-20655.3</v>
      </c>
      <c r="P21" s="392"/>
      <c r="Q21" s="393"/>
    </row>
    <row r="22" spans="1:20" ht="12.75" customHeight="1" x14ac:dyDescent="0.2">
      <c r="A22" s="394" t="s">
        <v>100</v>
      </c>
      <c r="B22" s="655">
        <v>1347.8</v>
      </c>
      <c r="C22" s="378"/>
      <c r="D22" s="378">
        <f t="shared" si="0"/>
        <v>1347.8</v>
      </c>
      <c r="E22" s="391"/>
      <c r="F22" s="380">
        <f t="shared" si="1"/>
        <v>0</v>
      </c>
      <c r="G22" s="391">
        <f>F22*'str4'!$I$52</f>
        <v>0</v>
      </c>
      <c r="H22" s="380">
        <f t="shared" si="2"/>
        <v>0</v>
      </c>
      <c r="I22" s="391">
        <v>0</v>
      </c>
      <c r="J22" s="1010">
        <f t="shared" si="3"/>
        <v>0</v>
      </c>
      <c r="K22" s="391">
        <f t="shared" si="4"/>
        <v>1347.8</v>
      </c>
      <c r="L22" s="381"/>
      <c r="M22" s="678">
        <f t="shared" si="6"/>
        <v>1347.8</v>
      </c>
      <c r="N22" s="1289">
        <f t="shared" si="5"/>
        <v>1347.8</v>
      </c>
      <c r="P22" s="392"/>
      <c r="Q22" s="393"/>
    </row>
    <row r="23" spans="1:20" ht="12.75" customHeight="1" x14ac:dyDescent="0.2">
      <c r="A23" s="394" t="s">
        <v>129</v>
      </c>
      <c r="B23" s="655"/>
      <c r="C23" s="378"/>
      <c r="D23" s="378">
        <f t="shared" si="0"/>
        <v>0</v>
      </c>
      <c r="E23" s="391">
        <v>666.49033666666685</v>
      </c>
      <c r="F23" s="380">
        <f t="shared" si="1"/>
        <v>2.0226112368908918E-4</v>
      </c>
      <c r="G23" s="391">
        <f>F23*'str4'!$I$52</f>
        <v>114.70387857869557</v>
      </c>
      <c r="H23" s="380">
        <f t="shared" si="2"/>
        <v>0.17210133781138773</v>
      </c>
      <c r="I23" s="391">
        <v>9.1714354055376344</v>
      </c>
      <c r="J23" s="1010">
        <f t="shared" si="3"/>
        <v>123.8753139842332</v>
      </c>
      <c r="K23" s="391">
        <f t="shared" si="4"/>
        <v>-123.8753139842332</v>
      </c>
      <c r="L23" s="381"/>
      <c r="M23" s="678">
        <f t="shared" si="6"/>
        <v>-123.8753139842332</v>
      </c>
      <c r="N23" s="1289">
        <f t="shared" si="5"/>
        <v>-123.9</v>
      </c>
      <c r="P23" s="392"/>
      <c r="Q23" s="393"/>
    </row>
    <row r="24" spans="1:20" ht="12.75" customHeight="1" x14ac:dyDescent="0.2">
      <c r="A24" s="394" t="s">
        <v>17</v>
      </c>
      <c r="B24" s="655">
        <v>2232.6</v>
      </c>
      <c r="C24" s="378"/>
      <c r="D24" s="378">
        <f t="shared" si="0"/>
        <v>2232.6</v>
      </c>
      <c r="E24" s="391">
        <v>28349.187456666667</v>
      </c>
      <c r="F24" s="380">
        <f t="shared" si="1"/>
        <v>8.6031832649447072E-3</v>
      </c>
      <c r="G24" s="391">
        <f>F24*'str4'!$I$52</f>
        <v>4878.9330871581451</v>
      </c>
      <c r="H24" s="380">
        <f t="shared" si="2"/>
        <v>0.1721013378113877</v>
      </c>
      <c r="I24" s="391">
        <v>127.97562195983937</v>
      </c>
      <c r="J24" s="1010">
        <f t="shared" si="3"/>
        <v>5006.9087091179845</v>
      </c>
      <c r="K24" s="391">
        <f t="shared" si="4"/>
        <v>-2774.3087091179846</v>
      </c>
      <c r="L24" s="381"/>
      <c r="M24" s="678">
        <f t="shared" si="6"/>
        <v>-2774.3087091179846</v>
      </c>
      <c r="N24" s="1289">
        <f t="shared" si="5"/>
        <v>-2774.3</v>
      </c>
      <c r="P24" s="392"/>
      <c r="Q24" s="393"/>
    </row>
    <row r="25" spans="1:20" ht="12.75" customHeight="1" x14ac:dyDescent="0.2">
      <c r="A25" s="395" t="s">
        <v>209</v>
      </c>
      <c r="B25" s="655"/>
      <c r="C25" s="378"/>
      <c r="D25" s="378">
        <f t="shared" si="0"/>
        <v>0</v>
      </c>
      <c r="E25" s="391"/>
      <c r="F25" s="380">
        <f t="shared" si="1"/>
        <v>0</v>
      </c>
      <c r="G25" s="391">
        <f>F25*'str4'!$I$52</f>
        <v>0</v>
      </c>
      <c r="H25" s="380">
        <f t="shared" si="2"/>
        <v>0</v>
      </c>
      <c r="I25" s="391">
        <v>27.519395489604445</v>
      </c>
      <c r="J25" s="1010">
        <f t="shared" si="3"/>
        <v>27.519395489604445</v>
      </c>
      <c r="K25" s="391">
        <f t="shared" si="4"/>
        <v>-27.519395489604445</v>
      </c>
      <c r="L25" s="381"/>
      <c r="M25" s="678">
        <f t="shared" si="6"/>
        <v>-27.519395489604445</v>
      </c>
      <c r="N25" s="1289">
        <f t="shared" si="5"/>
        <v>-27.5</v>
      </c>
      <c r="P25" s="392"/>
      <c r="Q25" s="393"/>
    </row>
    <row r="26" spans="1:20" ht="12.75" customHeight="1" x14ac:dyDescent="0.2">
      <c r="A26" s="395" t="s">
        <v>212</v>
      </c>
      <c r="B26" s="655"/>
      <c r="C26" s="378"/>
      <c r="D26" s="378">
        <f t="shared" si="0"/>
        <v>0</v>
      </c>
      <c r="E26" s="391"/>
      <c r="F26" s="380">
        <f t="shared" si="1"/>
        <v>0</v>
      </c>
      <c r="G26" s="391">
        <f>F26*'str4'!$I$52</f>
        <v>0</v>
      </c>
      <c r="H26" s="380">
        <f t="shared" si="2"/>
        <v>0</v>
      </c>
      <c r="I26" s="391">
        <v>19.706795972808838</v>
      </c>
      <c r="J26" s="1011">
        <f t="shared" si="3"/>
        <v>19.706795972808838</v>
      </c>
      <c r="K26" s="391">
        <f t="shared" si="4"/>
        <v>-19.706795972808838</v>
      </c>
      <c r="L26" s="381"/>
      <c r="M26" s="678">
        <f t="shared" si="6"/>
        <v>-19.706795972808838</v>
      </c>
      <c r="N26" s="1289">
        <f t="shared" si="5"/>
        <v>-19.7</v>
      </c>
      <c r="P26" s="396"/>
      <c r="Q26" s="393"/>
    </row>
    <row r="27" spans="1:20" ht="12.75" customHeight="1" thickBot="1" x14ac:dyDescent="0.25">
      <c r="A27" s="397" t="s">
        <v>194</v>
      </c>
      <c r="B27" s="656">
        <f t="shared" ref="B27:G27" si="7">SUM(B10:B26)</f>
        <v>2084396.6000000006</v>
      </c>
      <c r="C27" s="398">
        <f t="shared" si="7"/>
        <v>0</v>
      </c>
      <c r="D27" s="398">
        <f t="shared" si="7"/>
        <v>2084396.5999999999</v>
      </c>
      <c r="E27" s="399">
        <f t="shared" si="7"/>
        <v>3295197.4383924585</v>
      </c>
      <c r="F27" s="400">
        <f t="shared" si="7"/>
        <v>0.99999999999999989</v>
      </c>
      <c r="G27" s="398">
        <f t="shared" si="7"/>
        <v>567107.88750000007</v>
      </c>
      <c r="H27" s="400">
        <f>IF(E27=0,0,G27/E27)</f>
        <v>0.17210133781138776</v>
      </c>
      <c r="I27" s="398">
        <f t="shared" ref="I27:N27" si="8">SUM(I10:I26)</f>
        <v>5727.9049098508258</v>
      </c>
      <c r="J27" s="1288">
        <f t="shared" si="8"/>
        <v>572835.79240985087</v>
      </c>
      <c r="K27" s="398">
        <f t="shared" si="8"/>
        <v>1511560.8075901491</v>
      </c>
      <c r="L27" s="401">
        <f t="shared" si="8"/>
        <v>0</v>
      </c>
      <c r="M27" s="679">
        <f t="shared" si="8"/>
        <v>1511560.8075901491</v>
      </c>
      <c r="N27" s="677">
        <f t="shared" si="8"/>
        <v>1511560.9</v>
      </c>
      <c r="P27" s="402"/>
      <c r="Q27" s="403"/>
      <c r="R27" s="403"/>
      <c r="S27" s="418"/>
    </row>
    <row r="28" spans="1:20" ht="12" customHeight="1" x14ac:dyDescent="0.2">
      <c r="A28" s="404" t="s">
        <v>261</v>
      </c>
      <c r="B28" s="403"/>
      <c r="C28" s="403"/>
      <c r="D28" s="403"/>
      <c r="E28" s="403"/>
      <c r="F28" s="403"/>
      <c r="G28" s="405"/>
      <c r="H28" s="403"/>
      <c r="I28" s="403"/>
      <c r="J28" s="403"/>
      <c r="K28" s="1400"/>
      <c r="L28" s="403"/>
      <c r="M28" s="47"/>
      <c r="N28" s="657"/>
      <c r="P28" s="403"/>
    </row>
    <row r="29" spans="1:20" ht="12.75" customHeight="1" x14ac:dyDescent="0.2">
      <c r="A29" s="404"/>
      <c r="B29" s="403"/>
      <c r="C29" s="403"/>
      <c r="D29" s="403"/>
      <c r="E29" s="403"/>
      <c r="F29" s="403"/>
      <c r="G29" s="405"/>
      <c r="M29" s="658"/>
      <c r="N29" s="418"/>
      <c r="P29" s="403"/>
    </row>
    <row r="30" spans="1:20" ht="12.75" customHeight="1" x14ac:dyDescent="0.2">
      <c r="A30" s="47"/>
      <c r="B30" s="47"/>
      <c r="C30" s="47"/>
      <c r="D30" s="47"/>
      <c r="E30" s="47"/>
      <c r="F30" s="47"/>
      <c r="G30" s="47"/>
      <c r="K30" s="418"/>
      <c r="N30" s="658"/>
      <c r="P30" s="403"/>
    </row>
    <row r="31" spans="1:20" ht="12" thickBot="1" x14ac:dyDescent="0.25">
      <c r="A31" s="47" t="s">
        <v>243</v>
      </c>
      <c r="B31" s="47"/>
      <c r="C31" s="47"/>
      <c r="D31" s="405"/>
      <c r="E31" s="405"/>
      <c r="F31" s="47"/>
      <c r="G31" s="47"/>
      <c r="H31" s="47"/>
      <c r="I31" s="47"/>
      <c r="J31" s="47"/>
      <c r="K31" s="405"/>
      <c r="L31" s="405"/>
      <c r="M31" s="405"/>
      <c r="N31" s="405"/>
      <c r="P31" s="403"/>
    </row>
    <row r="32" spans="1:20" ht="12.75" customHeight="1" x14ac:dyDescent="0.2">
      <c r="A32" s="406">
        <v>1</v>
      </c>
      <c r="B32" s="1545" t="s">
        <v>0</v>
      </c>
      <c r="C32" s="1545"/>
      <c r="D32" s="1545"/>
      <c r="E32" s="1545"/>
      <c r="F32" s="1545"/>
      <c r="G32" s="407">
        <f>'str1'!F7</f>
        <v>2084396.559824242</v>
      </c>
      <c r="H32" s="47"/>
      <c r="I32" s="47"/>
      <c r="J32" s="47"/>
      <c r="K32" s="47"/>
      <c r="L32" s="47"/>
      <c r="M32" s="47"/>
      <c r="N32" s="47"/>
      <c r="P32" s="403"/>
      <c r="Q32" s="403"/>
      <c r="R32" s="403"/>
    </row>
    <row r="33" spans="1:18" ht="13.5" customHeight="1" x14ac:dyDescent="0.2">
      <c r="A33" s="408">
        <v>2</v>
      </c>
      <c r="B33" s="1546" t="s">
        <v>359</v>
      </c>
      <c r="C33" s="1546"/>
      <c r="D33" s="1546"/>
      <c r="E33" s="1546"/>
      <c r="F33" s="1546"/>
      <c r="G33" s="177">
        <f>'příl.1 - cp 2018'!K7</f>
        <v>121000</v>
      </c>
      <c r="H33" s="47"/>
      <c r="I33" s="47"/>
      <c r="J33" s="47"/>
      <c r="K33" s="47"/>
      <c r="L33" s="47"/>
      <c r="M33" s="47"/>
      <c r="N33" s="47"/>
      <c r="O33" s="47"/>
      <c r="P33" s="403"/>
      <c r="Q33" s="403"/>
      <c r="R33" s="403"/>
    </row>
    <row r="34" spans="1:18" x14ac:dyDescent="0.2">
      <c r="A34" s="408">
        <v>3</v>
      </c>
      <c r="B34" s="1546" t="s">
        <v>220</v>
      </c>
      <c r="C34" s="1546"/>
      <c r="D34" s="1546"/>
      <c r="E34" s="1546"/>
      <c r="F34" s="1546"/>
      <c r="G34" s="177">
        <f>G32-G33</f>
        <v>1963396.559824242</v>
      </c>
      <c r="H34" s="47"/>
      <c r="I34" s="47"/>
      <c r="J34" s="47"/>
      <c r="K34" s="47"/>
      <c r="L34" s="47"/>
      <c r="M34" s="47"/>
      <c r="N34" s="47"/>
      <c r="O34" s="47"/>
      <c r="P34" s="403"/>
      <c r="Q34" s="403"/>
      <c r="R34" s="403"/>
    </row>
    <row r="35" spans="1:18" x14ac:dyDescent="0.2">
      <c r="A35" s="408">
        <v>4</v>
      </c>
      <c r="B35" s="1546" t="s">
        <v>645</v>
      </c>
      <c r="C35" s="1546"/>
      <c r="D35" s="1546"/>
      <c r="E35" s="1546"/>
      <c r="F35" s="1546"/>
      <c r="G35" s="676">
        <f>SUM(N10:N20)+N22</f>
        <v>1535161.5999999999</v>
      </c>
      <c r="H35" s="47"/>
      <c r="I35" s="47"/>
      <c r="J35" s="47"/>
      <c r="K35" s="47"/>
      <c r="L35" s="47"/>
      <c r="M35" s="47"/>
      <c r="N35" s="47"/>
      <c r="O35" s="47"/>
      <c r="P35" s="403"/>
      <c r="Q35" s="403"/>
      <c r="R35" s="403"/>
    </row>
    <row r="36" spans="1:18" x14ac:dyDescent="0.2">
      <c r="A36" s="408">
        <v>5</v>
      </c>
      <c r="B36" s="1546" t="s">
        <v>245</v>
      </c>
      <c r="C36" s="1546"/>
      <c r="D36" s="1546"/>
      <c r="E36" s="1546"/>
      <c r="F36" s="1546"/>
      <c r="G36" s="409">
        <f>G34-G35</f>
        <v>428234.95982424216</v>
      </c>
      <c r="H36" s="47"/>
      <c r="I36" s="47"/>
      <c r="J36" s="47"/>
      <c r="K36" s="47"/>
      <c r="L36" s="47"/>
      <c r="M36" s="47"/>
      <c r="N36" s="47"/>
      <c r="O36" s="47"/>
      <c r="P36" s="403"/>
      <c r="Q36" s="403"/>
      <c r="R36" s="403"/>
    </row>
    <row r="37" spans="1:18" x14ac:dyDescent="0.2">
      <c r="A37" s="408">
        <v>6</v>
      </c>
      <c r="B37" s="1546" t="s">
        <v>566</v>
      </c>
      <c r="C37" s="1546"/>
      <c r="D37" s="1546"/>
      <c r="E37" s="1546"/>
      <c r="F37" s="1546"/>
      <c r="G37" s="177">
        <f>J27-G33</f>
        <v>451835.79240985087</v>
      </c>
      <c r="H37" s="47"/>
      <c r="I37" s="47"/>
      <c r="J37" s="47"/>
      <c r="K37" s="47"/>
      <c r="L37" s="47"/>
      <c r="M37" s="47"/>
      <c r="N37" s="47"/>
      <c r="O37" s="47"/>
      <c r="P37" s="403"/>
      <c r="Q37" s="403"/>
      <c r="R37" s="403"/>
    </row>
    <row r="38" spans="1:18" x14ac:dyDescent="0.2">
      <c r="A38" s="408">
        <v>7</v>
      </c>
      <c r="B38" s="1546" t="s">
        <v>246</v>
      </c>
      <c r="C38" s="1546"/>
      <c r="D38" s="1546"/>
      <c r="E38" s="1546"/>
      <c r="F38" s="1546"/>
      <c r="G38" s="177">
        <f>G36-G37</f>
        <v>-23600.832585608703</v>
      </c>
      <c r="H38" s="47"/>
      <c r="I38" s="47"/>
      <c r="J38" s="47"/>
      <c r="K38" s="47"/>
      <c r="L38" s="47"/>
      <c r="M38" s="47"/>
      <c r="N38" s="47"/>
      <c r="O38" s="47"/>
      <c r="P38" s="403"/>
      <c r="Q38" s="403"/>
      <c r="R38" s="403"/>
    </row>
    <row r="39" spans="1:18" x14ac:dyDescent="0.2">
      <c r="A39" s="408">
        <v>8</v>
      </c>
      <c r="B39" s="1546" t="s">
        <v>244</v>
      </c>
      <c r="C39" s="1546"/>
      <c r="D39" s="1546"/>
      <c r="E39" s="1546"/>
      <c r="F39" s="1546"/>
      <c r="G39" s="177">
        <f>'příl.1 - cp 2018'!K172</f>
        <v>103807.00000000001</v>
      </c>
      <c r="H39" s="47"/>
      <c r="I39" s="47"/>
      <c r="J39" s="47"/>
      <c r="K39" s="47"/>
      <c r="L39" s="47"/>
      <c r="M39" s="47"/>
      <c r="N39" s="47"/>
      <c r="O39" s="47"/>
      <c r="P39" s="403"/>
      <c r="Q39" s="403"/>
      <c r="R39" s="403"/>
    </row>
    <row r="40" spans="1:18" x14ac:dyDescent="0.2">
      <c r="A40" s="408">
        <v>9</v>
      </c>
      <c r="B40" s="1546" t="s">
        <v>500</v>
      </c>
      <c r="C40" s="1546"/>
      <c r="D40" s="1546"/>
      <c r="E40" s="1546"/>
      <c r="F40" s="1546"/>
      <c r="G40" s="177">
        <f>G39+G38</f>
        <v>80206.167414391311</v>
      </c>
      <c r="H40" s="47"/>
      <c r="I40" s="47"/>
      <c r="J40" s="47"/>
      <c r="K40" s="47"/>
      <c r="L40" s="47"/>
      <c r="M40" s="47"/>
      <c r="N40" s="47"/>
      <c r="O40" s="47"/>
      <c r="P40" s="403"/>
      <c r="Q40" s="403"/>
      <c r="R40" s="403"/>
    </row>
    <row r="41" spans="1:18" ht="12" thickBot="1" x14ac:dyDescent="0.25">
      <c r="A41" s="410">
        <v>10</v>
      </c>
      <c r="B41" s="1544" t="s">
        <v>247</v>
      </c>
      <c r="C41" s="1544"/>
      <c r="D41" s="1544"/>
      <c r="E41" s="1544"/>
      <c r="F41" s="1544"/>
      <c r="G41" s="411">
        <f>-G38</f>
        <v>23600.832585608703</v>
      </c>
      <c r="H41" s="405"/>
      <c r="I41" s="405"/>
      <c r="J41" s="405"/>
      <c r="K41" s="47"/>
      <c r="L41" s="47"/>
      <c r="M41" s="47"/>
      <c r="N41" s="47"/>
      <c r="O41" s="47"/>
      <c r="P41" s="403"/>
      <c r="Q41" s="403"/>
      <c r="R41" s="403"/>
    </row>
    <row r="42" spans="1:18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03"/>
      <c r="Q42" s="403"/>
      <c r="R42" s="403"/>
    </row>
    <row r="43" spans="1:18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8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8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53" spans="1:15" x14ac:dyDescent="0.2">
      <c r="E53" s="412"/>
    </row>
    <row r="54" spans="1:15" x14ac:dyDescent="0.2">
      <c r="E54" s="412"/>
    </row>
    <row r="55" spans="1:15" x14ac:dyDescent="0.2">
      <c r="E55" s="412"/>
    </row>
    <row r="56" spans="1:15" x14ac:dyDescent="0.2">
      <c r="E56" s="412"/>
    </row>
    <row r="57" spans="1:15" x14ac:dyDescent="0.2">
      <c r="E57" s="412"/>
    </row>
    <row r="58" spans="1:15" ht="15.75" x14ac:dyDescent="0.25">
      <c r="A58" s="413"/>
      <c r="B58" s="413"/>
      <c r="C58" s="328"/>
      <c r="D58" s="328"/>
      <c r="E58" s="329"/>
      <c r="F58" s="328"/>
      <c r="G58" s="328"/>
      <c r="H58" s="328"/>
      <c r="I58" s="328"/>
      <c r="J58" s="328"/>
      <c r="K58" s="328"/>
      <c r="L58" s="328"/>
      <c r="M58" s="328"/>
      <c r="N58" s="328"/>
      <c r="O58" s="328"/>
    </row>
    <row r="59" spans="1:15" x14ac:dyDescent="0.2">
      <c r="E59" s="412"/>
    </row>
    <row r="60" spans="1:15" x14ac:dyDescent="0.2">
      <c r="E60" s="412"/>
    </row>
    <row r="61" spans="1:15" x14ac:dyDescent="0.2">
      <c r="E61" s="412"/>
    </row>
    <row r="62" spans="1:15" x14ac:dyDescent="0.2">
      <c r="E62" s="412"/>
    </row>
    <row r="63" spans="1:15" x14ac:dyDescent="0.2">
      <c r="E63" s="412"/>
    </row>
    <row r="64" spans="1:15" x14ac:dyDescent="0.2">
      <c r="E64" s="412"/>
    </row>
    <row r="65" spans="1:5" x14ac:dyDescent="0.2">
      <c r="E65" s="412"/>
    </row>
    <row r="66" spans="1:5" x14ac:dyDescent="0.2">
      <c r="E66" s="412"/>
    </row>
    <row r="67" spans="1:5" x14ac:dyDescent="0.2">
      <c r="E67" s="412"/>
    </row>
    <row r="68" spans="1:5" x14ac:dyDescent="0.2">
      <c r="E68" s="412"/>
    </row>
    <row r="69" spans="1:5" x14ac:dyDescent="0.2">
      <c r="E69" s="412"/>
    </row>
    <row r="70" spans="1:5" x14ac:dyDescent="0.2">
      <c r="E70" s="412"/>
    </row>
    <row r="71" spans="1:5" x14ac:dyDescent="0.2">
      <c r="E71" s="412"/>
    </row>
    <row r="72" spans="1:5" x14ac:dyDescent="0.2">
      <c r="E72" s="412"/>
    </row>
    <row r="73" spans="1:5" x14ac:dyDescent="0.2">
      <c r="E73" s="412"/>
    </row>
    <row r="74" spans="1:5" x14ac:dyDescent="0.2">
      <c r="E74" s="412"/>
    </row>
    <row r="75" spans="1:5" x14ac:dyDescent="0.2">
      <c r="E75" s="412"/>
    </row>
    <row r="76" spans="1:5" x14ac:dyDescent="0.2">
      <c r="E76" s="412"/>
    </row>
    <row r="77" spans="1:5" x14ac:dyDescent="0.2">
      <c r="E77" s="412"/>
    </row>
    <row r="78" spans="1:5" x14ac:dyDescent="0.2">
      <c r="E78" s="412"/>
    </row>
    <row r="79" spans="1:5" ht="12.75" x14ac:dyDescent="0.2">
      <c r="A79" s="348"/>
      <c r="B79" s="348"/>
      <c r="C79" s="414"/>
      <c r="D79" s="414"/>
      <c r="E79" s="412"/>
    </row>
    <row r="80" spans="1:5" x14ac:dyDescent="0.2">
      <c r="A80" s="330"/>
      <c r="B80" s="330"/>
      <c r="C80" s="415"/>
      <c r="D80" s="415"/>
      <c r="E80" s="412"/>
    </row>
    <row r="81" spans="1:15" x14ac:dyDescent="0.2">
      <c r="A81" s="330"/>
      <c r="B81" s="330"/>
      <c r="C81" s="415"/>
      <c r="E81" s="412"/>
    </row>
    <row r="82" spans="1:15" x14ac:dyDescent="0.2">
      <c r="A82" s="414"/>
      <c r="B82" s="414"/>
      <c r="C82" s="415"/>
      <c r="E82" s="412"/>
    </row>
    <row r="83" spans="1:15" x14ac:dyDescent="0.2">
      <c r="A83" s="416"/>
      <c r="B83" s="416"/>
      <c r="C83" s="417"/>
      <c r="D83" s="417"/>
      <c r="E83" s="412"/>
      <c r="K83" s="418"/>
      <c r="L83" s="418"/>
      <c r="M83" s="418"/>
      <c r="N83" s="418"/>
      <c r="O83" s="418"/>
    </row>
    <row r="84" spans="1:15" x14ac:dyDescent="0.2">
      <c r="A84" s="416"/>
      <c r="B84" s="416"/>
      <c r="C84" s="417"/>
      <c r="D84" s="417"/>
      <c r="E84" s="412"/>
      <c r="K84" s="418"/>
      <c r="L84" s="418"/>
      <c r="M84" s="418"/>
      <c r="N84" s="418"/>
      <c r="O84" s="418"/>
    </row>
    <row r="85" spans="1:15" x14ac:dyDescent="0.2">
      <c r="A85" s="416"/>
      <c r="B85" s="416"/>
      <c r="C85" s="417"/>
      <c r="D85" s="417"/>
      <c r="E85" s="412"/>
      <c r="K85" s="418"/>
      <c r="L85" s="418"/>
      <c r="M85" s="418"/>
      <c r="N85" s="418"/>
      <c r="O85" s="418"/>
    </row>
    <row r="86" spans="1:15" x14ac:dyDescent="0.2">
      <c r="A86" s="416"/>
      <c r="B86" s="416"/>
      <c r="C86" s="417"/>
      <c r="D86" s="417"/>
      <c r="E86" s="412"/>
      <c r="K86" s="418"/>
      <c r="L86" s="418"/>
      <c r="M86" s="418"/>
      <c r="N86" s="418"/>
      <c r="O86" s="418"/>
    </row>
    <row r="87" spans="1:15" x14ac:dyDescent="0.2">
      <c r="A87" s="416"/>
      <c r="B87" s="416"/>
      <c r="C87" s="417"/>
      <c r="D87" s="417"/>
      <c r="E87" s="412"/>
      <c r="K87" s="418"/>
      <c r="L87" s="418"/>
      <c r="M87" s="418"/>
      <c r="N87" s="418"/>
      <c r="O87" s="418"/>
    </row>
    <row r="88" spans="1:15" x14ac:dyDescent="0.2">
      <c r="A88" s="416"/>
      <c r="B88" s="416"/>
      <c r="C88" s="417"/>
      <c r="D88" s="417"/>
      <c r="E88" s="412"/>
      <c r="K88" s="418"/>
      <c r="L88" s="418"/>
      <c r="M88" s="418"/>
      <c r="N88" s="418"/>
      <c r="O88" s="418"/>
    </row>
    <row r="89" spans="1:15" x14ac:dyDescent="0.2">
      <c r="A89" s="416"/>
      <c r="B89" s="416"/>
      <c r="C89" s="417"/>
      <c r="D89" s="417"/>
      <c r="E89" s="412"/>
      <c r="K89" s="418"/>
      <c r="L89" s="418"/>
      <c r="M89" s="418"/>
      <c r="N89" s="418"/>
      <c r="O89" s="418"/>
    </row>
    <row r="90" spans="1:15" x14ac:dyDescent="0.2">
      <c r="A90" s="416"/>
      <c r="B90" s="416"/>
      <c r="C90" s="417"/>
      <c r="D90" s="417"/>
      <c r="E90" s="412"/>
      <c r="F90" s="330"/>
      <c r="G90" s="330"/>
      <c r="K90" s="418"/>
      <c r="L90" s="418"/>
      <c r="M90" s="418"/>
      <c r="N90" s="418"/>
      <c r="O90" s="418"/>
    </row>
    <row r="91" spans="1:15" x14ac:dyDescent="0.2">
      <c r="A91" s="416"/>
      <c r="B91" s="416"/>
      <c r="C91" s="417"/>
      <c r="D91" s="417"/>
      <c r="E91" s="412"/>
      <c r="K91" s="418"/>
      <c r="L91" s="418"/>
      <c r="M91" s="418"/>
      <c r="N91" s="418"/>
      <c r="O91" s="418"/>
    </row>
    <row r="92" spans="1:15" x14ac:dyDescent="0.2">
      <c r="A92" s="416"/>
      <c r="B92" s="416"/>
      <c r="C92" s="417"/>
      <c r="D92" s="417"/>
      <c r="E92" s="412"/>
      <c r="K92" s="418"/>
      <c r="L92" s="418"/>
      <c r="M92" s="418"/>
      <c r="N92" s="418"/>
      <c r="O92" s="418"/>
    </row>
    <row r="93" spans="1:15" x14ac:dyDescent="0.2">
      <c r="C93" s="417"/>
      <c r="D93" s="417"/>
      <c r="E93" s="412"/>
    </row>
    <row r="94" spans="1:15" x14ac:dyDescent="0.2">
      <c r="E94" s="412"/>
    </row>
    <row r="95" spans="1:15" x14ac:dyDescent="0.2">
      <c r="E95" s="412"/>
    </row>
    <row r="109" spans="5:5" x14ac:dyDescent="0.2">
      <c r="E109" s="412"/>
    </row>
    <row r="110" spans="5:5" x14ac:dyDescent="0.2">
      <c r="E110" s="412"/>
    </row>
    <row r="111" spans="5:5" x14ac:dyDescent="0.2">
      <c r="E111" s="412"/>
    </row>
    <row r="112" spans="5:5" x14ac:dyDescent="0.2">
      <c r="E112" s="412"/>
    </row>
    <row r="113" spans="5:5" x14ac:dyDescent="0.2">
      <c r="E113" s="412"/>
    </row>
    <row r="114" spans="5:5" x14ac:dyDescent="0.2">
      <c r="E114" s="412"/>
    </row>
    <row r="115" spans="5:5" x14ac:dyDescent="0.2">
      <c r="E115" s="412"/>
    </row>
    <row r="116" spans="5:5" x14ac:dyDescent="0.2">
      <c r="E116" s="412"/>
    </row>
    <row r="117" spans="5:5" x14ac:dyDescent="0.2">
      <c r="E117" s="412"/>
    </row>
    <row r="118" spans="5:5" x14ac:dyDescent="0.2">
      <c r="E118" s="412"/>
    </row>
    <row r="119" spans="5:5" x14ac:dyDescent="0.2">
      <c r="E119" s="412"/>
    </row>
    <row r="120" spans="5:5" x14ac:dyDescent="0.2">
      <c r="E120" s="412"/>
    </row>
    <row r="121" spans="5:5" x14ac:dyDescent="0.2">
      <c r="E121" s="412"/>
    </row>
    <row r="122" spans="5:5" x14ac:dyDescent="0.2">
      <c r="E122" s="412"/>
    </row>
    <row r="123" spans="5:5" x14ac:dyDescent="0.2">
      <c r="E123" s="412"/>
    </row>
    <row r="124" spans="5:5" x14ac:dyDescent="0.2">
      <c r="E124" s="412"/>
    </row>
    <row r="125" spans="5:5" x14ac:dyDescent="0.2">
      <c r="E125" s="412"/>
    </row>
    <row r="126" spans="5:5" x14ac:dyDescent="0.2">
      <c r="E126" s="412"/>
    </row>
    <row r="127" spans="5:5" x14ac:dyDescent="0.2">
      <c r="E127" s="412"/>
    </row>
    <row r="128" spans="5:5" x14ac:dyDescent="0.2">
      <c r="E128" s="412"/>
    </row>
    <row r="129" spans="5:5" x14ac:dyDescent="0.2">
      <c r="E129" s="412"/>
    </row>
    <row r="130" spans="5:5" x14ac:dyDescent="0.2">
      <c r="E130" s="412"/>
    </row>
    <row r="131" spans="5:5" x14ac:dyDescent="0.2">
      <c r="E131" s="412"/>
    </row>
    <row r="132" spans="5:5" x14ac:dyDescent="0.2">
      <c r="E132" s="412"/>
    </row>
    <row r="133" spans="5:5" x14ac:dyDescent="0.2">
      <c r="E133" s="412"/>
    </row>
    <row r="134" spans="5:5" x14ac:dyDescent="0.2">
      <c r="E134" s="412"/>
    </row>
    <row r="135" spans="5:5" x14ac:dyDescent="0.2">
      <c r="E135" s="412"/>
    </row>
    <row r="136" spans="5:5" x14ac:dyDescent="0.2">
      <c r="E136" s="412"/>
    </row>
    <row r="137" spans="5:5" x14ac:dyDescent="0.2">
      <c r="E137" s="412"/>
    </row>
    <row r="138" spans="5:5" x14ac:dyDescent="0.2">
      <c r="E138" s="412"/>
    </row>
    <row r="139" spans="5:5" x14ac:dyDescent="0.2">
      <c r="E139" s="412"/>
    </row>
    <row r="140" spans="5:5" x14ac:dyDescent="0.2">
      <c r="E140" s="412"/>
    </row>
    <row r="141" spans="5:5" x14ac:dyDescent="0.2">
      <c r="E141" s="412"/>
    </row>
    <row r="142" spans="5:5" x14ac:dyDescent="0.2">
      <c r="E142" s="412"/>
    </row>
    <row r="143" spans="5:5" x14ac:dyDescent="0.2">
      <c r="E143" s="412"/>
    </row>
    <row r="144" spans="5:5" x14ac:dyDescent="0.2">
      <c r="E144" s="412"/>
    </row>
    <row r="145" spans="5:5" x14ac:dyDescent="0.2">
      <c r="E145" s="412"/>
    </row>
    <row r="146" spans="5:5" x14ac:dyDescent="0.2">
      <c r="E146" s="412"/>
    </row>
    <row r="147" spans="5:5" x14ac:dyDescent="0.2">
      <c r="E147" s="412"/>
    </row>
    <row r="148" spans="5:5" x14ac:dyDescent="0.2">
      <c r="E148" s="412"/>
    </row>
    <row r="149" spans="5:5" x14ac:dyDescent="0.2">
      <c r="E149" s="412"/>
    </row>
    <row r="150" spans="5:5" x14ac:dyDescent="0.2">
      <c r="E150" s="412"/>
    </row>
    <row r="151" spans="5:5" x14ac:dyDescent="0.2">
      <c r="E151" s="412"/>
    </row>
    <row r="152" spans="5:5" x14ac:dyDescent="0.2">
      <c r="E152" s="412"/>
    </row>
    <row r="153" spans="5:5" x14ac:dyDescent="0.2">
      <c r="E153" s="412"/>
    </row>
    <row r="154" spans="5:5" x14ac:dyDescent="0.2">
      <c r="E154" s="412"/>
    </row>
    <row r="155" spans="5:5" x14ac:dyDescent="0.2">
      <c r="E155" s="412"/>
    </row>
    <row r="156" spans="5:5" x14ac:dyDescent="0.2">
      <c r="E156" s="412"/>
    </row>
    <row r="157" spans="5:5" x14ac:dyDescent="0.2">
      <c r="E157" s="412"/>
    </row>
    <row r="158" spans="5:5" x14ac:dyDescent="0.2">
      <c r="E158" s="412"/>
    </row>
    <row r="159" spans="5:5" x14ac:dyDescent="0.2">
      <c r="E159" s="412"/>
    </row>
    <row r="160" spans="5:5" x14ac:dyDescent="0.2">
      <c r="E160" s="412"/>
    </row>
    <row r="161" spans="5:5" x14ac:dyDescent="0.2">
      <c r="E161" s="412"/>
    </row>
    <row r="162" spans="5:5" x14ac:dyDescent="0.2">
      <c r="E162" s="412"/>
    </row>
    <row r="163" spans="5:5" x14ac:dyDescent="0.2">
      <c r="E163" s="412"/>
    </row>
    <row r="164" spans="5:5" x14ac:dyDescent="0.2">
      <c r="E164" s="412"/>
    </row>
    <row r="165" spans="5:5" x14ac:dyDescent="0.2">
      <c r="E165" s="412"/>
    </row>
    <row r="166" spans="5:5" x14ac:dyDescent="0.2">
      <c r="E166" s="412"/>
    </row>
    <row r="167" spans="5:5" x14ac:dyDescent="0.2">
      <c r="E167" s="412"/>
    </row>
    <row r="168" spans="5:5" x14ac:dyDescent="0.2">
      <c r="E168" s="412"/>
    </row>
    <row r="169" spans="5:5" x14ac:dyDescent="0.2">
      <c r="E169" s="412"/>
    </row>
    <row r="170" spans="5:5" x14ac:dyDescent="0.2">
      <c r="E170" s="412"/>
    </row>
    <row r="171" spans="5:5" x14ac:dyDescent="0.2">
      <c r="E171" s="412"/>
    </row>
    <row r="172" spans="5:5" x14ac:dyDescent="0.2">
      <c r="E172" s="412"/>
    </row>
    <row r="173" spans="5:5" x14ac:dyDescent="0.2">
      <c r="E173" s="412"/>
    </row>
    <row r="174" spans="5:5" x14ac:dyDescent="0.2">
      <c r="E174" s="412"/>
    </row>
    <row r="175" spans="5:5" x14ac:dyDescent="0.2">
      <c r="E175" s="412"/>
    </row>
    <row r="176" spans="5:5" x14ac:dyDescent="0.2">
      <c r="E176" s="412"/>
    </row>
    <row r="177" spans="4:5" x14ac:dyDescent="0.2">
      <c r="E177" s="412"/>
    </row>
    <row r="178" spans="4:5" x14ac:dyDescent="0.2">
      <c r="E178" s="412"/>
    </row>
    <row r="179" spans="4:5" x14ac:dyDescent="0.2">
      <c r="E179" s="412"/>
    </row>
    <row r="180" spans="4:5" x14ac:dyDescent="0.2">
      <c r="E180" s="412"/>
    </row>
    <row r="181" spans="4:5" x14ac:dyDescent="0.2">
      <c r="E181" s="412"/>
    </row>
    <row r="182" spans="4:5" x14ac:dyDescent="0.2">
      <c r="E182" s="412"/>
    </row>
    <row r="183" spans="4:5" x14ac:dyDescent="0.2">
      <c r="E183" s="412"/>
    </row>
    <row r="184" spans="4:5" x14ac:dyDescent="0.2">
      <c r="E184" s="412"/>
    </row>
    <row r="185" spans="4:5" x14ac:dyDescent="0.2">
      <c r="E185" s="412"/>
    </row>
    <row r="186" spans="4:5" x14ac:dyDescent="0.2">
      <c r="E186" s="412"/>
    </row>
    <row r="187" spans="4:5" x14ac:dyDescent="0.2">
      <c r="E187" s="412"/>
    </row>
    <row r="188" spans="4:5" x14ac:dyDescent="0.2">
      <c r="D188" s="412"/>
    </row>
    <row r="189" spans="4:5" x14ac:dyDescent="0.2">
      <c r="D189" s="412"/>
    </row>
    <row r="190" spans="4:5" x14ac:dyDescent="0.2">
      <c r="D190" s="412"/>
    </row>
    <row r="191" spans="4:5" x14ac:dyDescent="0.2">
      <c r="D191" s="412"/>
    </row>
  </sheetData>
  <mergeCells count="14">
    <mergeCell ref="G5:G7"/>
    <mergeCell ref="J5:J7"/>
    <mergeCell ref="I5:I7"/>
    <mergeCell ref="B41:F4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C5:C7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10"/>
  </sheetPr>
  <dimension ref="A1:Y132"/>
  <sheetViews>
    <sheetView showGridLines="0" zoomScaleNormal="100" workbookViewId="0"/>
  </sheetViews>
  <sheetFormatPr defaultColWidth="11.42578125" defaultRowHeight="12.75" x14ac:dyDescent="0.2"/>
  <cols>
    <col min="1" max="1" width="4.5703125" style="33" customWidth="1"/>
    <col min="2" max="2" width="5" style="33" customWidth="1"/>
    <col min="3" max="3" width="17.5703125" style="33" customWidth="1"/>
    <col min="4" max="4" width="11.28515625" style="33" customWidth="1"/>
    <col min="5" max="5" width="10.140625" style="33" customWidth="1"/>
    <col min="6" max="6" width="9.42578125" style="33" customWidth="1"/>
    <col min="7" max="7" width="10.140625" style="33" customWidth="1"/>
    <col min="8" max="8" width="10.7109375" style="33" customWidth="1"/>
    <col min="9" max="9" width="9.28515625" style="33" customWidth="1"/>
    <col min="10" max="10" width="10.42578125" style="33" customWidth="1"/>
    <col min="11" max="11" width="11.28515625" style="33" customWidth="1"/>
    <col min="12" max="12" width="9.85546875" style="33" customWidth="1"/>
    <col min="13" max="13" width="10.28515625" style="419" customWidth="1"/>
    <col min="14" max="14" width="10" style="33" bestFit="1" customWidth="1"/>
    <col min="15" max="15" width="2.28515625" style="33" customWidth="1"/>
    <col min="16" max="17" width="8.7109375" style="33" customWidth="1"/>
    <col min="18" max="18" width="10.42578125" style="33" customWidth="1"/>
    <col min="19" max="19" width="14.140625" style="33" customWidth="1"/>
    <col min="20" max="20" width="11.85546875" style="33" customWidth="1"/>
    <col min="21" max="16384" width="11.42578125" style="33"/>
  </cols>
  <sheetData>
    <row r="1" spans="1:17" x14ac:dyDescent="0.2">
      <c r="A1" s="116" t="s">
        <v>173</v>
      </c>
      <c r="B1" s="106"/>
    </row>
    <row r="2" spans="1:17" x14ac:dyDescent="0.2">
      <c r="A2" s="106"/>
      <c r="B2" s="106"/>
      <c r="C2" s="420"/>
    </row>
    <row r="3" spans="1:17" ht="13.5" thickBot="1" x14ac:dyDescent="0.25">
      <c r="A3" s="106" t="s">
        <v>326</v>
      </c>
      <c r="B3" s="106"/>
    </row>
    <row r="4" spans="1:17" x14ac:dyDescent="0.2">
      <c r="A4" s="109"/>
      <c r="B4" s="421"/>
      <c r="C4" s="278"/>
      <c r="D4" s="1550">
        <v>2018</v>
      </c>
      <c r="E4" s="1551"/>
      <c r="F4" s="1551"/>
      <c r="G4" s="1552"/>
      <c r="H4" s="1553">
        <v>2017</v>
      </c>
      <c r="I4" s="1554"/>
      <c r="J4" s="1554"/>
      <c r="K4" s="1555"/>
      <c r="M4" s="33"/>
      <c r="N4" s="419"/>
    </row>
    <row r="5" spans="1:17" x14ac:dyDescent="0.2">
      <c r="A5" s="422"/>
      <c r="B5" s="41"/>
      <c r="C5" s="42"/>
      <c r="D5" s="605" t="s">
        <v>135</v>
      </c>
      <c r="E5" s="1556" t="s">
        <v>180</v>
      </c>
      <c r="F5" s="1556"/>
      <c r="G5" s="606" t="s">
        <v>219</v>
      </c>
      <c r="H5" s="744" t="s">
        <v>135</v>
      </c>
      <c r="I5" s="1556" t="s">
        <v>31</v>
      </c>
      <c r="J5" s="1556"/>
      <c r="K5" s="813"/>
      <c r="M5" s="33"/>
      <c r="N5" s="419"/>
    </row>
    <row r="6" spans="1:17" x14ac:dyDescent="0.2">
      <c r="A6" s="422"/>
      <c r="B6" s="41" t="s">
        <v>36</v>
      </c>
      <c r="C6" s="42"/>
      <c r="D6" s="608" t="s">
        <v>136</v>
      </c>
      <c r="E6" s="303" t="s">
        <v>172</v>
      </c>
      <c r="F6" s="423" t="s">
        <v>65</v>
      </c>
      <c r="G6" s="609" t="s">
        <v>254</v>
      </c>
      <c r="H6" s="607" t="s">
        <v>136</v>
      </c>
      <c r="I6" s="303" t="s">
        <v>172</v>
      </c>
      <c r="J6" s="423" t="s">
        <v>65</v>
      </c>
      <c r="K6" s="801" t="s">
        <v>105</v>
      </c>
      <c r="L6" s="167"/>
      <c r="M6" s="167"/>
      <c r="N6" s="167"/>
      <c r="O6" s="167"/>
    </row>
    <row r="7" spans="1:17" ht="13.5" thickBot="1" x14ac:dyDescent="0.25">
      <c r="A7" s="424" t="s">
        <v>34</v>
      </c>
      <c r="B7" s="425" t="s">
        <v>37</v>
      </c>
      <c r="C7" s="426"/>
      <c r="D7" s="610" t="s">
        <v>255</v>
      </c>
      <c r="E7" s="427" t="s">
        <v>171</v>
      </c>
      <c r="F7" s="428" t="s">
        <v>16</v>
      </c>
      <c r="G7" s="429" t="s">
        <v>105</v>
      </c>
      <c r="H7" s="611" t="s">
        <v>255</v>
      </c>
      <c r="I7" s="427" t="s">
        <v>171</v>
      </c>
      <c r="J7" s="428" t="s">
        <v>16</v>
      </c>
      <c r="K7" s="802"/>
      <c r="L7" s="167"/>
      <c r="M7" s="33"/>
      <c r="N7" s="419"/>
    </row>
    <row r="8" spans="1:17" x14ac:dyDescent="0.2">
      <c r="A8" s="430">
        <v>1</v>
      </c>
      <c r="B8" s="431">
        <v>11</v>
      </c>
      <c r="C8" s="42" t="s">
        <v>7</v>
      </c>
      <c r="D8" s="999">
        <f>SUM(E8:G8)</f>
        <v>331161.5</v>
      </c>
      <c r="E8" s="440">
        <f>'str4'!D6</f>
        <v>73527.5</v>
      </c>
      <c r="F8" s="432">
        <f>'str5'!N10</f>
        <v>257634</v>
      </c>
      <c r="G8" s="433"/>
      <c r="H8" s="434">
        <f>SUM(I8:K8)</f>
        <v>294026.09999999998</v>
      </c>
      <c r="I8" s="435">
        <v>71404.600000000006</v>
      </c>
      <c r="J8" s="793">
        <v>222621.5</v>
      </c>
      <c r="K8" s="803"/>
      <c r="L8" s="436"/>
      <c r="M8" s="437"/>
      <c r="N8" s="419"/>
    </row>
    <row r="9" spans="1:17" x14ac:dyDescent="0.2">
      <c r="A9" s="438">
        <v>2</v>
      </c>
      <c r="B9" s="439">
        <v>21</v>
      </c>
      <c r="C9" s="39" t="s">
        <v>8</v>
      </c>
      <c r="D9" s="998">
        <f t="shared" ref="D9:D16" si="0">SUM(E9:G9)</f>
        <v>357630.3</v>
      </c>
      <c r="E9" s="454">
        <f>'str4'!D7</f>
        <v>72442</v>
      </c>
      <c r="F9" s="454">
        <f>'str5'!N11</f>
        <v>285188.3</v>
      </c>
      <c r="G9" s="441"/>
      <c r="H9" s="442">
        <f t="shared" ref="H9:H16" si="1">SUM(I9:K9)</f>
        <v>324224.80000000005</v>
      </c>
      <c r="I9" s="443">
        <v>66759.100000000006</v>
      </c>
      <c r="J9" s="755">
        <v>257465.7</v>
      </c>
      <c r="K9" s="804"/>
      <c r="L9" s="436"/>
      <c r="M9" s="437"/>
      <c r="N9" s="419"/>
    </row>
    <row r="10" spans="1:17" x14ac:dyDescent="0.2">
      <c r="A10" s="438">
        <v>3</v>
      </c>
      <c r="B10" s="439">
        <v>22</v>
      </c>
      <c r="C10" s="39" t="s">
        <v>9</v>
      </c>
      <c r="D10" s="998">
        <f t="shared" si="0"/>
        <v>130236.9</v>
      </c>
      <c r="E10" s="444">
        <f>'str4'!D8</f>
        <v>25376.400000000001</v>
      </c>
      <c r="F10" s="444">
        <f>'str5'!N12</f>
        <v>104860.5</v>
      </c>
      <c r="G10" s="441"/>
      <c r="H10" s="442">
        <f t="shared" si="1"/>
        <v>110568.5</v>
      </c>
      <c r="I10" s="443">
        <v>22858</v>
      </c>
      <c r="J10" s="755">
        <v>87710.5</v>
      </c>
      <c r="K10" s="804"/>
      <c r="L10" s="436"/>
      <c r="M10" s="437"/>
      <c r="N10" s="419"/>
    </row>
    <row r="11" spans="1:17" x14ac:dyDescent="0.2">
      <c r="A11" s="438">
        <v>4</v>
      </c>
      <c r="B11" s="439">
        <v>23</v>
      </c>
      <c r="C11" s="39" t="s">
        <v>10</v>
      </c>
      <c r="D11" s="998">
        <f t="shared" si="0"/>
        <v>159278</v>
      </c>
      <c r="E11" s="444">
        <f>'str4'!D9</f>
        <v>38859.599999999999</v>
      </c>
      <c r="F11" s="444">
        <f>'str5'!N13</f>
        <v>120418.4</v>
      </c>
      <c r="G11" s="441"/>
      <c r="H11" s="442">
        <f t="shared" si="1"/>
        <v>140523.4</v>
      </c>
      <c r="I11" s="443">
        <v>33977</v>
      </c>
      <c r="J11" s="755">
        <v>106546.4</v>
      </c>
      <c r="K11" s="804"/>
      <c r="L11" s="436"/>
      <c r="M11" s="437"/>
      <c r="N11" s="419"/>
    </row>
    <row r="12" spans="1:17" x14ac:dyDescent="0.2">
      <c r="A12" s="438">
        <v>5</v>
      </c>
      <c r="B12" s="439">
        <v>31</v>
      </c>
      <c r="C12" s="39" t="s">
        <v>11</v>
      </c>
      <c r="D12" s="998">
        <f t="shared" si="0"/>
        <v>530408.19999999995</v>
      </c>
      <c r="E12" s="675">
        <f>'str4'!D10</f>
        <v>266051.5</v>
      </c>
      <c r="F12" s="675">
        <f>'str5'!N14</f>
        <v>264356.7</v>
      </c>
      <c r="G12" s="441"/>
      <c r="H12" s="442">
        <f t="shared" si="1"/>
        <v>465280.30000000005</v>
      </c>
      <c r="I12" s="443">
        <v>234595.7</v>
      </c>
      <c r="J12" s="755">
        <v>230684.6</v>
      </c>
      <c r="K12" s="804"/>
      <c r="L12" s="436"/>
      <c r="M12" s="437"/>
      <c r="N12" s="419"/>
    </row>
    <row r="13" spans="1:17" x14ac:dyDescent="0.2">
      <c r="A13" s="438">
        <v>6</v>
      </c>
      <c r="B13" s="439">
        <v>33</v>
      </c>
      <c r="C13" s="39" t="s">
        <v>12</v>
      </c>
      <c r="D13" s="998">
        <f t="shared" si="0"/>
        <v>148388.79999999999</v>
      </c>
      <c r="E13" s="444">
        <f>'str4'!D11</f>
        <v>44966.400000000001</v>
      </c>
      <c r="F13" s="444">
        <f>'str5'!N15</f>
        <v>103422.39999999999</v>
      </c>
      <c r="G13" s="441"/>
      <c r="H13" s="442">
        <f t="shared" si="1"/>
        <v>135018.29999999999</v>
      </c>
      <c r="I13" s="443">
        <v>38973</v>
      </c>
      <c r="J13" s="755">
        <v>96045.3</v>
      </c>
      <c r="K13" s="804"/>
      <c r="L13" s="436"/>
      <c r="M13" s="437"/>
      <c r="N13" s="419"/>
    </row>
    <row r="14" spans="1:17" x14ac:dyDescent="0.2">
      <c r="A14" s="438">
        <v>7</v>
      </c>
      <c r="B14" s="439">
        <v>41</v>
      </c>
      <c r="C14" s="39" t="s">
        <v>13</v>
      </c>
      <c r="D14" s="998">
        <f t="shared" si="0"/>
        <v>196950.6</v>
      </c>
      <c r="E14" s="675">
        <f>'str4'!D12</f>
        <v>28723.9</v>
      </c>
      <c r="F14" s="675">
        <f>'str5'!N16</f>
        <v>168226.7</v>
      </c>
      <c r="G14" s="441"/>
      <c r="H14" s="442">
        <f t="shared" si="1"/>
        <v>184143.90000000002</v>
      </c>
      <c r="I14" s="443">
        <v>31202.2</v>
      </c>
      <c r="J14" s="755">
        <v>152941.70000000001</v>
      </c>
      <c r="K14" s="804"/>
      <c r="L14" s="436"/>
      <c r="M14" s="437"/>
      <c r="N14" s="419"/>
    </row>
    <row r="15" spans="1:17" x14ac:dyDescent="0.2">
      <c r="A15" s="438">
        <v>8</v>
      </c>
      <c r="B15" s="439">
        <v>51</v>
      </c>
      <c r="C15" s="39" t="s">
        <v>222</v>
      </c>
      <c r="D15" s="998">
        <f t="shared" si="0"/>
        <v>87549</v>
      </c>
      <c r="E15" s="599">
        <f>'str4'!D13</f>
        <v>4371.6000000000004</v>
      </c>
      <c r="F15" s="444">
        <f>'str5'!N17+'str5'!N19</f>
        <v>83177.399999999994</v>
      </c>
      <c r="G15" s="441"/>
      <c r="H15" s="442">
        <f t="shared" si="1"/>
        <v>72288.600000000006</v>
      </c>
      <c r="I15" s="443">
        <v>3951.8</v>
      </c>
      <c r="J15" s="755">
        <v>68336.800000000003</v>
      </c>
      <c r="K15" s="804"/>
      <c r="L15" s="436"/>
      <c r="M15" s="437"/>
      <c r="N15" s="107"/>
      <c r="P15" s="107"/>
      <c r="Q15" s="107"/>
    </row>
    <row r="16" spans="1:17" x14ac:dyDescent="0.2">
      <c r="A16" s="845">
        <v>9</v>
      </c>
      <c r="B16" s="445">
        <v>56</v>
      </c>
      <c r="C16" s="40" t="s">
        <v>15</v>
      </c>
      <c r="D16" s="1000">
        <f t="shared" si="0"/>
        <v>126047.29999999999</v>
      </c>
      <c r="E16" s="846">
        <f>'str4'!D14</f>
        <v>15517.9</v>
      </c>
      <c r="F16" s="603">
        <f>'str5'!N18</f>
        <v>110529.4</v>
      </c>
      <c r="G16" s="446"/>
      <c r="H16" s="447">
        <f t="shared" si="1"/>
        <v>111321.60000000001</v>
      </c>
      <c r="I16" s="435">
        <v>14645</v>
      </c>
      <c r="J16" s="794">
        <v>96676.6</v>
      </c>
      <c r="K16" s="805"/>
      <c r="L16" s="436"/>
      <c r="M16" s="437"/>
      <c r="N16" s="107"/>
    </row>
    <row r="17" spans="1:17" s="698" customFormat="1" x14ac:dyDescent="0.2">
      <c r="A17" s="847">
        <v>10</v>
      </c>
      <c r="B17" s="848" t="s">
        <v>38</v>
      </c>
      <c r="C17" s="849"/>
      <c r="D17" s="702">
        <f t="shared" ref="D17:J17" si="2">SUM(D8:D16)</f>
        <v>2067650.6</v>
      </c>
      <c r="E17" s="850">
        <f t="shared" si="2"/>
        <v>569836.80000000005</v>
      </c>
      <c r="F17" s="851">
        <f t="shared" si="2"/>
        <v>1497813.7999999998</v>
      </c>
      <c r="G17" s="852">
        <f t="shared" si="2"/>
        <v>0</v>
      </c>
      <c r="H17" s="853">
        <f t="shared" si="2"/>
        <v>1837395.5000000005</v>
      </c>
      <c r="I17" s="854">
        <f t="shared" si="2"/>
        <v>518366.4</v>
      </c>
      <c r="J17" s="507">
        <f t="shared" si="2"/>
        <v>1319029.1000000001</v>
      </c>
      <c r="K17" s="823">
        <v>0</v>
      </c>
      <c r="L17" s="696"/>
      <c r="M17" s="696"/>
      <c r="N17" s="697"/>
    </row>
    <row r="18" spans="1:17" s="106" customFormat="1" x14ac:dyDescent="0.2">
      <c r="A18" s="450">
        <v>11</v>
      </c>
      <c r="B18" s="451">
        <v>71</v>
      </c>
      <c r="C18" s="38" t="s">
        <v>196</v>
      </c>
      <c r="D18" s="452">
        <f>SUM(E18:G18)</f>
        <v>97918.1</v>
      </c>
      <c r="E18" s="453">
        <f>'str4'!D16</f>
        <v>97918.1</v>
      </c>
      <c r="F18" s="454"/>
      <c r="G18" s="455"/>
      <c r="H18" s="447">
        <f>SUM(I18:K18)</f>
        <v>77404.100000000006</v>
      </c>
      <c r="I18" s="453">
        <v>77404.100000000006</v>
      </c>
      <c r="J18" s="795"/>
      <c r="K18" s="806"/>
      <c r="L18" s="302"/>
      <c r="M18" s="302"/>
      <c r="N18" s="449"/>
    </row>
    <row r="19" spans="1:17" s="106" customFormat="1" x14ac:dyDescent="0.2">
      <c r="A19" s="450">
        <v>12</v>
      </c>
      <c r="B19" s="451">
        <v>79</v>
      </c>
      <c r="C19" s="38" t="s">
        <v>269</v>
      </c>
      <c r="D19" s="452"/>
      <c r="E19" s="453"/>
      <c r="F19" s="454"/>
      <c r="G19" s="455"/>
      <c r="H19" s="442"/>
      <c r="I19" s="453"/>
      <c r="J19" s="795"/>
      <c r="K19" s="806"/>
      <c r="L19" s="302"/>
      <c r="M19" s="302"/>
      <c r="N19" s="449"/>
    </row>
    <row r="20" spans="1:17" x14ac:dyDescent="0.2">
      <c r="A20" s="438">
        <v>13</v>
      </c>
      <c r="B20" s="439">
        <v>81</v>
      </c>
      <c r="C20" s="39" t="s">
        <v>69</v>
      </c>
      <c r="D20" s="452">
        <f t="shared" ref="D20:D29" si="3">SUM(E20:G20)</f>
        <v>0</v>
      </c>
      <c r="E20" s="443"/>
      <c r="F20" s="444"/>
      <c r="G20" s="456"/>
      <c r="H20" s="442">
        <f t="shared" ref="H20:H30" si="4">SUM(I20:K20)</f>
        <v>0</v>
      </c>
      <c r="I20" s="443"/>
      <c r="J20" s="755"/>
      <c r="K20" s="497"/>
      <c r="L20" s="107"/>
      <c r="M20" s="107"/>
      <c r="N20" s="419"/>
    </row>
    <row r="21" spans="1:17" x14ac:dyDescent="0.2">
      <c r="A21" s="450">
        <v>14</v>
      </c>
      <c r="B21" s="439">
        <v>82</v>
      </c>
      <c r="C21" s="39" t="s">
        <v>1</v>
      </c>
      <c r="D21" s="452">
        <f t="shared" si="3"/>
        <v>0</v>
      </c>
      <c r="E21" s="443"/>
      <c r="F21" s="444"/>
      <c r="G21" s="456"/>
      <c r="H21" s="442">
        <f t="shared" si="4"/>
        <v>0</v>
      </c>
      <c r="I21" s="443"/>
      <c r="J21" s="755"/>
      <c r="K21" s="497"/>
      <c r="M21" s="33"/>
      <c r="N21" s="419"/>
    </row>
    <row r="22" spans="1:17" x14ac:dyDescent="0.2">
      <c r="A22" s="450">
        <v>15</v>
      </c>
      <c r="B22" s="439">
        <v>83</v>
      </c>
      <c r="C22" s="39" t="s">
        <v>80</v>
      </c>
      <c r="D22" s="452">
        <f t="shared" si="3"/>
        <v>6500</v>
      </c>
      <c r="E22" s="443"/>
      <c r="F22" s="444">
        <f>'příl.1 - cp 2018'!K165</f>
        <v>6500</v>
      </c>
      <c r="G22" s="456"/>
      <c r="H22" s="442">
        <f t="shared" si="4"/>
        <v>4559</v>
      </c>
      <c r="I22" s="443"/>
      <c r="J22" s="796">
        <v>4559</v>
      </c>
      <c r="K22" s="807"/>
      <c r="M22" s="33"/>
      <c r="N22" s="419"/>
      <c r="P22" s="107"/>
      <c r="Q22" s="107"/>
    </row>
    <row r="23" spans="1:17" x14ac:dyDescent="0.2">
      <c r="A23" s="438">
        <v>16</v>
      </c>
      <c r="B23" s="431">
        <v>84</v>
      </c>
      <c r="C23" s="152" t="s">
        <v>79</v>
      </c>
      <c r="D23" s="452">
        <f t="shared" si="3"/>
        <v>3563.8</v>
      </c>
      <c r="E23" s="443">
        <f>'str4'!D17</f>
        <v>563.79999999999995</v>
      </c>
      <c r="F23" s="444">
        <f>'příl.1 - cp 2018'!K166</f>
        <v>3000</v>
      </c>
      <c r="G23" s="456"/>
      <c r="H23" s="442">
        <f t="shared" si="4"/>
        <v>3673.4</v>
      </c>
      <c r="I23" s="443">
        <v>673.4</v>
      </c>
      <c r="J23" s="796">
        <v>3000</v>
      </c>
      <c r="K23" s="807"/>
      <c r="M23" s="33"/>
      <c r="N23" s="419"/>
    </row>
    <row r="24" spans="1:17" x14ac:dyDescent="0.2">
      <c r="A24" s="450">
        <v>17</v>
      </c>
      <c r="B24" s="612">
        <v>85</v>
      </c>
      <c r="C24" s="613" t="s">
        <v>100</v>
      </c>
      <c r="D24" s="452">
        <f t="shared" si="3"/>
        <v>3087.8</v>
      </c>
      <c r="E24" s="443">
        <f>'str4'!D18</f>
        <v>1740</v>
      </c>
      <c r="F24" s="444">
        <f>'str4'!C18</f>
        <v>1347.8</v>
      </c>
      <c r="G24" s="456"/>
      <c r="H24" s="442">
        <f t="shared" si="4"/>
        <v>1275</v>
      </c>
      <c r="I24" s="443">
        <v>1275</v>
      </c>
      <c r="J24" s="797"/>
      <c r="K24" s="808"/>
      <c r="M24" s="33"/>
      <c r="N24" s="419"/>
    </row>
    <row r="25" spans="1:17" x14ac:dyDescent="0.2">
      <c r="A25" s="450">
        <v>18</v>
      </c>
      <c r="B25" s="612">
        <v>87</v>
      </c>
      <c r="C25" s="613" t="s">
        <v>129</v>
      </c>
      <c r="D25" s="452">
        <f t="shared" si="3"/>
        <v>8018</v>
      </c>
      <c r="E25" s="443">
        <f>'str4'!D19</f>
        <v>18</v>
      </c>
      <c r="F25" s="444">
        <f>'příl.1 - cp 2018'!K168</f>
        <v>8000</v>
      </c>
      <c r="G25" s="456"/>
      <c r="H25" s="442">
        <f t="shared" si="4"/>
        <v>7724</v>
      </c>
      <c r="I25" s="443"/>
      <c r="J25" s="797">
        <v>7724</v>
      </c>
      <c r="K25" s="808"/>
      <c r="M25" s="33"/>
      <c r="N25" s="419"/>
    </row>
    <row r="26" spans="1:17" x14ac:dyDescent="0.2">
      <c r="A26" s="438">
        <v>19</v>
      </c>
      <c r="B26" s="612">
        <v>92</v>
      </c>
      <c r="C26" s="613" t="s">
        <v>17</v>
      </c>
      <c r="D26" s="462">
        <f t="shared" si="3"/>
        <v>110802.4</v>
      </c>
      <c r="E26" s="443">
        <f>'str4'!D20</f>
        <v>4985.3999999999996</v>
      </c>
      <c r="F26" s="444">
        <f>'příl.1 - cp 2018'!K169</f>
        <v>105817</v>
      </c>
      <c r="G26" s="456"/>
      <c r="H26" s="442">
        <f t="shared" si="4"/>
        <v>99990.5</v>
      </c>
      <c r="I26" s="443">
        <v>3793.5</v>
      </c>
      <c r="J26" s="797">
        <v>96197</v>
      </c>
      <c r="K26" s="808"/>
      <c r="M26" s="33"/>
      <c r="N26" s="419"/>
    </row>
    <row r="27" spans="1:17" x14ac:dyDescent="0.2">
      <c r="A27" s="450">
        <v>20</v>
      </c>
      <c r="B27" s="612">
        <v>96</v>
      </c>
      <c r="C27" s="613" t="s">
        <v>24</v>
      </c>
      <c r="D27" s="452">
        <f t="shared" si="3"/>
        <v>36870.900000000009</v>
      </c>
      <c r="E27" s="443">
        <f>'str4'!D21</f>
        <v>870.9</v>
      </c>
      <c r="F27" s="444">
        <f>'str5'!L20</f>
        <v>36000.000000000007</v>
      </c>
      <c r="G27" s="456"/>
      <c r="H27" s="442">
        <f t="shared" si="4"/>
        <v>32819.699999999997</v>
      </c>
      <c r="I27" s="443">
        <v>819.7</v>
      </c>
      <c r="J27" s="755">
        <v>32000</v>
      </c>
      <c r="K27" s="497"/>
      <c r="M27" s="33"/>
      <c r="N27" s="419"/>
    </row>
    <row r="28" spans="1:17" x14ac:dyDescent="0.2">
      <c r="A28" s="450">
        <v>21</v>
      </c>
      <c r="B28" s="612">
        <v>97</v>
      </c>
      <c r="C28" s="613" t="s">
        <v>25</v>
      </c>
      <c r="D28" s="452">
        <f t="shared" si="3"/>
        <v>11650</v>
      </c>
      <c r="E28" s="443"/>
      <c r="F28" s="444">
        <f>'příl.1 - cp 2018'!K171</f>
        <v>11650</v>
      </c>
      <c r="G28" s="456"/>
      <c r="H28" s="442">
        <f t="shared" si="4"/>
        <v>9450</v>
      </c>
      <c r="I28" s="443"/>
      <c r="J28" s="755">
        <v>9450</v>
      </c>
      <c r="K28" s="497"/>
      <c r="M28" s="33"/>
      <c r="N28" s="419"/>
    </row>
    <row r="29" spans="1:17" x14ac:dyDescent="0.2">
      <c r="A29" s="845">
        <v>22</v>
      </c>
      <c r="B29" s="855">
        <v>99</v>
      </c>
      <c r="C29" s="856" t="s">
        <v>18</v>
      </c>
      <c r="D29" s="699">
        <f t="shared" si="3"/>
        <v>156107</v>
      </c>
      <c r="E29" s="857">
        <f>'str4'!D22</f>
        <v>52300</v>
      </c>
      <c r="F29" s="741">
        <f>'příl.1 - cp 2018'!K172-'str5'!G41</f>
        <v>80206.167414391311</v>
      </c>
      <c r="G29" s="858">
        <f>'str5'!G41</f>
        <v>23600.832585608703</v>
      </c>
      <c r="H29" s="447">
        <f t="shared" si="4"/>
        <v>118809.5</v>
      </c>
      <c r="I29" s="857">
        <v>24439.5</v>
      </c>
      <c r="J29" s="858">
        <v>77491.094029349857</v>
      </c>
      <c r="K29" s="516">
        <v>16878.905970650143</v>
      </c>
      <c r="L29" s="107"/>
      <c r="M29" s="33"/>
      <c r="N29" s="419"/>
    </row>
    <row r="30" spans="1:17" s="698" customFormat="1" x14ac:dyDescent="0.2">
      <c r="A30" s="861">
        <v>23</v>
      </c>
      <c r="B30" s="849" t="s">
        <v>338</v>
      </c>
      <c r="C30" s="849"/>
      <c r="D30" s="702">
        <f>SUM(D18:D29)</f>
        <v>434518</v>
      </c>
      <c r="E30" s="786">
        <f>SUM(E18:E29)</f>
        <v>158396.20000000001</v>
      </c>
      <c r="F30" s="730">
        <f>SUM(F22:F29)</f>
        <v>252520.96741439134</v>
      </c>
      <c r="G30" s="731">
        <f>SUM(G18:G29)</f>
        <v>23600.832585608703</v>
      </c>
      <c r="H30" s="862">
        <f t="shared" si="4"/>
        <v>355705.2</v>
      </c>
      <c r="I30" s="863">
        <f>SUM(I18:I29)</f>
        <v>108405.2</v>
      </c>
      <c r="J30" s="864">
        <f>SUM(J18:J29)</f>
        <v>230421.09402934986</v>
      </c>
      <c r="K30" s="508">
        <f>SUM(K29)</f>
        <v>16878.905970650143</v>
      </c>
      <c r="L30" s="696"/>
      <c r="M30" s="519"/>
      <c r="N30" s="697"/>
    </row>
    <row r="31" spans="1:17" x14ac:dyDescent="0.2">
      <c r="A31" s="459">
        <v>24</v>
      </c>
      <c r="B31" s="460" t="s">
        <v>248</v>
      </c>
      <c r="C31" s="460"/>
      <c r="D31" s="452">
        <f>SUM(E31:G31)</f>
        <v>123830</v>
      </c>
      <c r="E31" s="453"/>
      <c r="F31" s="454">
        <f>'příl.1 - cp 2018'!K6</f>
        <v>123830</v>
      </c>
      <c r="G31" s="455"/>
      <c r="H31" s="859">
        <f>SUM(I31:K31)</f>
        <v>91332</v>
      </c>
      <c r="I31" s="453"/>
      <c r="J31" s="795">
        <v>91332</v>
      </c>
      <c r="K31" s="860"/>
      <c r="M31" s="107"/>
      <c r="N31" s="419"/>
      <c r="Q31" s="698"/>
    </row>
    <row r="32" spans="1:17" x14ac:dyDescent="0.2">
      <c r="A32" s="280">
        <v>25</v>
      </c>
      <c r="B32" s="461" t="s">
        <v>249</v>
      </c>
      <c r="C32" s="461"/>
      <c r="D32" s="452">
        <f>SUM(E32:G32)</f>
        <v>195232.25</v>
      </c>
      <c r="E32" s="443"/>
      <c r="F32" s="444">
        <f>'příl.1 - cp 2018'!K27-'příl.1 - cp 2018'!K92</f>
        <v>195232.25</v>
      </c>
      <c r="G32" s="456"/>
      <c r="H32" s="442">
        <f>SUM(I32:K32)</f>
        <v>182826</v>
      </c>
      <c r="I32" s="443"/>
      <c r="J32" s="755">
        <v>182826</v>
      </c>
      <c r="K32" s="809"/>
      <c r="M32" s="33"/>
      <c r="N32" s="419"/>
      <c r="Q32" s="698"/>
    </row>
    <row r="33" spans="1:21" x14ac:dyDescent="0.2">
      <c r="A33" s="37">
        <v>26</v>
      </c>
      <c r="B33" s="463" t="s">
        <v>33</v>
      </c>
      <c r="C33" s="463"/>
      <c r="D33" s="452">
        <f>SUM(E33:G33)</f>
        <v>15000</v>
      </c>
      <c r="E33" s="464"/>
      <c r="F33" s="465">
        <f>'příl.1 - cp 2018'!K92</f>
        <v>15000</v>
      </c>
      <c r="G33" s="466"/>
      <c r="H33" s="447">
        <f>SUM(I33:K33)</f>
        <v>19000</v>
      </c>
      <c r="I33" s="701"/>
      <c r="J33" s="798">
        <v>19000</v>
      </c>
      <c r="K33" s="810"/>
      <c r="M33" s="33"/>
      <c r="N33" s="419"/>
      <c r="Q33" s="698"/>
    </row>
    <row r="34" spans="1:21" ht="13.5" thickBot="1" x14ac:dyDescent="0.25">
      <c r="A34" s="35">
        <v>27</v>
      </c>
      <c r="B34" s="42" t="s">
        <v>505</v>
      </c>
      <c r="C34" s="42"/>
      <c r="D34" s="699">
        <f>SUM(D31:D33)</f>
        <v>334062.25</v>
      </c>
      <c r="E34" s="700">
        <f t="shared" ref="E34:K34" si="5">SUM(E31:E33)</f>
        <v>0</v>
      </c>
      <c r="F34" s="700">
        <f>SUM(F31:F33)</f>
        <v>334062.25</v>
      </c>
      <c r="G34" s="700">
        <f t="shared" si="5"/>
        <v>0</v>
      </c>
      <c r="H34" s="747">
        <f t="shared" si="5"/>
        <v>293158</v>
      </c>
      <c r="I34" s="748">
        <f t="shared" si="5"/>
        <v>0</v>
      </c>
      <c r="J34" s="799">
        <f t="shared" si="5"/>
        <v>293158</v>
      </c>
      <c r="K34" s="811">
        <f t="shared" si="5"/>
        <v>0</v>
      </c>
      <c r="L34" s="107"/>
      <c r="M34" s="33"/>
      <c r="N34" s="419"/>
      <c r="Q34" s="698"/>
    </row>
    <row r="35" spans="1:21" s="519" customFormat="1" ht="13.5" thickBot="1" x14ac:dyDescent="0.25">
      <c r="A35" s="694">
        <v>28</v>
      </c>
      <c r="B35" s="695" t="s">
        <v>674</v>
      </c>
      <c r="C35" s="695"/>
      <c r="D35" s="448">
        <f t="shared" ref="D35:K35" si="6">D34+D30+D17</f>
        <v>2836230.85</v>
      </c>
      <c r="E35" s="749">
        <f t="shared" si="6"/>
        <v>728233</v>
      </c>
      <c r="F35" s="746">
        <f>F34+F30+F17</f>
        <v>2084397.017414391</v>
      </c>
      <c r="G35" s="745">
        <f t="shared" si="6"/>
        <v>23600.832585608703</v>
      </c>
      <c r="H35" s="750">
        <f t="shared" si="6"/>
        <v>2486258.7000000002</v>
      </c>
      <c r="I35" s="751">
        <f t="shared" si="6"/>
        <v>626771.6</v>
      </c>
      <c r="J35" s="800">
        <f t="shared" si="6"/>
        <v>1842608.1940293498</v>
      </c>
      <c r="K35" s="812">
        <f t="shared" si="6"/>
        <v>16878.905970650143</v>
      </c>
      <c r="L35" s="623"/>
      <c r="M35" s="623"/>
      <c r="N35" s="624"/>
      <c r="O35" s="623"/>
      <c r="Q35" s="698"/>
    </row>
    <row r="36" spans="1:21" s="595" customFormat="1" hidden="1" x14ac:dyDescent="0.2">
      <c r="D36" s="595" t="s">
        <v>512</v>
      </c>
      <c r="E36" s="614">
        <f>'str1'!F8</f>
        <v>728233.41200000001</v>
      </c>
      <c r="F36" s="614">
        <f>'str1'!F7</f>
        <v>2084396.559824242</v>
      </c>
      <c r="H36" s="614"/>
      <c r="I36" s="614"/>
      <c r="J36" s="614"/>
      <c r="Q36" s="698"/>
    </row>
    <row r="37" spans="1:21" s="595" customFormat="1" ht="15" hidden="1" x14ac:dyDescent="0.2">
      <c r="A37" s="615"/>
      <c r="D37" s="595" t="s">
        <v>513</v>
      </c>
      <c r="F37" s="614">
        <f>F36-F32-F33</f>
        <v>1874164.309824242</v>
      </c>
      <c r="H37" s="614"/>
      <c r="I37" s="614"/>
      <c r="Q37" s="698"/>
    </row>
    <row r="38" spans="1:21" s="595" customFormat="1" ht="15" hidden="1" x14ac:dyDescent="0.2">
      <c r="A38" s="615"/>
      <c r="D38" s="614" t="s">
        <v>221</v>
      </c>
      <c r="E38" s="614">
        <f>E36+F36-'str1'!F9</f>
        <v>0</v>
      </c>
      <c r="F38" s="614"/>
      <c r="H38" s="614"/>
      <c r="I38" s="614"/>
      <c r="Q38" s="698"/>
    </row>
    <row r="39" spans="1:21" ht="13.5" customHeight="1" x14ac:dyDescent="0.2">
      <c r="A39" s="470"/>
      <c r="D39" s="107"/>
      <c r="E39" s="743"/>
      <c r="F39" s="967">
        <f>E35+F35+G35</f>
        <v>2836230.8499999996</v>
      </c>
      <c r="G39" s="966"/>
      <c r="H39" s="107"/>
      <c r="I39" s="743"/>
      <c r="J39" s="967">
        <f>I35+J35+K35</f>
        <v>2486258.7000000002</v>
      </c>
      <c r="K39" s="966"/>
      <c r="Q39" s="698"/>
    </row>
    <row r="40" spans="1:21" x14ac:dyDescent="0.2">
      <c r="D40" s="107"/>
      <c r="E40" s="1568">
        <f>SUM(E35:F35)</f>
        <v>2812630.017414391</v>
      </c>
      <c r="F40" s="1569"/>
      <c r="G40" s="1003">
        <f>E40-'str1'!F9</f>
        <v>4.5590149238705635E-2</v>
      </c>
      <c r="H40" s="471"/>
      <c r="I40" s="1568">
        <f>SUM(I35:J35)</f>
        <v>2469379.7940293499</v>
      </c>
      <c r="J40" s="1569"/>
    </row>
    <row r="41" spans="1:21" ht="11.25" customHeight="1" x14ac:dyDescent="0.2">
      <c r="C41" s="107"/>
      <c r="D41" s="107"/>
      <c r="E41" s="107"/>
    </row>
    <row r="42" spans="1:21" ht="17.25" customHeight="1" thickBot="1" x14ac:dyDescent="0.25">
      <c r="A42" s="106" t="s">
        <v>327</v>
      </c>
      <c r="O42" s="107"/>
      <c r="P42" s="107"/>
      <c r="Q42" s="107"/>
    </row>
    <row r="43" spans="1:21" ht="12.75" customHeight="1" x14ac:dyDescent="0.2">
      <c r="A43" s="109"/>
      <c r="B43" s="421"/>
      <c r="C43" s="278"/>
      <c r="D43" s="1550" t="s">
        <v>600</v>
      </c>
      <c r="E43" s="1551"/>
      <c r="F43" s="1551"/>
      <c r="G43" s="1566"/>
      <c r="H43" s="1566"/>
      <c r="I43" s="1566"/>
      <c r="J43" s="1567"/>
      <c r="K43" s="1565" t="s">
        <v>574</v>
      </c>
      <c r="L43" s="1566"/>
      <c r="M43" s="1566"/>
      <c r="N43" s="1567"/>
      <c r="O43" s="107"/>
      <c r="P43" s="107"/>
      <c r="Q43" s="107"/>
      <c r="R43" s="107"/>
      <c r="S43" s="107"/>
      <c r="T43" s="107"/>
      <c r="U43" s="107"/>
    </row>
    <row r="44" spans="1:21" ht="13.5" customHeight="1" x14ac:dyDescent="0.2">
      <c r="A44" s="422"/>
      <c r="B44" s="41"/>
      <c r="C44" s="42"/>
      <c r="D44" s="608" t="s">
        <v>135</v>
      </c>
      <c r="E44" s="1564" t="s">
        <v>179</v>
      </c>
      <c r="F44" s="1556"/>
      <c r="G44" s="1556"/>
      <c r="H44" s="1556"/>
      <c r="I44" s="1556"/>
      <c r="J44" s="616" t="s">
        <v>252</v>
      </c>
      <c r="K44" s="617" t="s">
        <v>135</v>
      </c>
      <c r="L44" s="1564" t="s">
        <v>31</v>
      </c>
      <c r="M44" s="1556"/>
      <c r="N44" s="1575"/>
      <c r="O44" s="107"/>
      <c r="P44" s="107"/>
      <c r="Q44" s="107"/>
      <c r="R44" s="107"/>
      <c r="S44" s="107"/>
      <c r="T44" s="107"/>
      <c r="U44" s="107"/>
    </row>
    <row r="45" spans="1:21" ht="13.5" customHeight="1" x14ac:dyDescent="0.2">
      <c r="A45" s="422"/>
      <c r="B45" s="41" t="s">
        <v>36</v>
      </c>
      <c r="C45" s="42"/>
      <c r="D45" s="608" t="s">
        <v>136</v>
      </c>
      <c r="E45" s="303" t="s">
        <v>172</v>
      </c>
      <c r="F45" s="36" t="s">
        <v>65</v>
      </c>
      <c r="G45" s="1560" t="s">
        <v>66</v>
      </c>
      <c r="H45" s="1561"/>
      <c r="I45" s="1561"/>
      <c r="J45" s="618" t="s">
        <v>254</v>
      </c>
      <c r="K45" s="617" t="s">
        <v>136</v>
      </c>
      <c r="L45" s="303" t="s">
        <v>172</v>
      </c>
      <c r="M45" s="431" t="s">
        <v>65</v>
      </c>
      <c r="N45" s="813" t="s">
        <v>105</v>
      </c>
      <c r="O45" s="107"/>
      <c r="P45" s="107"/>
      <c r="Q45" s="107"/>
      <c r="R45" s="107"/>
      <c r="S45" s="107"/>
      <c r="T45" s="107"/>
      <c r="U45" s="107"/>
    </row>
    <row r="46" spans="1:21" ht="15" customHeight="1" thickBot="1" x14ac:dyDescent="0.25">
      <c r="A46" s="424" t="s">
        <v>34</v>
      </c>
      <c r="B46" s="425" t="s">
        <v>37</v>
      </c>
      <c r="C46" s="426"/>
      <c r="D46" s="610" t="s">
        <v>255</v>
      </c>
      <c r="E46" s="427" t="s">
        <v>171</v>
      </c>
      <c r="F46" s="472" t="s">
        <v>16</v>
      </c>
      <c r="G46" s="473" t="s">
        <v>32</v>
      </c>
      <c r="H46" s="474" t="s">
        <v>325</v>
      </c>
      <c r="I46" s="475" t="s">
        <v>33</v>
      </c>
      <c r="J46" s="619" t="s">
        <v>253</v>
      </c>
      <c r="K46" s="620" t="s">
        <v>255</v>
      </c>
      <c r="L46" s="427" t="s">
        <v>171</v>
      </c>
      <c r="M46" s="814" t="s">
        <v>16</v>
      </c>
      <c r="N46" s="819"/>
      <c r="O46" s="107"/>
      <c r="P46" s="107"/>
      <c r="Q46" s="107"/>
      <c r="R46" s="107"/>
      <c r="S46" s="107"/>
      <c r="T46" s="107"/>
      <c r="U46" s="107"/>
    </row>
    <row r="47" spans="1:21" ht="15" customHeight="1" thickBot="1" x14ac:dyDescent="0.25">
      <c r="A47" s="476"/>
      <c r="B47" s="43"/>
      <c r="C47" s="477" t="s">
        <v>223</v>
      </c>
      <c r="D47" s="621"/>
      <c r="E47" s="815">
        <v>2112</v>
      </c>
      <c r="F47" s="479"/>
      <c r="G47" s="954">
        <v>1111</v>
      </c>
      <c r="H47" s="481">
        <v>1112</v>
      </c>
      <c r="I47" s="482">
        <v>1112</v>
      </c>
      <c r="J47" s="622">
        <v>4769</v>
      </c>
      <c r="K47" s="483"/>
      <c r="L47" s="478"/>
      <c r="M47" s="815"/>
      <c r="N47" s="820"/>
      <c r="O47" s="107"/>
      <c r="P47" s="107"/>
      <c r="Q47" s="107"/>
      <c r="R47" s="107"/>
      <c r="S47" s="107"/>
      <c r="T47" s="107"/>
      <c r="U47" s="107"/>
    </row>
    <row r="48" spans="1:21" x14ac:dyDescent="0.2">
      <c r="A48" s="35">
        <v>29</v>
      </c>
      <c r="B48" s="303">
        <v>11</v>
      </c>
      <c r="C48" s="42" t="s">
        <v>7</v>
      </c>
      <c r="D48" s="484">
        <f>SUM(G48:I48,E48,J48)</f>
        <v>331161.5</v>
      </c>
      <c r="E48" s="952">
        <f>E8</f>
        <v>73527.5</v>
      </c>
      <c r="F48" s="952">
        <f>SUM(G48:I48)</f>
        <v>257634</v>
      </c>
      <c r="G48" s="953">
        <f>F8</f>
        <v>257634</v>
      </c>
      <c r="H48" s="487"/>
      <c r="I48" s="488"/>
      <c r="J48" s="489"/>
      <c r="K48" s="490">
        <f>SUM(L48:N48)</f>
        <v>294026.09999999998</v>
      </c>
      <c r="L48" s="491">
        <v>71404.600000000006</v>
      </c>
      <c r="M48" s="598">
        <v>222621.5</v>
      </c>
      <c r="N48" s="803"/>
      <c r="O48" s="107"/>
      <c r="P48" s="107"/>
      <c r="Q48" s="107"/>
      <c r="R48" s="107"/>
      <c r="S48" s="107"/>
      <c r="T48" s="107"/>
      <c r="U48" s="107"/>
    </row>
    <row r="49" spans="1:21" x14ac:dyDescent="0.2">
      <c r="A49" s="280">
        <v>30</v>
      </c>
      <c r="B49" s="492">
        <v>21</v>
      </c>
      <c r="C49" s="39" t="s">
        <v>8</v>
      </c>
      <c r="D49" s="462">
        <f t="shared" ref="D49:D56" si="7">SUM(G49:I49,E49,J49)</f>
        <v>358556.3</v>
      </c>
      <c r="E49" s="952">
        <f>E9</f>
        <v>72442</v>
      </c>
      <c r="F49" s="952">
        <f t="shared" ref="F49:F56" si="8">SUM(G49:I49)</f>
        <v>286114.3</v>
      </c>
      <c r="G49" s="953">
        <f t="shared" ref="G49:G56" si="9">F9</f>
        <v>285188.3</v>
      </c>
      <c r="H49" s="494">
        <f>'příl.1 - cp 2018'!K97</f>
        <v>926</v>
      </c>
      <c r="I49" s="495"/>
      <c r="J49" s="496"/>
      <c r="K49" s="490">
        <f t="shared" ref="K49:K56" si="10">SUM(L49:N49)</f>
        <v>324970.80000000005</v>
      </c>
      <c r="L49" s="493">
        <v>66759.100000000006</v>
      </c>
      <c r="M49" s="599">
        <v>258211.7</v>
      </c>
      <c r="N49" s="804"/>
      <c r="O49" s="107"/>
      <c r="P49" s="107"/>
      <c r="Q49" s="107"/>
      <c r="R49" s="107"/>
      <c r="S49" s="107"/>
      <c r="T49" s="107"/>
      <c r="U49" s="107"/>
    </row>
    <row r="50" spans="1:21" x14ac:dyDescent="0.2">
      <c r="A50" s="35">
        <v>31</v>
      </c>
      <c r="B50" s="492">
        <v>22</v>
      </c>
      <c r="C50" s="39" t="s">
        <v>9</v>
      </c>
      <c r="D50" s="462">
        <f t="shared" si="7"/>
        <v>130236.9</v>
      </c>
      <c r="E50" s="952">
        <f t="shared" ref="E50:E56" si="11">E10</f>
        <v>25376.400000000001</v>
      </c>
      <c r="F50" s="952">
        <f t="shared" si="8"/>
        <v>104860.5</v>
      </c>
      <c r="G50" s="953">
        <f t="shared" si="9"/>
        <v>104860.5</v>
      </c>
      <c r="H50" s="494"/>
      <c r="I50" s="495"/>
      <c r="J50" s="496"/>
      <c r="K50" s="490">
        <f t="shared" si="10"/>
        <v>110568.5</v>
      </c>
      <c r="L50" s="493">
        <v>22858</v>
      </c>
      <c r="M50" s="599">
        <v>87710.5</v>
      </c>
      <c r="N50" s="804"/>
      <c r="O50" s="107"/>
      <c r="P50" s="107"/>
      <c r="Q50" s="107"/>
      <c r="R50" s="107"/>
      <c r="S50" s="107"/>
      <c r="T50" s="107"/>
      <c r="U50" s="107"/>
    </row>
    <row r="51" spans="1:21" x14ac:dyDescent="0.2">
      <c r="A51" s="280">
        <v>32</v>
      </c>
      <c r="B51" s="492">
        <v>23</v>
      </c>
      <c r="C51" s="39" t="s">
        <v>10</v>
      </c>
      <c r="D51" s="462">
        <f t="shared" si="7"/>
        <v>159478</v>
      </c>
      <c r="E51" s="952">
        <f t="shared" si="11"/>
        <v>38859.599999999999</v>
      </c>
      <c r="F51" s="952">
        <f t="shared" si="8"/>
        <v>120618.4</v>
      </c>
      <c r="G51" s="953">
        <f t="shared" si="9"/>
        <v>120418.4</v>
      </c>
      <c r="H51" s="494">
        <f>'příl.1 - cp 2018'!K100</f>
        <v>200</v>
      </c>
      <c r="I51" s="495"/>
      <c r="J51" s="496"/>
      <c r="K51" s="490">
        <f t="shared" si="10"/>
        <v>140723.4</v>
      </c>
      <c r="L51" s="493">
        <v>33977</v>
      </c>
      <c r="M51" s="599">
        <v>106746.4</v>
      </c>
      <c r="N51" s="804"/>
      <c r="O51" s="107"/>
      <c r="P51" s="107"/>
      <c r="Q51" s="107"/>
      <c r="R51" s="107"/>
      <c r="S51" s="107"/>
      <c r="T51" s="107"/>
      <c r="U51" s="107"/>
    </row>
    <row r="52" spans="1:21" x14ac:dyDescent="0.2">
      <c r="A52" s="35">
        <v>33</v>
      </c>
      <c r="B52" s="492">
        <v>31</v>
      </c>
      <c r="C52" s="39" t="s">
        <v>11</v>
      </c>
      <c r="D52" s="462">
        <f t="shared" si="7"/>
        <v>532608.19999999995</v>
      </c>
      <c r="E52" s="952">
        <f t="shared" si="11"/>
        <v>266051.5</v>
      </c>
      <c r="F52" s="952">
        <f t="shared" si="8"/>
        <v>266556.7</v>
      </c>
      <c r="G52" s="953">
        <f t="shared" si="9"/>
        <v>264356.7</v>
      </c>
      <c r="H52" s="498">
        <f>'příl.1 - cp 2018'!K104</f>
        <v>2200</v>
      </c>
      <c r="I52" s="495"/>
      <c r="J52" s="496"/>
      <c r="K52" s="490">
        <f t="shared" si="10"/>
        <v>467480.30000000005</v>
      </c>
      <c r="L52" s="493">
        <v>234595.7</v>
      </c>
      <c r="M52" s="599">
        <v>232884.6</v>
      </c>
      <c r="N52" s="804"/>
      <c r="O52" s="107"/>
      <c r="P52" s="107"/>
      <c r="Q52" s="107"/>
      <c r="R52" s="107"/>
      <c r="S52" s="107"/>
      <c r="T52" s="107"/>
      <c r="U52" s="107"/>
    </row>
    <row r="53" spans="1:21" x14ac:dyDescent="0.2">
      <c r="A53" s="280">
        <v>34</v>
      </c>
      <c r="B53" s="492">
        <v>33</v>
      </c>
      <c r="C53" s="39" t="s">
        <v>12</v>
      </c>
      <c r="D53" s="462">
        <f t="shared" si="7"/>
        <v>190388.8</v>
      </c>
      <c r="E53" s="952">
        <f t="shared" si="11"/>
        <v>44966.400000000001</v>
      </c>
      <c r="F53" s="952">
        <f t="shared" si="8"/>
        <v>145422.39999999999</v>
      </c>
      <c r="G53" s="953">
        <f t="shared" si="9"/>
        <v>103422.39999999999</v>
      </c>
      <c r="H53" s="494">
        <f>'příl.1 - cp 2018'!K107</f>
        <v>42000</v>
      </c>
      <c r="I53" s="495"/>
      <c r="J53" s="496"/>
      <c r="K53" s="490">
        <f t="shared" si="10"/>
        <v>174518.3</v>
      </c>
      <c r="L53" s="493">
        <v>38973</v>
      </c>
      <c r="M53" s="599">
        <v>135545.29999999999</v>
      </c>
      <c r="N53" s="804"/>
      <c r="O53" s="107"/>
      <c r="P53" s="257"/>
      <c r="Q53" s="257"/>
      <c r="R53" s="107"/>
      <c r="S53" s="107"/>
      <c r="T53" s="107"/>
      <c r="U53" s="107"/>
    </row>
    <row r="54" spans="1:21" x14ac:dyDescent="0.2">
      <c r="A54" s="35">
        <v>35</v>
      </c>
      <c r="B54" s="492">
        <v>41</v>
      </c>
      <c r="C54" s="39" t="s">
        <v>13</v>
      </c>
      <c r="D54" s="462">
        <f t="shared" si="7"/>
        <v>197350.6</v>
      </c>
      <c r="E54" s="952">
        <f t="shared" si="11"/>
        <v>28723.9</v>
      </c>
      <c r="F54" s="952">
        <f t="shared" si="8"/>
        <v>168626.7</v>
      </c>
      <c r="G54" s="953">
        <f t="shared" si="9"/>
        <v>168226.7</v>
      </c>
      <c r="H54" s="498">
        <f>'příl.1 - cp 2018'!K111</f>
        <v>400</v>
      </c>
      <c r="I54" s="495"/>
      <c r="J54" s="496"/>
      <c r="K54" s="490">
        <f t="shared" si="10"/>
        <v>184843.90000000002</v>
      </c>
      <c r="L54" s="493">
        <v>31202.2</v>
      </c>
      <c r="M54" s="599">
        <v>153641.70000000001</v>
      </c>
      <c r="N54" s="804"/>
      <c r="O54" s="107"/>
      <c r="P54" s="107"/>
      <c r="Q54" s="107"/>
      <c r="R54" s="107"/>
      <c r="S54" s="107"/>
      <c r="T54" s="107"/>
      <c r="U54" s="107"/>
    </row>
    <row r="55" spans="1:21" x14ac:dyDescent="0.2">
      <c r="A55" s="280">
        <v>36</v>
      </c>
      <c r="B55" s="492">
        <v>51</v>
      </c>
      <c r="C55" s="39" t="s">
        <v>222</v>
      </c>
      <c r="D55" s="462">
        <f t="shared" si="7"/>
        <v>87949</v>
      </c>
      <c r="E55" s="952">
        <f t="shared" si="11"/>
        <v>4371.6000000000004</v>
      </c>
      <c r="F55" s="952">
        <f t="shared" si="8"/>
        <v>83577.399999999994</v>
      </c>
      <c r="G55" s="953">
        <f t="shared" si="9"/>
        <v>83177.399999999994</v>
      </c>
      <c r="H55" s="494">
        <f>'příl.1 - cp 2018'!K113</f>
        <v>400</v>
      </c>
      <c r="I55" s="495"/>
      <c r="J55" s="496"/>
      <c r="K55" s="490">
        <f t="shared" si="10"/>
        <v>72588.600000000006</v>
      </c>
      <c r="L55" s="493">
        <v>3951.8</v>
      </c>
      <c r="M55" s="599">
        <v>68636.800000000003</v>
      </c>
      <c r="N55" s="804"/>
      <c r="O55" s="107"/>
      <c r="P55" s="107"/>
      <c r="Q55" s="107"/>
      <c r="R55" s="107"/>
      <c r="S55" s="107"/>
      <c r="T55" s="107"/>
      <c r="U55" s="107"/>
    </row>
    <row r="56" spans="1:21" x14ac:dyDescent="0.2">
      <c r="A56" s="35">
        <v>37</v>
      </c>
      <c r="B56" s="865">
        <v>56</v>
      </c>
      <c r="C56" s="40" t="s">
        <v>15</v>
      </c>
      <c r="D56" s="866">
        <f t="shared" si="7"/>
        <v>126047.29999999999</v>
      </c>
      <c r="E56" s="952">
        <f t="shared" si="11"/>
        <v>15517.9</v>
      </c>
      <c r="F56" s="952">
        <f t="shared" si="8"/>
        <v>110529.4</v>
      </c>
      <c r="G56" s="953">
        <f t="shared" si="9"/>
        <v>110529.4</v>
      </c>
      <c r="H56" s="867"/>
      <c r="I56" s="514"/>
      <c r="J56" s="515"/>
      <c r="K56" s="742">
        <f t="shared" si="10"/>
        <v>111321.60000000001</v>
      </c>
      <c r="L56" s="503">
        <v>14645</v>
      </c>
      <c r="M56" s="740">
        <v>96676.6</v>
      </c>
      <c r="N56" s="805"/>
      <c r="O56" s="107"/>
      <c r="P56" s="107"/>
      <c r="Q56" s="107"/>
      <c r="R56" s="107"/>
      <c r="S56" s="107"/>
      <c r="T56" s="107"/>
      <c r="U56" s="107"/>
    </row>
    <row r="57" spans="1:21" s="519" customFormat="1" x14ac:dyDescent="0.2">
      <c r="A57" s="692">
        <v>38</v>
      </c>
      <c r="B57" s="869" t="s">
        <v>38</v>
      </c>
      <c r="C57" s="729"/>
      <c r="D57" s="702">
        <f t="shared" ref="D57:M57" si="12">SUM(D48:D56)</f>
        <v>2113776.6</v>
      </c>
      <c r="E57" s="717">
        <f t="shared" si="12"/>
        <v>569836.80000000005</v>
      </c>
      <c r="F57" s="717">
        <f t="shared" si="12"/>
        <v>1543939.7999999998</v>
      </c>
      <c r="G57" s="816">
        <f t="shared" si="12"/>
        <v>1497813.7999999998</v>
      </c>
      <c r="H57" s="752">
        <f t="shared" si="12"/>
        <v>46126</v>
      </c>
      <c r="I57" s="520">
        <f t="shared" si="12"/>
        <v>0</v>
      </c>
      <c r="J57" s="717">
        <f t="shared" si="12"/>
        <v>0</v>
      </c>
      <c r="K57" s="703">
        <f t="shared" si="12"/>
        <v>1881041.5000000005</v>
      </c>
      <c r="L57" s="507">
        <f t="shared" si="12"/>
        <v>518366.4</v>
      </c>
      <c r="M57" s="816">
        <f t="shared" si="12"/>
        <v>1362675.1</v>
      </c>
      <c r="N57" s="823">
        <v>0</v>
      </c>
      <c r="O57" s="623"/>
      <c r="P57" s="623"/>
      <c r="Q57" s="623"/>
      <c r="R57" s="623"/>
      <c r="S57" s="623"/>
      <c r="T57" s="623"/>
      <c r="U57" s="623"/>
    </row>
    <row r="58" spans="1:21" x14ac:dyDescent="0.2">
      <c r="A58" s="35">
        <v>39</v>
      </c>
      <c r="B58" s="451">
        <v>71</v>
      </c>
      <c r="C58" s="38" t="s">
        <v>196</v>
      </c>
      <c r="D58" s="699">
        <f>SUM(E58:F58)</f>
        <v>99918.1</v>
      </c>
      <c r="E58" s="510">
        <f>E18</f>
        <v>97918.1</v>
      </c>
      <c r="F58" s="510">
        <f>SUM(G58:I58)</f>
        <v>2000</v>
      </c>
      <c r="G58" s="822">
        <f>F18</f>
        <v>0</v>
      </c>
      <c r="H58" s="868">
        <f>'příl.1 - cp 2018'!K116</f>
        <v>2000</v>
      </c>
      <c r="I58" s="488"/>
      <c r="J58" s="489"/>
      <c r="K58" s="490">
        <f>SUM(L58:N58)</f>
        <v>79404.100000000006</v>
      </c>
      <c r="L58" s="510">
        <v>77404.100000000006</v>
      </c>
      <c r="M58" s="486">
        <v>2000</v>
      </c>
      <c r="N58" s="806"/>
      <c r="O58" s="107"/>
      <c r="P58" s="107"/>
      <c r="Q58" s="107"/>
      <c r="R58" s="107"/>
      <c r="S58" s="107"/>
      <c r="T58" s="107"/>
      <c r="U58" s="107"/>
    </row>
    <row r="59" spans="1:21" x14ac:dyDescent="0.2">
      <c r="A59" s="280">
        <v>40</v>
      </c>
      <c r="B59" s="439">
        <v>79</v>
      </c>
      <c r="C59" s="39" t="s">
        <v>357</v>
      </c>
      <c r="D59" s="462">
        <f t="shared" ref="D59:D68" si="13">SUM(E59:F59)</f>
        <v>5340</v>
      </c>
      <c r="E59" s="510">
        <f t="shared" ref="E59:E69" si="14">E19</f>
        <v>0</v>
      </c>
      <c r="F59" s="510">
        <f t="shared" ref="F59:F69" si="15">SUM(G59:I59)</f>
        <v>5340</v>
      </c>
      <c r="G59" s="822">
        <f t="shared" ref="G59:G69" si="16">F19</f>
        <v>0</v>
      </c>
      <c r="H59" s="494">
        <f>'příl.1 - cp 2018'!K119</f>
        <v>5340</v>
      </c>
      <c r="I59" s="601"/>
      <c r="J59" s="496"/>
      <c r="K59" s="490">
        <f t="shared" ref="K59:K69" si="17">SUM(L59:N59)</f>
        <v>5340</v>
      </c>
      <c r="L59" s="509">
        <v>0</v>
      </c>
      <c r="M59" s="600">
        <v>5340</v>
      </c>
      <c r="N59" s="806"/>
      <c r="O59" s="107"/>
      <c r="P59" s="107"/>
      <c r="Q59" s="107"/>
      <c r="R59" s="107"/>
      <c r="S59" s="107"/>
      <c r="T59" s="107"/>
      <c r="U59" s="107"/>
    </row>
    <row r="60" spans="1:21" x14ac:dyDescent="0.2">
      <c r="A60" s="35">
        <v>41</v>
      </c>
      <c r="B60" s="439">
        <v>81</v>
      </c>
      <c r="C60" s="39" t="s">
        <v>69</v>
      </c>
      <c r="D60" s="462">
        <f t="shared" si="13"/>
        <v>0</v>
      </c>
      <c r="E60" s="510">
        <f t="shared" si="14"/>
        <v>0</v>
      </c>
      <c r="F60" s="510">
        <f t="shared" si="15"/>
        <v>0</v>
      </c>
      <c r="G60" s="822">
        <f t="shared" si="16"/>
        <v>0</v>
      </c>
      <c r="H60" s="494"/>
      <c r="I60" s="495"/>
      <c r="J60" s="496"/>
      <c r="K60" s="490">
        <f t="shared" si="17"/>
        <v>0</v>
      </c>
      <c r="L60" s="509">
        <v>0</v>
      </c>
      <c r="M60" s="600">
        <v>0</v>
      </c>
      <c r="N60" s="497"/>
      <c r="O60" s="107"/>
      <c r="P60" s="107"/>
      <c r="Q60" s="107"/>
      <c r="R60" s="107"/>
      <c r="S60" s="107"/>
      <c r="T60" s="107"/>
      <c r="U60" s="107"/>
    </row>
    <row r="61" spans="1:21" x14ac:dyDescent="0.2">
      <c r="A61" s="280">
        <v>42</v>
      </c>
      <c r="B61" s="439">
        <v>82</v>
      </c>
      <c r="C61" s="39" t="s">
        <v>1</v>
      </c>
      <c r="D61" s="462">
        <f t="shared" si="13"/>
        <v>9348</v>
      </c>
      <c r="E61" s="510">
        <f t="shared" si="14"/>
        <v>0</v>
      </c>
      <c r="F61" s="510">
        <f t="shared" si="15"/>
        <v>9348</v>
      </c>
      <c r="G61" s="822">
        <f t="shared" si="16"/>
        <v>0</v>
      </c>
      <c r="H61" s="494">
        <f>'příl.1 - cp 2018'!K128</f>
        <v>9348</v>
      </c>
      <c r="I61" s="495"/>
      <c r="J61" s="496"/>
      <c r="K61" s="490">
        <f t="shared" si="17"/>
        <v>10348</v>
      </c>
      <c r="L61" s="509">
        <v>0</v>
      </c>
      <c r="M61" s="600">
        <v>10348</v>
      </c>
      <c r="N61" s="497"/>
      <c r="O61" s="107"/>
      <c r="P61" s="107"/>
      <c r="Q61" s="107"/>
      <c r="R61" s="107"/>
      <c r="S61" s="107"/>
      <c r="T61" s="107"/>
      <c r="U61" s="107"/>
    </row>
    <row r="62" spans="1:21" x14ac:dyDescent="0.2">
      <c r="A62" s="35">
        <v>43</v>
      </c>
      <c r="B62" s="439">
        <v>83</v>
      </c>
      <c r="C62" s="39" t="s">
        <v>80</v>
      </c>
      <c r="D62" s="462">
        <f t="shared" si="13"/>
        <v>8570</v>
      </c>
      <c r="E62" s="510">
        <f t="shared" si="14"/>
        <v>0</v>
      </c>
      <c r="F62" s="510">
        <f t="shared" si="15"/>
        <v>8570</v>
      </c>
      <c r="G62" s="822">
        <f t="shared" si="16"/>
        <v>6500</v>
      </c>
      <c r="H62" s="494">
        <f>'příl.1 - cp 2018'!I130+'příl.1 - cp 2018'!K18</f>
        <v>2070</v>
      </c>
      <c r="I62" s="495"/>
      <c r="J62" s="496"/>
      <c r="K62" s="490">
        <f t="shared" si="17"/>
        <v>6629</v>
      </c>
      <c r="L62" s="509">
        <v>0</v>
      </c>
      <c r="M62" s="600">
        <v>6629</v>
      </c>
      <c r="N62" s="497"/>
      <c r="O62" s="107"/>
      <c r="P62" s="107"/>
      <c r="Q62" s="107"/>
      <c r="R62" s="107"/>
      <c r="S62" s="107"/>
      <c r="T62" s="107"/>
      <c r="U62" s="107"/>
    </row>
    <row r="63" spans="1:21" x14ac:dyDescent="0.2">
      <c r="A63" s="280">
        <v>44</v>
      </c>
      <c r="B63" s="439">
        <v>84</v>
      </c>
      <c r="C63" s="39" t="s">
        <v>79</v>
      </c>
      <c r="D63" s="462">
        <f t="shared" si="13"/>
        <v>3573.8</v>
      </c>
      <c r="E63" s="510">
        <f t="shared" si="14"/>
        <v>563.79999999999995</v>
      </c>
      <c r="F63" s="510">
        <f t="shared" si="15"/>
        <v>3010</v>
      </c>
      <c r="G63" s="822">
        <f t="shared" si="16"/>
        <v>3000</v>
      </c>
      <c r="H63" s="494">
        <f>'příl.1 - cp 2018'!K132+'příl.1 - cp 2018'!K19</f>
        <v>10</v>
      </c>
      <c r="I63" s="495"/>
      <c r="J63" s="496"/>
      <c r="K63" s="490">
        <f t="shared" si="17"/>
        <v>3683.4</v>
      </c>
      <c r="L63" s="509">
        <v>673.4</v>
      </c>
      <c r="M63" s="600">
        <v>3010</v>
      </c>
      <c r="N63" s="497"/>
      <c r="O63" s="107"/>
      <c r="P63" s="107"/>
      <c r="Q63" s="107"/>
      <c r="R63" s="107"/>
      <c r="S63" s="107"/>
      <c r="T63" s="107"/>
      <c r="U63" s="107"/>
    </row>
    <row r="64" spans="1:21" x14ac:dyDescent="0.2">
      <c r="A64" s="35">
        <v>45</v>
      </c>
      <c r="B64" s="439">
        <v>85</v>
      </c>
      <c r="C64" s="39" t="s">
        <v>100</v>
      </c>
      <c r="D64" s="462">
        <f t="shared" si="13"/>
        <v>3087.8</v>
      </c>
      <c r="E64" s="510">
        <f t="shared" si="14"/>
        <v>1740</v>
      </c>
      <c r="F64" s="510">
        <f t="shared" si="15"/>
        <v>1347.8</v>
      </c>
      <c r="G64" s="822">
        <f t="shared" si="16"/>
        <v>1347.8</v>
      </c>
      <c r="H64" s="494"/>
      <c r="I64" s="495"/>
      <c r="J64" s="496"/>
      <c r="K64" s="490">
        <f t="shared" si="17"/>
        <v>1275</v>
      </c>
      <c r="L64" s="493">
        <v>1275</v>
      </c>
      <c r="M64" s="600">
        <v>0</v>
      </c>
      <c r="N64" s="497"/>
      <c r="O64" s="107"/>
      <c r="P64" s="107"/>
      <c r="Q64" s="107"/>
      <c r="R64" s="107"/>
      <c r="S64" s="107"/>
      <c r="T64" s="107"/>
      <c r="U64" s="107"/>
    </row>
    <row r="65" spans="1:24" x14ac:dyDescent="0.2">
      <c r="A65" s="280">
        <v>46</v>
      </c>
      <c r="B65" s="439">
        <v>87</v>
      </c>
      <c r="C65" s="39" t="s">
        <v>129</v>
      </c>
      <c r="D65" s="462">
        <f t="shared" si="13"/>
        <v>8818</v>
      </c>
      <c r="E65" s="510">
        <f t="shared" si="14"/>
        <v>18</v>
      </c>
      <c r="F65" s="510">
        <f t="shared" si="15"/>
        <v>8800</v>
      </c>
      <c r="G65" s="822">
        <f t="shared" si="16"/>
        <v>8000</v>
      </c>
      <c r="H65" s="494">
        <f>'příl.1 - cp 2018'!K134+'příl.1 - cp 2018'!K21</f>
        <v>800</v>
      </c>
      <c r="I65" s="495"/>
      <c r="J65" s="496"/>
      <c r="K65" s="490">
        <f t="shared" si="17"/>
        <v>8524</v>
      </c>
      <c r="L65" s="493">
        <v>0</v>
      </c>
      <c r="M65" s="600">
        <v>8524</v>
      </c>
      <c r="N65" s="497"/>
      <c r="O65" s="107"/>
      <c r="P65" s="107"/>
      <c r="Q65" s="107"/>
      <c r="R65" s="107"/>
      <c r="S65" s="107"/>
      <c r="T65" s="107"/>
      <c r="U65" s="107"/>
    </row>
    <row r="66" spans="1:24" x14ac:dyDescent="0.2">
      <c r="A66" s="35">
        <v>47</v>
      </c>
      <c r="B66" s="439">
        <v>92</v>
      </c>
      <c r="C66" s="39" t="s">
        <v>17</v>
      </c>
      <c r="D66" s="462">
        <f t="shared" si="13"/>
        <v>140502.39999999999</v>
      </c>
      <c r="E66" s="510">
        <f t="shared" si="14"/>
        <v>4985.3999999999996</v>
      </c>
      <c r="F66" s="510">
        <f t="shared" si="15"/>
        <v>135517</v>
      </c>
      <c r="G66" s="822">
        <f t="shared" si="16"/>
        <v>105817</v>
      </c>
      <c r="H66" s="494">
        <f>'příl.1 - cp 2018'!K157+'příl.1 - cp 2018'!K22</f>
        <v>29700</v>
      </c>
      <c r="I66" s="495"/>
      <c r="J66" s="496"/>
      <c r="K66" s="490">
        <f t="shared" si="17"/>
        <v>139060.5</v>
      </c>
      <c r="L66" s="493">
        <v>3793.5</v>
      </c>
      <c r="M66" s="600">
        <v>135267</v>
      </c>
      <c r="N66" s="497"/>
      <c r="O66" s="107"/>
      <c r="P66" s="107"/>
      <c r="Q66" s="107"/>
      <c r="R66" s="107"/>
      <c r="S66" s="107"/>
      <c r="T66" s="107"/>
      <c r="U66" s="107"/>
    </row>
    <row r="67" spans="1:24" x14ac:dyDescent="0.2">
      <c r="A67" s="280">
        <v>48</v>
      </c>
      <c r="B67" s="439">
        <v>96</v>
      </c>
      <c r="C67" s="39" t="s">
        <v>24</v>
      </c>
      <c r="D67" s="462">
        <f t="shared" si="13"/>
        <v>36870.900000000009</v>
      </c>
      <c r="E67" s="510">
        <f t="shared" si="14"/>
        <v>870.9</v>
      </c>
      <c r="F67" s="510">
        <f t="shared" si="15"/>
        <v>36000.000000000007</v>
      </c>
      <c r="G67" s="822">
        <f t="shared" si="16"/>
        <v>36000.000000000007</v>
      </c>
      <c r="H67" s="494">
        <f>'příl.1 - cp 2018'!K23</f>
        <v>0</v>
      </c>
      <c r="I67" s="495"/>
      <c r="J67" s="496"/>
      <c r="K67" s="490">
        <f t="shared" si="17"/>
        <v>32821.699999999997</v>
      </c>
      <c r="L67" s="493">
        <v>819.7</v>
      </c>
      <c r="M67" s="600">
        <v>32002</v>
      </c>
      <c r="N67" s="497"/>
      <c r="O67" s="107"/>
      <c r="P67" s="107"/>
      <c r="Q67" s="107"/>
      <c r="R67" s="107"/>
      <c r="S67" s="107"/>
      <c r="T67" s="107"/>
      <c r="U67" s="107"/>
    </row>
    <row r="68" spans="1:24" x14ac:dyDescent="0.2">
      <c r="A68" s="35">
        <v>49</v>
      </c>
      <c r="B68" s="439">
        <v>97</v>
      </c>
      <c r="C68" s="39" t="s">
        <v>25</v>
      </c>
      <c r="D68" s="462">
        <f t="shared" si="13"/>
        <v>11650</v>
      </c>
      <c r="E68" s="510">
        <f t="shared" si="14"/>
        <v>0</v>
      </c>
      <c r="F68" s="510">
        <f t="shared" si="15"/>
        <v>11650</v>
      </c>
      <c r="G68" s="822">
        <f t="shared" si="16"/>
        <v>11650</v>
      </c>
      <c r="H68" s="494">
        <f>'příl.1 - cp 2018'!K159</f>
        <v>0</v>
      </c>
      <c r="I68" s="495"/>
      <c r="J68" s="496"/>
      <c r="K68" s="490">
        <f t="shared" si="17"/>
        <v>9450</v>
      </c>
      <c r="L68" s="493">
        <v>0</v>
      </c>
      <c r="M68" s="600">
        <v>9450</v>
      </c>
      <c r="N68" s="504"/>
      <c r="O68" s="107"/>
      <c r="P68" s="107"/>
      <c r="Q68" s="107"/>
      <c r="R68" s="107"/>
      <c r="S68" s="107"/>
      <c r="T68" s="107"/>
      <c r="U68" s="107"/>
    </row>
    <row r="69" spans="1:24" x14ac:dyDescent="0.2">
      <c r="A69" s="827">
        <v>50</v>
      </c>
      <c r="B69" s="513">
        <v>99</v>
      </c>
      <c r="C69" s="40" t="s">
        <v>82</v>
      </c>
      <c r="D69" s="452">
        <f>SUM(E69:F69,J69)</f>
        <v>273775.25</v>
      </c>
      <c r="E69" s="510">
        <f t="shared" si="14"/>
        <v>52300</v>
      </c>
      <c r="F69" s="510">
        <f t="shared" si="15"/>
        <v>197874.4174143913</v>
      </c>
      <c r="G69" s="822">
        <f t="shared" si="16"/>
        <v>80206.167414391311</v>
      </c>
      <c r="H69" s="501">
        <f>'příl.1 - cp 2018'!K93+'příl.1 - cp 2018'!K25-I69</f>
        <v>102668.25</v>
      </c>
      <c r="I69" s="514">
        <f>'příl.1 - cp 2018'!K92</f>
        <v>15000</v>
      </c>
      <c r="J69" s="515">
        <f>G29</f>
        <v>23600.832585608703</v>
      </c>
      <c r="K69" s="490">
        <f t="shared" si="17"/>
        <v>220681.5</v>
      </c>
      <c r="L69" s="485">
        <v>24439.5</v>
      </c>
      <c r="M69" s="817">
        <v>179363.09402934986</v>
      </c>
      <c r="N69" s="502">
        <v>16878.905970650143</v>
      </c>
      <c r="O69" s="107"/>
      <c r="P69" s="107"/>
      <c r="Q69" s="107"/>
      <c r="R69" s="107"/>
      <c r="S69" s="107"/>
      <c r="T69" s="107"/>
      <c r="U69" s="107"/>
    </row>
    <row r="70" spans="1:24" s="519" customFormat="1" x14ac:dyDescent="0.2">
      <c r="A70" s="692">
        <v>51</v>
      </c>
      <c r="B70" s="467" t="s">
        <v>506</v>
      </c>
      <c r="C70" s="829"/>
      <c r="D70" s="830">
        <f>SUM(D58:D69)</f>
        <v>601454.25</v>
      </c>
      <c r="E70" s="821">
        <f>SUM(E58:E69)</f>
        <v>158396.20000000001</v>
      </c>
      <c r="F70" s="821">
        <f t="shared" ref="F70:N70" si="18">SUM(F58:F69)</f>
        <v>419457.21741439129</v>
      </c>
      <c r="G70" s="821">
        <f t="shared" si="18"/>
        <v>252520.96741439134</v>
      </c>
      <c r="H70" s="831">
        <f>SUM(H58:H69)</f>
        <v>151936.25</v>
      </c>
      <c r="I70" s="832">
        <f t="shared" si="18"/>
        <v>15000</v>
      </c>
      <c r="J70" s="821">
        <f t="shared" si="18"/>
        <v>23600.832585608703</v>
      </c>
      <c r="K70" s="833">
        <f t="shared" si="18"/>
        <v>517217.2</v>
      </c>
      <c r="L70" s="792">
        <f t="shared" si="18"/>
        <v>108405.2</v>
      </c>
      <c r="M70" s="821">
        <f t="shared" si="18"/>
        <v>391933.09402934986</v>
      </c>
      <c r="N70" s="834">
        <f t="shared" si="18"/>
        <v>16878.905970650143</v>
      </c>
      <c r="O70" s="623"/>
      <c r="P70" s="623"/>
      <c r="Q70" s="623"/>
      <c r="R70" s="623"/>
      <c r="S70" s="623"/>
      <c r="T70" s="623"/>
      <c r="U70" s="623"/>
    </row>
    <row r="71" spans="1:24" s="519" customFormat="1" ht="13.5" thickBot="1" x14ac:dyDescent="0.25">
      <c r="A71" s="835">
        <v>52</v>
      </c>
      <c r="B71" s="836" t="s">
        <v>532</v>
      </c>
      <c r="C71" s="836"/>
      <c r="D71" s="837">
        <f>SUM(E71:F71)</f>
        <v>121000</v>
      </c>
      <c r="E71" s="838"/>
      <c r="F71" s="839">
        <f>SUM(G71:J71)</f>
        <v>121000</v>
      </c>
      <c r="G71" s="840"/>
      <c r="H71" s="841">
        <f>'příl.1 - cp 2018'!K7+'příl.1 - cp 2018'!K26</f>
        <v>121000</v>
      </c>
      <c r="I71" s="838"/>
      <c r="J71" s="842"/>
      <c r="K71" s="843">
        <f>SUM(L71:N71)</f>
        <v>88000</v>
      </c>
      <c r="L71" s="838">
        <v>0</v>
      </c>
      <c r="M71" s="840">
        <v>88000</v>
      </c>
      <c r="N71" s="844"/>
      <c r="O71" s="623"/>
      <c r="P71" s="623"/>
      <c r="Q71" s="623"/>
      <c r="R71" s="623"/>
      <c r="S71" s="623"/>
      <c r="T71" s="623"/>
      <c r="U71" s="623"/>
    </row>
    <row r="72" spans="1:24" ht="14.25" customHeight="1" thickBot="1" x14ac:dyDescent="0.25">
      <c r="A72" s="284">
        <v>53</v>
      </c>
      <c r="B72" s="468" t="s">
        <v>71</v>
      </c>
      <c r="C72" s="457"/>
      <c r="D72" s="763">
        <f>D57+D70+D71</f>
        <v>2836230.85</v>
      </c>
      <c r="E72" s="778">
        <f t="shared" ref="E72:J72" si="19">E57+E70+E71</f>
        <v>728233</v>
      </c>
      <c r="F72" s="780">
        <f t="shared" si="19"/>
        <v>2084397.017414391</v>
      </c>
      <c r="G72" s="779">
        <f t="shared" si="19"/>
        <v>1750334.767414391</v>
      </c>
      <c r="H72" s="721">
        <f t="shared" si="19"/>
        <v>319062.25</v>
      </c>
      <c r="I72" s="722">
        <f t="shared" si="19"/>
        <v>15000</v>
      </c>
      <c r="J72" s="458">
        <f t="shared" si="19"/>
        <v>23600.832585608703</v>
      </c>
      <c r="K72" s="781">
        <f>K57++K70+K71</f>
        <v>2486258.7000000007</v>
      </c>
      <c r="L72" s="782">
        <f>L57++L70+L71</f>
        <v>626771.6</v>
      </c>
      <c r="M72" s="818">
        <f>M57++M70+M71</f>
        <v>1842608.1940293498</v>
      </c>
      <c r="N72" s="782">
        <f>N57++N70+N71</f>
        <v>16878.905970650143</v>
      </c>
      <c r="O72" s="107"/>
      <c r="P72" s="107"/>
      <c r="Q72" s="107"/>
      <c r="R72" s="107"/>
      <c r="S72" s="107"/>
      <c r="T72" s="107"/>
      <c r="U72" s="107"/>
    </row>
    <row r="73" spans="1:24" s="956" customFormat="1" ht="15" customHeight="1" x14ac:dyDescent="0.2">
      <c r="A73" s="955" t="s">
        <v>335</v>
      </c>
      <c r="D73" s="957"/>
      <c r="E73" s="1562">
        <f>E72+F72</f>
        <v>2812630.017414391</v>
      </c>
      <c r="F73" s="1563"/>
      <c r="G73" s="1557">
        <f>G72+H72+I72</f>
        <v>2084397.017414391</v>
      </c>
      <c r="H73" s="1558"/>
      <c r="I73" s="1559"/>
      <c r="J73" s="958"/>
      <c r="K73" s="959"/>
      <c r="L73" s="1562">
        <f>SUM(L72:M72)</f>
        <v>2469379.7940293499</v>
      </c>
      <c r="M73" s="1563"/>
      <c r="N73" s="960"/>
      <c r="O73" s="960"/>
      <c r="P73" s="960"/>
      <c r="Q73" s="960"/>
      <c r="R73" s="960"/>
      <c r="S73" s="960"/>
      <c r="T73" s="960"/>
      <c r="U73" s="960"/>
      <c r="X73" s="961"/>
    </row>
    <row r="74" spans="1:24" s="963" customFormat="1" ht="15" x14ac:dyDescent="0.2">
      <c r="A74" s="962"/>
      <c r="D74" s="1002">
        <f>D35-D72</f>
        <v>0</v>
      </c>
      <c r="E74" s="1571">
        <f>E72+H72+G72</f>
        <v>2797630.017414391</v>
      </c>
      <c r="F74" s="1573"/>
      <c r="G74" s="1573"/>
      <c r="H74" s="1574"/>
      <c r="I74" s="957"/>
      <c r="J74" s="1001"/>
      <c r="K74" s="965"/>
      <c r="N74" s="960"/>
      <c r="O74" s="960"/>
      <c r="P74" s="960"/>
      <c r="Q74" s="960"/>
      <c r="R74" s="960"/>
      <c r="S74" s="960"/>
      <c r="T74" s="960"/>
      <c r="U74" s="960"/>
      <c r="V74" s="956"/>
      <c r="W74" s="956"/>
      <c r="X74" s="961"/>
    </row>
    <row r="75" spans="1:24" s="963" customFormat="1" ht="15" x14ac:dyDescent="0.2">
      <c r="A75" s="962"/>
      <c r="D75" s="964"/>
      <c r="E75" s="964"/>
      <c r="F75" s="957"/>
      <c r="G75" s="964"/>
      <c r="H75" s="1571">
        <f>H72+I72</f>
        <v>334062.25</v>
      </c>
      <c r="I75" s="1572"/>
      <c r="J75" s="957"/>
      <c r="K75" s="965"/>
      <c r="N75" s="960"/>
      <c r="O75" s="960"/>
      <c r="P75" s="960"/>
      <c r="Q75" s="960"/>
      <c r="R75" s="960"/>
      <c r="S75" s="960"/>
      <c r="T75" s="960"/>
      <c r="U75" s="960"/>
      <c r="V75" s="956"/>
      <c r="W75" s="956"/>
      <c r="X75" s="961"/>
    </row>
    <row r="76" spans="1:24" s="624" customFormat="1" ht="15" x14ac:dyDescent="0.2">
      <c r="A76" s="625"/>
      <c r="D76" s="626"/>
      <c r="E76" s="626"/>
      <c r="F76" s="623"/>
      <c r="G76" s="626"/>
      <c r="H76" s="623"/>
      <c r="I76" s="623"/>
      <c r="J76" s="623"/>
      <c r="K76" s="627"/>
      <c r="N76" s="107"/>
      <c r="O76" s="107"/>
      <c r="P76" s="107"/>
      <c r="Q76" s="107"/>
      <c r="R76" s="107"/>
      <c r="S76" s="107"/>
      <c r="T76" s="107"/>
      <c r="U76" s="107"/>
      <c r="V76" s="519"/>
      <c r="W76" s="519"/>
      <c r="X76" s="33"/>
    </row>
    <row r="77" spans="1:24" s="624" customFormat="1" ht="15" x14ac:dyDescent="0.2">
      <c r="A77" s="625"/>
      <c r="D77" s="626"/>
      <c r="E77" s="626"/>
      <c r="F77" s="623"/>
      <c r="G77" s="626"/>
      <c r="H77" s="623"/>
      <c r="I77" s="623"/>
      <c r="J77" s="623"/>
      <c r="K77" s="627"/>
      <c r="N77" s="107"/>
      <c r="O77" s="107"/>
      <c r="P77" s="107"/>
      <c r="Q77" s="107"/>
      <c r="R77" s="107"/>
      <c r="S77" s="107"/>
      <c r="T77" s="107"/>
      <c r="U77" s="107"/>
      <c r="V77" s="519"/>
      <c r="W77" s="519"/>
      <c r="X77" s="33"/>
    </row>
    <row r="78" spans="1:24" s="624" customFormat="1" x14ac:dyDescent="0.2">
      <c r="A78" s="756" t="s">
        <v>664</v>
      </c>
      <c r="B78" s="757"/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8"/>
      <c r="N78" s="757"/>
      <c r="O78" s="107"/>
      <c r="P78" s="107"/>
      <c r="Q78" s="107"/>
      <c r="R78" s="107"/>
      <c r="S78" s="107"/>
      <c r="T78" s="107"/>
      <c r="U78" s="107"/>
      <c r="V78" s="519"/>
      <c r="W78" s="519"/>
      <c r="X78" s="33"/>
    </row>
    <row r="79" spans="1:24" s="624" customFormat="1" ht="13.5" thickBot="1" x14ac:dyDescent="0.25">
      <c r="A79" s="519" t="s">
        <v>316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419"/>
      <c r="N79" s="33"/>
      <c r="O79" s="107"/>
      <c r="P79" s="107"/>
      <c r="Q79" s="107"/>
      <c r="R79" s="107"/>
      <c r="S79" s="107"/>
      <c r="T79" s="107"/>
      <c r="U79" s="107"/>
      <c r="V79" s="519"/>
      <c r="W79" s="519"/>
      <c r="X79" s="33"/>
    </row>
    <row r="80" spans="1:24" s="624" customFormat="1" x14ac:dyDescent="0.2">
      <c r="A80" s="109"/>
      <c r="B80" s="421"/>
      <c r="C80" s="278"/>
      <c r="D80" s="1550" t="s">
        <v>600</v>
      </c>
      <c r="E80" s="1551"/>
      <c r="F80" s="1551"/>
      <c r="G80" s="1551"/>
      <c r="H80" s="1551"/>
      <c r="I80" s="1551"/>
      <c r="J80" s="1552"/>
      <c r="K80" s="1565" t="s">
        <v>574</v>
      </c>
      <c r="L80" s="1566"/>
      <c r="M80" s="1566"/>
      <c r="N80" s="1567"/>
      <c r="O80" s="107"/>
      <c r="P80" s="970">
        <v>2018</v>
      </c>
      <c r="Q80" s="971">
        <v>2017</v>
      </c>
      <c r="R80" s="107"/>
      <c r="S80" s="107"/>
      <c r="T80" s="107"/>
      <c r="U80" s="107"/>
      <c r="V80" s="519"/>
      <c r="W80" s="519"/>
      <c r="X80" s="33"/>
    </row>
    <row r="81" spans="1:24" s="624" customFormat="1" x14ac:dyDescent="0.2">
      <c r="A81" s="422"/>
      <c r="B81" s="41"/>
      <c r="C81" s="42"/>
      <c r="D81" s="888" t="s">
        <v>135</v>
      </c>
      <c r="E81" s="1556" t="s">
        <v>179</v>
      </c>
      <c r="F81" s="1556"/>
      <c r="G81" s="1556"/>
      <c r="H81" s="1556"/>
      <c r="I81" s="1556"/>
      <c r="J81" s="616" t="s">
        <v>252</v>
      </c>
      <c r="K81" s="617" t="s">
        <v>135</v>
      </c>
      <c r="L81" s="1564" t="s">
        <v>31</v>
      </c>
      <c r="M81" s="1556"/>
      <c r="N81" s="1575"/>
      <c r="O81" s="107"/>
      <c r="P81" s="972"/>
      <c r="Q81" s="973"/>
      <c r="R81" s="107"/>
      <c r="S81" s="107"/>
      <c r="T81" s="107"/>
      <c r="U81" s="107"/>
      <c r="V81" s="519"/>
      <c r="W81" s="519"/>
      <c r="X81" s="33"/>
    </row>
    <row r="82" spans="1:24" s="624" customFormat="1" x14ac:dyDescent="0.2">
      <c r="A82" s="422"/>
      <c r="B82" s="41" t="s">
        <v>36</v>
      </c>
      <c r="C82" s="42"/>
      <c r="D82" s="889" t="s">
        <v>136</v>
      </c>
      <c r="E82" s="303" t="s">
        <v>172</v>
      </c>
      <c r="F82" s="36" t="s">
        <v>65</v>
      </c>
      <c r="G82" s="1560" t="s">
        <v>66</v>
      </c>
      <c r="H82" s="1561"/>
      <c r="I82" s="1561"/>
      <c r="J82" s="618" t="s">
        <v>254</v>
      </c>
      <c r="K82" s="617" t="s">
        <v>136</v>
      </c>
      <c r="L82" s="303" t="s">
        <v>172</v>
      </c>
      <c r="M82" s="431" t="s">
        <v>65</v>
      </c>
      <c r="N82" s="813" t="s">
        <v>105</v>
      </c>
      <c r="O82" s="107"/>
      <c r="P82" s="974" t="s">
        <v>358</v>
      </c>
      <c r="Q82" s="975" t="s">
        <v>358</v>
      </c>
      <c r="R82" s="107"/>
      <c r="S82" s="107"/>
      <c r="T82" s="107"/>
      <c r="U82" s="107"/>
      <c r="V82" s="519"/>
      <c r="W82" s="519"/>
      <c r="X82" s="33"/>
    </row>
    <row r="83" spans="1:24" s="624" customFormat="1" ht="15.75" thickBot="1" x14ac:dyDescent="0.25">
      <c r="A83" s="424" t="s">
        <v>34</v>
      </c>
      <c r="B83" s="425" t="s">
        <v>37</v>
      </c>
      <c r="C83" s="426"/>
      <c r="D83" s="890" t="s">
        <v>255</v>
      </c>
      <c r="E83" s="427" t="s">
        <v>171</v>
      </c>
      <c r="F83" s="472" t="s">
        <v>16</v>
      </c>
      <c r="G83" s="473" t="s">
        <v>32</v>
      </c>
      <c r="H83" s="474" t="s">
        <v>325</v>
      </c>
      <c r="I83" s="475" t="s">
        <v>33</v>
      </c>
      <c r="J83" s="619" t="s">
        <v>253</v>
      </c>
      <c r="K83" s="620" t="s">
        <v>255</v>
      </c>
      <c r="L83" s="427" t="s">
        <v>171</v>
      </c>
      <c r="M83" s="814" t="s">
        <v>16</v>
      </c>
      <c r="N83" s="819"/>
      <c r="O83" s="107"/>
      <c r="P83" s="974"/>
      <c r="Q83" s="975"/>
      <c r="R83" s="107"/>
      <c r="S83" s="107"/>
      <c r="W83" s="519"/>
      <c r="X83" s="33"/>
    </row>
    <row r="84" spans="1:24" s="624" customFormat="1" ht="13.5" thickBot="1" x14ac:dyDescent="0.25">
      <c r="A84" s="476"/>
      <c r="B84" s="43"/>
      <c r="C84" s="477" t="s">
        <v>223</v>
      </c>
      <c r="D84" s="891"/>
      <c r="E84" s="478">
        <v>2112</v>
      </c>
      <c r="F84" s="479"/>
      <c r="G84" s="480">
        <v>1111</v>
      </c>
      <c r="H84" s="481">
        <v>1112</v>
      </c>
      <c r="I84" s="482">
        <v>1112</v>
      </c>
      <c r="J84" s="622">
        <v>4769</v>
      </c>
      <c r="K84" s="483"/>
      <c r="L84" s="478"/>
      <c r="M84" s="815"/>
      <c r="N84" s="820"/>
      <c r="O84" s="107"/>
      <c r="P84" s="994" t="s">
        <v>521</v>
      </c>
      <c r="Q84" s="995" t="s">
        <v>521</v>
      </c>
      <c r="R84" s="107"/>
      <c r="S84" s="107"/>
      <c r="W84" s="519"/>
      <c r="X84" s="33"/>
    </row>
    <row r="85" spans="1:24" s="624" customFormat="1" x14ac:dyDescent="0.2">
      <c r="A85" s="290">
        <v>54</v>
      </c>
      <c r="B85" s="303">
        <v>11</v>
      </c>
      <c r="C85" s="42" t="s">
        <v>7</v>
      </c>
      <c r="D85" s="892">
        <f>SUM(E85:F85)</f>
        <v>331161.31826228456</v>
      </c>
      <c r="E85" s="783">
        <f>'pom1 - Přerozdělení IP'!Q10</f>
        <v>71090</v>
      </c>
      <c r="F85" s="485">
        <f>SUM(G85:H85)</f>
        <v>260071.31826228456</v>
      </c>
      <c r="G85" s="598">
        <f>'pom1 - Přerozdělení IP'!H10+'pom1 - Přerozdělení IP'!N10</f>
        <v>260071.31826228456</v>
      </c>
      <c r="H85" s="603">
        <f>'pom1 - Přerozdělení IP'!M10</f>
        <v>0</v>
      </c>
      <c r="I85" s="488"/>
      <c r="J85" s="489"/>
      <c r="K85" s="490">
        <f>SUM(L85:N85)</f>
        <v>294026.16560341604</v>
      </c>
      <c r="L85" s="491">
        <v>60634</v>
      </c>
      <c r="M85" s="598">
        <v>233392.16560341601</v>
      </c>
      <c r="N85" s="803"/>
      <c r="O85" s="107"/>
      <c r="P85" s="982">
        <f>'Rozdělení IRP'!F8</f>
        <v>9589.3689560045223</v>
      </c>
      <c r="Q85" s="976">
        <v>8808</v>
      </c>
      <c r="R85" s="107"/>
      <c r="S85" s="257"/>
      <c r="W85" s="519"/>
      <c r="X85" s="33"/>
    </row>
    <row r="86" spans="1:24" s="624" customFormat="1" x14ac:dyDescent="0.2">
      <c r="A86" s="280">
        <v>55</v>
      </c>
      <c r="B86" s="492">
        <v>21</v>
      </c>
      <c r="C86" s="39" t="s">
        <v>8</v>
      </c>
      <c r="D86" s="893">
        <f t="shared" ref="D86:D92" si="20">SUM(E86:F86)</f>
        <v>358556.63568469509</v>
      </c>
      <c r="E86" s="784">
        <f>'pom1 - Přerozdělení IP'!Q11</f>
        <v>70041</v>
      </c>
      <c r="F86" s="493">
        <f t="shared" ref="F86:F93" si="21">SUM(G86:H86)</f>
        <v>288515.63568469509</v>
      </c>
      <c r="G86" s="599">
        <f>'pom1 - Přerozdělení IP'!H11+'pom1 - Přerozdělení IP'!N11</f>
        <v>287589.63568469509</v>
      </c>
      <c r="H86" s="444">
        <f>'pom1 - Přerozdělení IP'!M11</f>
        <v>926</v>
      </c>
      <c r="I86" s="601"/>
      <c r="J86" s="496"/>
      <c r="K86" s="490">
        <f t="shared" ref="K86:K93" si="22">SUM(L86:N86)</f>
        <v>324970.63866060466</v>
      </c>
      <c r="L86" s="493">
        <v>56689</v>
      </c>
      <c r="M86" s="599">
        <v>268281.63866060466</v>
      </c>
      <c r="N86" s="804"/>
      <c r="O86" s="107"/>
      <c r="P86" s="982">
        <f>'Rozdělení IRP'!F9</f>
        <v>8535.3725175308864</v>
      </c>
      <c r="Q86" s="978">
        <v>9136</v>
      </c>
      <c r="R86" s="107"/>
      <c r="S86" s="257"/>
      <c r="W86" s="519"/>
      <c r="X86" s="33"/>
    </row>
    <row r="87" spans="1:24" s="624" customFormat="1" x14ac:dyDescent="0.2">
      <c r="A87" s="280">
        <v>56</v>
      </c>
      <c r="B87" s="492">
        <v>22</v>
      </c>
      <c r="C87" s="39" t="s">
        <v>9</v>
      </c>
      <c r="D87" s="893">
        <f t="shared" si="20"/>
        <v>130236.68680971117</v>
      </c>
      <c r="E87" s="784">
        <f>'pom1 - Přerozdělení IP'!Q12</f>
        <v>24535</v>
      </c>
      <c r="F87" s="493">
        <f t="shared" si="21"/>
        <v>105701.68680971117</v>
      </c>
      <c r="G87" s="599">
        <f>'pom1 - Přerozdělení IP'!H12+'pom1 - Přerozdělení IP'!N12</f>
        <v>105701.68680971117</v>
      </c>
      <c r="H87" s="444">
        <f>'pom1 - Přerozdělení IP'!M12</f>
        <v>0</v>
      </c>
      <c r="I87" s="601"/>
      <c r="J87" s="496"/>
      <c r="K87" s="490">
        <f t="shared" si="22"/>
        <v>110568.39935610427</v>
      </c>
      <c r="L87" s="493">
        <v>19410</v>
      </c>
      <c r="M87" s="599">
        <v>91158.399356104273</v>
      </c>
      <c r="N87" s="804"/>
      <c r="O87" s="107"/>
      <c r="P87" s="982">
        <f>'Rozdělení IRP'!F10</f>
        <v>2916.771048739623</v>
      </c>
      <c r="Q87" s="978">
        <v>2785</v>
      </c>
      <c r="R87" s="107"/>
      <c r="S87" s="257"/>
      <c r="W87" s="519"/>
      <c r="X87" s="33"/>
    </row>
    <row r="88" spans="1:24" s="624" customFormat="1" x14ac:dyDescent="0.2">
      <c r="A88" s="280">
        <v>57</v>
      </c>
      <c r="B88" s="492">
        <v>23</v>
      </c>
      <c r="C88" s="39" t="s">
        <v>10</v>
      </c>
      <c r="D88" s="893">
        <f t="shared" si="20"/>
        <v>159477.53318479579</v>
      </c>
      <c r="E88" s="784">
        <f>'pom1 - Přerozdělení IP'!Q13</f>
        <v>37571</v>
      </c>
      <c r="F88" s="493">
        <f t="shared" si="21"/>
        <v>121906.53318479579</v>
      </c>
      <c r="G88" s="599">
        <f>'pom1 - Přerozdělení IP'!H13+'pom1 - Přerozdělení IP'!N13</f>
        <v>121706.53318479579</v>
      </c>
      <c r="H88" s="444">
        <f>'pom1 - Přerozdělení IP'!M13</f>
        <v>200</v>
      </c>
      <c r="I88" s="601"/>
      <c r="J88" s="496"/>
      <c r="K88" s="490">
        <f t="shared" si="22"/>
        <v>140723.48865265356</v>
      </c>
      <c r="L88" s="493">
        <v>28852</v>
      </c>
      <c r="M88" s="599">
        <v>111871.48865265356</v>
      </c>
      <c r="N88" s="804"/>
      <c r="O88" s="107"/>
      <c r="P88" s="982">
        <f>'Rozdělení IRP'!F11</f>
        <v>4031.565381252211</v>
      </c>
      <c r="Q88" s="978">
        <v>4216</v>
      </c>
      <c r="R88" s="107"/>
      <c r="S88" s="257"/>
      <c r="W88" s="519"/>
      <c r="X88" s="33"/>
    </row>
    <row r="89" spans="1:24" s="624" customFormat="1" x14ac:dyDescent="0.2">
      <c r="A89" s="280">
        <v>58</v>
      </c>
      <c r="B89" s="492">
        <v>31</v>
      </c>
      <c r="C89" s="39" t="s">
        <v>11</v>
      </c>
      <c r="D89" s="893">
        <f t="shared" si="20"/>
        <v>532607.87894200394</v>
      </c>
      <c r="E89" s="784">
        <f>'pom1 - Přerozdělení IP'!Q14</f>
        <v>257232</v>
      </c>
      <c r="F89" s="493">
        <f t="shared" si="21"/>
        <v>275375.878942004</v>
      </c>
      <c r="G89" s="599">
        <f>'pom1 - Přerozdělení IP'!H14+'pom1 - Přerozdělení IP'!N14</f>
        <v>273175.878942004</v>
      </c>
      <c r="H89" s="444">
        <f>'pom1 - Přerozdělení IP'!M14</f>
        <v>2200</v>
      </c>
      <c r="I89" s="601"/>
      <c r="J89" s="496"/>
      <c r="K89" s="490">
        <f t="shared" si="22"/>
        <v>467480.00139009679</v>
      </c>
      <c r="L89" s="493">
        <v>199209</v>
      </c>
      <c r="M89" s="599">
        <v>268271.00139009679</v>
      </c>
      <c r="N89" s="804"/>
      <c r="O89" s="107"/>
      <c r="P89" s="982">
        <f>'Rozdělení IRP'!F12</f>
        <v>7017.061213622992</v>
      </c>
      <c r="Q89" s="978">
        <v>5579</v>
      </c>
      <c r="R89" s="107"/>
      <c r="S89" s="257"/>
      <c r="W89" s="519"/>
      <c r="X89" s="33"/>
    </row>
    <row r="90" spans="1:24" s="624" customFormat="1" x14ac:dyDescent="0.2">
      <c r="A90" s="280">
        <v>59</v>
      </c>
      <c r="B90" s="492">
        <v>33</v>
      </c>
      <c r="C90" s="39" t="s">
        <v>12</v>
      </c>
      <c r="D90" s="893">
        <f t="shared" si="20"/>
        <v>190388.96377422314</v>
      </c>
      <c r="E90" s="784">
        <f>'pom1 - Přerozdělení IP'!Q15</f>
        <v>43476</v>
      </c>
      <c r="F90" s="493">
        <f t="shared" si="21"/>
        <v>146912.96377422314</v>
      </c>
      <c r="G90" s="599">
        <f>'pom1 - Přerozdělení IP'!H15+'pom1 - Přerozdělení IP'!N15</f>
        <v>104912.96377422314</v>
      </c>
      <c r="H90" s="444">
        <f>'pom1 - Přerozdělení IP'!M15</f>
        <v>42000</v>
      </c>
      <c r="I90" s="601"/>
      <c r="J90" s="496"/>
      <c r="K90" s="490">
        <f t="shared" si="22"/>
        <v>174517.98499455123</v>
      </c>
      <c r="L90" s="493">
        <v>33094</v>
      </c>
      <c r="M90" s="599">
        <v>141423.98499455123</v>
      </c>
      <c r="N90" s="804"/>
      <c r="O90" s="107"/>
      <c r="P90" s="982">
        <f>'Rozdělení IRP'!F13</f>
        <v>3545.6119394366647</v>
      </c>
      <c r="Q90" s="978">
        <v>3152</v>
      </c>
      <c r="R90" s="107"/>
      <c r="S90" s="257"/>
      <c r="W90" s="519"/>
      <c r="X90" s="33"/>
    </row>
    <row r="91" spans="1:24" s="624" customFormat="1" x14ac:dyDescent="0.2">
      <c r="A91" s="280">
        <v>60</v>
      </c>
      <c r="B91" s="492">
        <v>41</v>
      </c>
      <c r="C91" s="39" t="s">
        <v>13</v>
      </c>
      <c r="D91" s="893">
        <f t="shared" si="20"/>
        <v>197350.85104599007</v>
      </c>
      <c r="E91" s="784">
        <f>'pom1 - Přerozdělení IP'!Q16</f>
        <v>27772</v>
      </c>
      <c r="F91" s="493">
        <f t="shared" si="21"/>
        <v>169578.85104599007</v>
      </c>
      <c r="G91" s="599">
        <f>'pom1 - Přerozdělení IP'!H16+'pom1 - Přerozdělení IP'!N16</f>
        <v>169178.85104599007</v>
      </c>
      <c r="H91" s="444">
        <f>'pom1 - Přerozdělení IP'!M16</f>
        <v>400</v>
      </c>
      <c r="I91" s="601"/>
      <c r="J91" s="496"/>
      <c r="K91" s="490">
        <f t="shared" si="22"/>
        <v>184844.23798622089</v>
      </c>
      <c r="L91" s="493">
        <v>26496</v>
      </c>
      <c r="M91" s="599">
        <v>158348.23798622089</v>
      </c>
      <c r="N91" s="804"/>
      <c r="O91" s="107"/>
      <c r="P91" s="982">
        <f>'Rozdělení IRP'!F14</f>
        <v>4071.3653704751478</v>
      </c>
      <c r="Q91" s="978">
        <v>3877</v>
      </c>
      <c r="R91" s="107"/>
      <c r="S91" s="257"/>
      <c r="W91" s="519"/>
      <c r="X91" s="33"/>
    </row>
    <row r="92" spans="1:24" s="624" customFormat="1" x14ac:dyDescent="0.2">
      <c r="A92" s="280">
        <v>61</v>
      </c>
      <c r="B92" s="492">
        <v>51</v>
      </c>
      <c r="C92" s="39" t="s">
        <v>222</v>
      </c>
      <c r="D92" s="893">
        <f t="shared" si="20"/>
        <v>87949.311502708544</v>
      </c>
      <c r="E92" s="784">
        <f>'pom1 - Přerozdělení IP'!Q17</f>
        <v>4227</v>
      </c>
      <c r="F92" s="493">
        <f t="shared" si="21"/>
        <v>83722.311502708544</v>
      </c>
      <c r="G92" s="599">
        <f>'pom1 - Přerozdělení IP'!H17+'pom1 - Přerozdělení IP'!N17</f>
        <v>83322.311502708544</v>
      </c>
      <c r="H92" s="444">
        <f>'pom1 - Přerozdělení IP'!M17</f>
        <v>400</v>
      </c>
      <c r="I92" s="601"/>
      <c r="J92" s="496"/>
      <c r="K92" s="490">
        <f t="shared" si="22"/>
        <v>72588.889276203219</v>
      </c>
      <c r="L92" s="493">
        <v>3356</v>
      </c>
      <c r="M92" s="599">
        <v>69232.889276203219</v>
      </c>
      <c r="N92" s="804"/>
      <c r="O92" s="107"/>
      <c r="P92" s="982">
        <f>'Rozdělení IRP'!F15</f>
        <v>1378.275344402763</v>
      </c>
      <c r="Q92" s="978">
        <v>1278</v>
      </c>
      <c r="R92" s="107"/>
      <c r="S92" s="257"/>
      <c r="W92" s="519"/>
      <c r="X92" s="33"/>
    </row>
    <row r="93" spans="1:24" s="624" customFormat="1" x14ac:dyDescent="0.2">
      <c r="A93" s="35">
        <v>62</v>
      </c>
      <c r="B93" s="499">
        <v>56</v>
      </c>
      <c r="C93" s="500" t="s">
        <v>15</v>
      </c>
      <c r="D93" s="892">
        <f>SUM(E93:F93)</f>
        <v>126047.79340467587</v>
      </c>
      <c r="E93" s="784">
        <f>'pom1 - Přerozdělení IP'!Q18</f>
        <v>15004</v>
      </c>
      <c r="F93" s="485">
        <f t="shared" si="21"/>
        <v>111043.79340467587</v>
      </c>
      <c r="G93" s="740">
        <f>'pom1 - Přerozdělení IP'!H18+'pom1 - Přerozdělení IP'!N18</f>
        <v>111043.79340467587</v>
      </c>
      <c r="H93" s="741">
        <f>'pom1 - Přerozdělení IP'!M18</f>
        <v>0</v>
      </c>
      <c r="I93" s="718"/>
      <c r="J93" s="515"/>
      <c r="K93" s="742">
        <f t="shared" si="22"/>
        <v>111321.65092615921</v>
      </c>
      <c r="L93" s="503">
        <v>12436</v>
      </c>
      <c r="M93" s="740">
        <v>98885.650926159215</v>
      </c>
      <c r="N93" s="805"/>
      <c r="O93" s="107"/>
      <c r="P93" s="982">
        <f>'Rozdělení IRP'!F16</f>
        <v>2787.8688273785792</v>
      </c>
      <c r="Q93" s="978">
        <v>2873</v>
      </c>
      <c r="R93" s="107"/>
      <c r="S93" s="257"/>
      <c r="W93" s="519"/>
      <c r="X93" s="33"/>
    </row>
    <row r="94" spans="1:24" s="624" customFormat="1" x14ac:dyDescent="0.2">
      <c r="A94" s="692">
        <v>63</v>
      </c>
      <c r="B94" s="505" t="s">
        <v>38</v>
      </c>
      <c r="C94" s="506"/>
      <c r="D94" s="894">
        <f>SUM(D85:D93)</f>
        <v>2113776.9726110883</v>
      </c>
      <c r="E94" s="785">
        <f t="shared" ref="E94:M94" si="23">SUM(E85:E93)</f>
        <v>550948</v>
      </c>
      <c r="F94" s="719">
        <f t="shared" si="23"/>
        <v>1562828.9726110883</v>
      </c>
      <c r="G94" s="743">
        <f t="shared" si="23"/>
        <v>1516702.9726110883</v>
      </c>
      <c r="H94" s="720">
        <f t="shared" si="23"/>
        <v>46126</v>
      </c>
      <c r="I94" s="901">
        <f t="shared" si="23"/>
        <v>0</v>
      </c>
      <c r="J94" s="900">
        <f t="shared" si="23"/>
        <v>0</v>
      </c>
      <c r="K94" s="666">
        <f t="shared" si="23"/>
        <v>1881041.4568460099</v>
      </c>
      <c r="L94" s="520">
        <f t="shared" si="23"/>
        <v>440176</v>
      </c>
      <c r="M94" s="816">
        <f t="shared" si="23"/>
        <v>1440865.4568460099</v>
      </c>
      <c r="N94" s="823">
        <v>0</v>
      </c>
      <c r="O94" s="107"/>
      <c r="P94" s="1476">
        <f>'Rozdělení IRP'!F17</f>
        <v>43873.260598843386</v>
      </c>
      <c r="Q94" s="979">
        <f>SUM(Q85:Q93)</f>
        <v>41704</v>
      </c>
      <c r="R94" s="107"/>
      <c r="S94" s="257"/>
      <c r="W94" s="519"/>
      <c r="X94" s="33"/>
    </row>
    <row r="95" spans="1:24" s="624" customFormat="1" x14ac:dyDescent="0.2">
      <c r="A95" s="35">
        <v>64</v>
      </c>
      <c r="B95" s="439">
        <v>71</v>
      </c>
      <c r="C95" s="39" t="s">
        <v>196</v>
      </c>
      <c r="D95" s="895">
        <f>SUM(E95:F95)</f>
        <v>99917.827388911712</v>
      </c>
      <c r="E95" s="784">
        <f>'pom1 - Přerozdělení IP'!Q20</f>
        <v>94672</v>
      </c>
      <c r="F95" s="509">
        <f>SUM(G95:I95)</f>
        <v>5245.8273889117099</v>
      </c>
      <c r="G95" s="736">
        <f>'pom1 - Přerozdělení IP'!H20+'pom1 - Přerozdělení IP'!N20</f>
        <v>3245.8273889117104</v>
      </c>
      <c r="H95" s="518">
        <f>'pom1 - Přerozdělení IP'!M20</f>
        <v>2000</v>
      </c>
      <c r="I95" s="488"/>
      <c r="J95" s="489"/>
      <c r="K95" s="490">
        <f>SUM(L95:N95)</f>
        <v>79404.629825436656</v>
      </c>
      <c r="L95" s="792">
        <v>65729</v>
      </c>
      <c r="M95" s="821">
        <v>13675.629825436656</v>
      </c>
      <c r="N95" s="511"/>
      <c r="O95" s="107"/>
      <c r="P95" s="982">
        <f>'Rozdělení IRP'!F18</f>
        <v>4692.1288692243461</v>
      </c>
      <c r="Q95" s="981">
        <v>6022</v>
      </c>
      <c r="R95" s="107"/>
      <c r="S95" s="257"/>
      <c r="W95" s="519"/>
      <c r="X95" s="33"/>
    </row>
    <row r="96" spans="1:24" s="624" customFormat="1" x14ac:dyDescent="0.2">
      <c r="A96" s="280">
        <v>65</v>
      </c>
      <c r="B96" s="439">
        <v>79</v>
      </c>
      <c r="C96" s="39" t="s">
        <v>269</v>
      </c>
      <c r="D96" s="893">
        <f t="shared" ref="D96:D105" si="24">SUM(E96:F96)</f>
        <v>5340</v>
      </c>
      <c r="E96" s="784">
        <f>'pom1 - Přerozdělení IP'!Q21</f>
        <v>5340</v>
      </c>
      <c r="F96" s="509">
        <f t="shared" ref="F96:F105" si="25">SUM(G96:I96)</f>
        <v>0</v>
      </c>
      <c r="G96" s="599">
        <f>'pom1 - Přerozdělení IP'!H21+'pom1 - Přerozdělení IP'!N21</f>
        <v>0</v>
      </c>
      <c r="H96" s="604">
        <f>'pom1 - Přerozdělení IP'!M21</f>
        <v>0</v>
      </c>
      <c r="I96" s="495"/>
      <c r="J96" s="496"/>
      <c r="K96" s="490">
        <f t="shared" ref="K96:K106" si="26">SUM(L96:N96)</f>
        <v>5340</v>
      </c>
      <c r="L96" s="509">
        <v>0</v>
      </c>
      <c r="M96" s="600">
        <v>5340</v>
      </c>
      <c r="N96" s="512"/>
      <c r="O96" s="107"/>
      <c r="P96" s="982"/>
      <c r="Q96" s="983"/>
      <c r="R96" s="107"/>
      <c r="S96" s="257"/>
      <c r="W96" s="519"/>
      <c r="X96" s="33"/>
    </row>
    <row r="97" spans="1:25" s="624" customFormat="1" x14ac:dyDescent="0.2">
      <c r="A97" s="280">
        <v>66</v>
      </c>
      <c r="B97" s="439">
        <v>81</v>
      </c>
      <c r="C97" s="39" t="s">
        <v>69</v>
      </c>
      <c r="D97" s="893">
        <f t="shared" si="24"/>
        <v>0</v>
      </c>
      <c r="E97" s="784">
        <f>'pom1 - Přerozdělení IP'!Q22</f>
        <v>0</v>
      </c>
      <c r="F97" s="509">
        <f t="shared" si="25"/>
        <v>0</v>
      </c>
      <c r="G97" s="599">
        <f>'pom1 - Přerozdělení IP'!H22+'pom1 - Přerozdělení IP'!N22</f>
        <v>0</v>
      </c>
      <c r="H97" s="604">
        <f>'pom1 - Přerozdělení IP'!M22</f>
        <v>0</v>
      </c>
      <c r="I97" s="601"/>
      <c r="J97" s="496"/>
      <c r="K97" s="490">
        <f t="shared" si="26"/>
        <v>0</v>
      </c>
      <c r="L97" s="509">
        <v>0</v>
      </c>
      <c r="M97" s="600">
        <v>0</v>
      </c>
      <c r="N97" s="512"/>
      <c r="O97" s="107"/>
      <c r="P97" s="977"/>
      <c r="Q97" s="978"/>
      <c r="R97" s="107"/>
      <c r="S97" s="257"/>
      <c r="W97" s="519"/>
      <c r="X97" s="33"/>
    </row>
    <row r="98" spans="1:25" s="624" customFormat="1" x14ac:dyDescent="0.2">
      <c r="A98" s="280">
        <v>67</v>
      </c>
      <c r="B98" s="439">
        <v>82</v>
      </c>
      <c r="C98" s="39" t="s">
        <v>1</v>
      </c>
      <c r="D98" s="893">
        <f t="shared" si="24"/>
        <v>9348</v>
      </c>
      <c r="E98" s="784">
        <f>'pom1 - Přerozdělení IP'!Q23</f>
        <v>0</v>
      </c>
      <c r="F98" s="509">
        <f t="shared" si="25"/>
        <v>9348</v>
      </c>
      <c r="G98" s="599">
        <f>'pom1 - Přerozdělení IP'!H23+'pom1 - Přerozdělení IP'!N23</f>
        <v>0</v>
      </c>
      <c r="H98" s="604">
        <f>'pom1 - Přerozdělení IP'!M23</f>
        <v>9348</v>
      </c>
      <c r="I98" s="601"/>
      <c r="J98" s="496"/>
      <c r="K98" s="490">
        <f t="shared" si="26"/>
        <v>10348</v>
      </c>
      <c r="L98" s="509">
        <v>0</v>
      </c>
      <c r="M98" s="600">
        <v>10348</v>
      </c>
      <c r="N98" s="512"/>
      <c r="O98" s="107"/>
      <c r="P98" s="977"/>
      <c r="Q98" s="978"/>
      <c r="R98" s="107"/>
      <c r="S98" s="257"/>
      <c r="W98" s="519"/>
      <c r="X98" s="33"/>
    </row>
    <row r="99" spans="1:25" s="624" customFormat="1" x14ac:dyDescent="0.2">
      <c r="A99" s="280">
        <v>68</v>
      </c>
      <c r="B99" s="439">
        <v>83</v>
      </c>
      <c r="C99" s="39" t="s">
        <v>80</v>
      </c>
      <c r="D99" s="893">
        <f t="shared" si="24"/>
        <v>8570</v>
      </c>
      <c r="E99" s="784">
        <f>'pom1 - Přerozdělení IP'!Q24</f>
        <v>0</v>
      </c>
      <c r="F99" s="509">
        <f t="shared" si="25"/>
        <v>8570</v>
      </c>
      <c r="G99" s="599">
        <f>'pom1 - Přerozdělení IP'!H24+'pom1 - Přerozdělení IP'!N24</f>
        <v>6500</v>
      </c>
      <c r="H99" s="604">
        <f>'pom1 - Přerozdělení IP'!M24</f>
        <v>2070</v>
      </c>
      <c r="I99" s="601"/>
      <c r="J99" s="496"/>
      <c r="K99" s="490">
        <f t="shared" si="26"/>
        <v>6629</v>
      </c>
      <c r="L99" s="509">
        <v>0</v>
      </c>
      <c r="M99" s="600">
        <v>6629</v>
      </c>
      <c r="N99" s="512"/>
      <c r="O99" s="107"/>
      <c r="P99" s="977"/>
      <c r="Q99" s="978"/>
      <c r="R99" s="107"/>
      <c r="S99" s="257"/>
      <c r="W99" s="519"/>
      <c r="X99" s="33"/>
    </row>
    <row r="100" spans="1:25" s="624" customFormat="1" x14ac:dyDescent="0.2">
      <c r="A100" s="280">
        <v>69</v>
      </c>
      <c r="B100" s="439">
        <v>84</v>
      </c>
      <c r="C100" s="39" t="s">
        <v>79</v>
      </c>
      <c r="D100" s="893">
        <f t="shared" si="24"/>
        <v>3574</v>
      </c>
      <c r="E100" s="784">
        <f>'pom1 - Přerozdělení IP'!Q25</f>
        <v>564</v>
      </c>
      <c r="F100" s="509">
        <f t="shared" si="25"/>
        <v>3010</v>
      </c>
      <c r="G100" s="599">
        <f>'pom1 - Přerozdělení IP'!H25+'pom1 - Přerozdělení IP'!N25</f>
        <v>3000</v>
      </c>
      <c r="H100" s="604">
        <f>'pom1 - Přerozdělení IP'!M25</f>
        <v>10</v>
      </c>
      <c r="I100" s="601"/>
      <c r="J100" s="496"/>
      <c r="K100" s="490">
        <f t="shared" si="26"/>
        <v>3683</v>
      </c>
      <c r="L100" s="509">
        <v>673</v>
      </c>
      <c r="M100" s="600">
        <v>3010</v>
      </c>
      <c r="N100" s="512"/>
      <c r="O100" s="107"/>
      <c r="P100" s="977">
        <v>2400</v>
      </c>
      <c r="Q100" s="978">
        <v>3400</v>
      </c>
      <c r="R100" s="107"/>
      <c r="S100" s="257"/>
      <c r="W100" s="519"/>
      <c r="X100" s="33"/>
    </row>
    <row r="101" spans="1:25" s="624" customFormat="1" x14ac:dyDescent="0.2">
      <c r="A101" s="280">
        <v>70</v>
      </c>
      <c r="B101" s="439">
        <v>85</v>
      </c>
      <c r="C101" s="39" t="s">
        <v>100</v>
      </c>
      <c r="D101" s="893">
        <f>SUM(E101:F101)</f>
        <v>3087.8</v>
      </c>
      <c r="E101" s="784">
        <f>'pom1 - Přerozdělení IP'!Q26</f>
        <v>1740</v>
      </c>
      <c r="F101" s="509">
        <f t="shared" si="25"/>
        <v>1347.8</v>
      </c>
      <c r="G101" s="599">
        <f>'pom1 - Přerozdělení IP'!H26+'pom1 - Přerozdělení IP'!N26</f>
        <v>1347.8</v>
      </c>
      <c r="H101" s="604">
        <f>'pom1 - Přerozdělení IP'!M26</f>
        <v>0</v>
      </c>
      <c r="I101" s="601"/>
      <c r="J101" s="496"/>
      <c r="K101" s="490">
        <f t="shared" si="26"/>
        <v>1275</v>
      </c>
      <c r="L101" s="509">
        <v>1275</v>
      </c>
      <c r="M101" s="600">
        <v>0</v>
      </c>
      <c r="N101" s="512"/>
      <c r="O101" s="107"/>
      <c r="P101" s="977"/>
      <c r="Q101" s="978"/>
      <c r="R101" s="107"/>
      <c r="S101" s="257"/>
      <c r="W101" s="519"/>
      <c r="X101" s="33"/>
    </row>
    <row r="102" spans="1:25" s="624" customFormat="1" x14ac:dyDescent="0.2">
      <c r="A102" s="280">
        <v>71</v>
      </c>
      <c r="B102" s="439">
        <v>87</v>
      </c>
      <c r="C102" s="39" t="s">
        <v>129</v>
      </c>
      <c r="D102" s="893">
        <f t="shared" si="24"/>
        <v>8818</v>
      </c>
      <c r="E102" s="784">
        <f>'pom1 - Přerozdělení IP'!Q27</f>
        <v>8818</v>
      </c>
      <c r="F102" s="509">
        <f t="shared" si="25"/>
        <v>0</v>
      </c>
      <c r="G102" s="599">
        <f>'pom1 - Přerozdělení IP'!H27+'pom1 - Přerozdělení IP'!N27</f>
        <v>0</v>
      </c>
      <c r="H102" s="604">
        <f>'pom1 - Přerozdělení IP'!M27</f>
        <v>0</v>
      </c>
      <c r="I102" s="601"/>
      <c r="J102" s="496"/>
      <c r="K102" s="490">
        <f t="shared" si="26"/>
        <v>8523.64</v>
      </c>
      <c r="L102" s="509">
        <v>3779</v>
      </c>
      <c r="M102" s="600">
        <v>4744.6399999999994</v>
      </c>
      <c r="N102" s="512"/>
      <c r="O102" s="107"/>
      <c r="P102" s="977"/>
      <c r="Q102" s="978"/>
      <c r="R102" s="107"/>
      <c r="S102" s="257"/>
      <c r="W102" s="519"/>
      <c r="X102" s="33"/>
    </row>
    <row r="103" spans="1:25" s="624" customFormat="1" x14ac:dyDescent="0.2">
      <c r="A103" s="280">
        <v>72</v>
      </c>
      <c r="B103" s="439">
        <v>92</v>
      </c>
      <c r="C103" s="39" t="s">
        <v>17</v>
      </c>
      <c r="D103" s="893">
        <f t="shared" si="24"/>
        <v>140502</v>
      </c>
      <c r="E103" s="784">
        <f>'pom1 - Přerozdělení IP'!Q28</f>
        <v>4985</v>
      </c>
      <c r="F103" s="509">
        <f t="shared" si="25"/>
        <v>135517</v>
      </c>
      <c r="G103" s="599">
        <f>'pom1 - Přerozdělení IP'!H28+'pom1 - Přerozdělení IP'!N28</f>
        <v>105817</v>
      </c>
      <c r="H103" s="604">
        <f>'pom1 - Přerozdělení IP'!M28</f>
        <v>29700</v>
      </c>
      <c r="I103" s="601"/>
      <c r="J103" s="496"/>
      <c r="K103" s="490">
        <f t="shared" si="26"/>
        <v>139060.37</v>
      </c>
      <c r="L103" s="509">
        <v>52316</v>
      </c>
      <c r="M103" s="600">
        <v>86744.37</v>
      </c>
      <c r="N103" s="512"/>
      <c r="O103" s="107"/>
      <c r="P103" s="977">
        <v>406.61053193225945</v>
      </c>
      <c r="Q103" s="978">
        <v>247</v>
      </c>
      <c r="R103" s="107"/>
      <c r="S103" s="257"/>
      <c r="W103" s="519"/>
      <c r="X103" s="33"/>
    </row>
    <row r="104" spans="1:25" s="624" customFormat="1" x14ac:dyDescent="0.2">
      <c r="A104" s="280">
        <v>73</v>
      </c>
      <c r="B104" s="439">
        <v>96</v>
      </c>
      <c r="C104" s="39" t="s">
        <v>24</v>
      </c>
      <c r="D104" s="893">
        <f t="shared" si="24"/>
        <v>36871.000000000007</v>
      </c>
      <c r="E104" s="784">
        <f>'pom1 - Přerozdělení IP'!Q29</f>
        <v>871</v>
      </c>
      <c r="F104" s="509">
        <f t="shared" si="25"/>
        <v>36000.000000000007</v>
      </c>
      <c r="G104" s="599">
        <f>'pom1 - Přerozdělení IP'!H29+'pom1 - Přerozdělení IP'!N29</f>
        <v>36000.000000000007</v>
      </c>
      <c r="H104" s="604">
        <f>'pom1 - Přerozdělení IP'!M29</f>
        <v>0</v>
      </c>
      <c r="I104" s="601"/>
      <c r="J104" s="496"/>
      <c r="K104" s="490">
        <f t="shared" si="26"/>
        <v>32822</v>
      </c>
      <c r="L104" s="509">
        <v>820</v>
      </c>
      <c r="M104" s="600">
        <v>32002</v>
      </c>
      <c r="N104" s="512"/>
      <c r="O104" s="107"/>
      <c r="P104" s="977">
        <v>800</v>
      </c>
      <c r="Q104" s="978">
        <v>297</v>
      </c>
      <c r="R104" s="107"/>
      <c r="S104" s="257"/>
      <c r="W104" s="519"/>
      <c r="X104" s="33"/>
    </row>
    <row r="105" spans="1:25" s="624" customFormat="1" x14ac:dyDescent="0.2">
      <c r="A105" s="280">
        <v>74</v>
      </c>
      <c r="B105" s="439">
        <v>97</v>
      </c>
      <c r="C105" s="39" t="s">
        <v>25</v>
      </c>
      <c r="D105" s="896">
        <f t="shared" si="24"/>
        <v>11650</v>
      </c>
      <c r="E105" s="784">
        <f>'pom1 - Přerozdělení IP'!Q30</f>
        <v>0</v>
      </c>
      <c r="F105" s="509">
        <f t="shared" si="25"/>
        <v>11650</v>
      </c>
      <c r="G105" s="599">
        <f>'pom1 - Přerozdělení IP'!H30+'pom1 - Přerozdělení IP'!N30</f>
        <v>11650</v>
      </c>
      <c r="H105" s="604">
        <f>'pom1 - Přerozdělení IP'!M30</f>
        <v>0</v>
      </c>
      <c r="I105" s="601"/>
      <c r="J105" s="496"/>
      <c r="K105" s="490">
        <f t="shared" si="26"/>
        <v>9450</v>
      </c>
      <c r="L105" s="509">
        <v>0</v>
      </c>
      <c r="M105" s="600">
        <v>9450</v>
      </c>
      <c r="N105" s="512"/>
      <c r="O105" s="107"/>
      <c r="P105" s="977">
        <v>22236</v>
      </c>
      <c r="Q105" s="978">
        <v>22489</v>
      </c>
      <c r="R105" s="107"/>
      <c r="S105" s="257"/>
      <c r="W105" s="519"/>
      <c r="X105" s="33"/>
    </row>
    <row r="106" spans="1:25" s="624" customFormat="1" x14ac:dyDescent="0.2">
      <c r="A106" s="693">
        <v>75</v>
      </c>
      <c r="B106" s="513">
        <v>99</v>
      </c>
      <c r="C106" s="500" t="s">
        <v>82</v>
      </c>
      <c r="D106" s="897">
        <f>SUM(E106:F106,J106)</f>
        <v>273775.25</v>
      </c>
      <c r="E106" s="784">
        <f>'pom1 - Přerozdělení IP'!Q31</f>
        <v>60295</v>
      </c>
      <c r="F106" s="509">
        <f>SUM(G106:I106)</f>
        <v>189879.4174143913</v>
      </c>
      <c r="G106" s="737">
        <f>'pom1 - Přerozdělení IP'!H31+'pom1 - Přerozdělení IP'!N31</f>
        <v>74946.167414391311</v>
      </c>
      <c r="H106" s="738">
        <f>'pom1 - Přerozdělení IP'!M31+'pom1 - Přerozdělení IP'!L35-I106</f>
        <v>99933.25</v>
      </c>
      <c r="I106" s="602">
        <f>'pom1 - Přerozdělení IP'!M35</f>
        <v>15000</v>
      </c>
      <c r="J106" s="502">
        <f>J69</f>
        <v>23600.832585608703</v>
      </c>
      <c r="K106" s="490">
        <f t="shared" si="26"/>
        <v>220682.00332855355</v>
      </c>
      <c r="L106" s="510">
        <v>62004</v>
      </c>
      <c r="M106" s="822">
        <v>141799.0973579034</v>
      </c>
      <c r="N106" s="824">
        <f>N69</f>
        <v>16878.905970650143</v>
      </c>
      <c r="O106" s="107"/>
      <c r="P106" s="980">
        <f>26321+12037</f>
        <v>38358</v>
      </c>
      <c r="Q106" s="981">
        <v>37607</v>
      </c>
      <c r="R106" s="107"/>
      <c r="S106" s="257"/>
      <c r="W106" s="519"/>
      <c r="X106" s="33"/>
    </row>
    <row r="107" spans="1:25" s="624" customFormat="1" x14ac:dyDescent="0.2">
      <c r="A107" s="692">
        <v>76</v>
      </c>
      <c r="B107" s="467" t="s">
        <v>507</v>
      </c>
      <c r="C107" s="729"/>
      <c r="D107" s="894">
        <f>SUM(D95:D106)</f>
        <v>601453.87738891179</v>
      </c>
      <c r="E107" s="786">
        <f>SUM(E95:E106)</f>
        <v>177285</v>
      </c>
      <c r="F107" s="754">
        <f t="shared" ref="F107:N107" si="27">SUM(F95:F106)</f>
        <v>400568.04480330297</v>
      </c>
      <c r="G107" s="753">
        <f t="shared" si="27"/>
        <v>242506.79480330303</v>
      </c>
      <c r="H107" s="730">
        <f>SUM(H95:H106)</f>
        <v>143061.25</v>
      </c>
      <c r="I107" s="787">
        <f t="shared" si="27"/>
        <v>15000</v>
      </c>
      <c r="J107" s="788">
        <f t="shared" si="27"/>
        <v>23600.832585608703</v>
      </c>
      <c r="K107" s="732">
        <f t="shared" si="27"/>
        <v>517217.64315399015</v>
      </c>
      <c r="L107" s="790">
        <f t="shared" si="27"/>
        <v>186596</v>
      </c>
      <c r="M107" s="789">
        <f t="shared" si="27"/>
        <v>313742.73718334001</v>
      </c>
      <c r="N107" s="825">
        <f t="shared" si="27"/>
        <v>16878.905970650143</v>
      </c>
      <c r="O107" s="623"/>
      <c r="P107" s="984">
        <f>SUM(P95:P106)</f>
        <v>68892.739401156607</v>
      </c>
      <c r="Q107" s="985">
        <f>SUM(Q95:Q106)</f>
        <v>70062</v>
      </c>
      <c r="R107" s="704"/>
      <c r="S107" s="257"/>
      <c r="W107" s="519"/>
      <c r="X107" s="519"/>
    </row>
    <row r="108" spans="1:25" s="624" customFormat="1" ht="13.5" thickBot="1" x14ac:dyDescent="0.25">
      <c r="A108" s="828">
        <v>77</v>
      </c>
      <c r="B108" s="836" t="s">
        <v>532</v>
      </c>
      <c r="C108" s="723"/>
      <c r="D108" s="898">
        <f>SUM(E108:F108)</f>
        <v>121000</v>
      </c>
      <c r="E108" s="724">
        <v>0</v>
      </c>
      <c r="F108" s="510">
        <f>SUM(G108:I108)</f>
        <v>121000</v>
      </c>
      <c r="G108" s="725"/>
      <c r="H108" s="726">
        <f>H71</f>
        <v>121000</v>
      </c>
      <c r="I108" s="724">
        <v>0</v>
      </c>
      <c r="J108" s="727"/>
      <c r="K108" s="728">
        <f>K71</f>
        <v>88000</v>
      </c>
      <c r="L108" s="724">
        <v>0</v>
      </c>
      <c r="M108" s="725">
        <f>M71</f>
        <v>88000</v>
      </c>
      <c r="N108" s="826"/>
      <c r="O108" s="623"/>
      <c r="P108" s="980"/>
      <c r="Q108" s="981"/>
      <c r="R108" s="704"/>
      <c r="S108" s="257"/>
      <c r="W108" s="519"/>
      <c r="X108" s="519"/>
    </row>
    <row r="109" spans="1:25" s="624" customFormat="1" ht="13.5" thickBot="1" x14ac:dyDescent="0.25">
      <c r="A109" s="284">
        <v>78</v>
      </c>
      <c r="B109" s="468" t="s">
        <v>71</v>
      </c>
      <c r="C109" s="457"/>
      <c r="D109" s="899">
        <f>D94+D107+D108</f>
        <v>2836230.85</v>
      </c>
      <c r="E109" s="539">
        <f t="shared" ref="E109:N109" si="28">E94+E107+E108</f>
        <v>728233</v>
      </c>
      <c r="F109" s="791">
        <f>H109+I109+G109</f>
        <v>2084397.0174143913</v>
      </c>
      <c r="G109" s="721">
        <f t="shared" si="28"/>
        <v>1759209.7674143913</v>
      </c>
      <c r="H109" s="721">
        <f t="shared" si="28"/>
        <v>310187.25</v>
      </c>
      <c r="I109" s="721">
        <f t="shared" si="28"/>
        <v>15000</v>
      </c>
      <c r="J109" s="722">
        <f t="shared" si="28"/>
        <v>23600.832585608703</v>
      </c>
      <c r="K109" s="763">
        <f t="shared" si="28"/>
        <v>2486259.1</v>
      </c>
      <c r="L109" s="780">
        <f>L94+L107+L108</f>
        <v>626772</v>
      </c>
      <c r="M109" s="539">
        <f>M94+M107+M108</f>
        <v>1842608.1940293498</v>
      </c>
      <c r="N109" s="764">
        <f t="shared" si="28"/>
        <v>16878.905970650143</v>
      </c>
      <c r="O109" s="107"/>
      <c r="P109" s="986">
        <f>P94+P107</f>
        <v>112766</v>
      </c>
      <c r="Q109" s="987">
        <f>Q94+Q107</f>
        <v>111766</v>
      </c>
      <c r="R109" s="257"/>
      <c r="S109" s="257"/>
      <c r="W109" s="519"/>
      <c r="X109" s="519"/>
      <c r="Y109" s="33"/>
    </row>
    <row r="110" spans="1:25" s="963" customFormat="1" ht="15" x14ac:dyDescent="0.2">
      <c r="A110" s="996"/>
      <c r="B110" s="956"/>
      <c r="C110" s="956"/>
      <c r="D110" s="957"/>
      <c r="E110" s="1562">
        <f>E109+F109</f>
        <v>2812630.017414391</v>
      </c>
      <c r="F110" s="1570"/>
      <c r="G110" s="1557">
        <f>SUM(G109:I109)</f>
        <v>2084397.0174143913</v>
      </c>
      <c r="H110" s="1558"/>
      <c r="I110" s="1559"/>
      <c r="J110" s="958"/>
      <c r="K110" s="958"/>
      <c r="L110" s="1562">
        <f>SUM(L109:M109)</f>
        <v>2469380.1940293498</v>
      </c>
      <c r="M110" s="1563"/>
      <c r="N110" s="960"/>
      <c r="O110" s="960"/>
      <c r="P110" s="997"/>
      <c r="Q110" s="997"/>
      <c r="R110" s="960"/>
      <c r="S110" s="960"/>
      <c r="W110" s="956"/>
      <c r="X110" s="961"/>
    </row>
    <row r="111" spans="1:25" x14ac:dyDescent="0.2">
      <c r="A111" s="519" t="s">
        <v>39</v>
      </c>
      <c r="D111" s="107"/>
      <c r="F111" s="107"/>
      <c r="G111" s="107"/>
      <c r="H111" s="623">
        <f>H94+H107+I107</f>
        <v>204187.25</v>
      </c>
      <c r="I111" s="1004">
        <f>G107+H109+I109</f>
        <v>567694.04480330297</v>
      </c>
      <c r="J111" s="107">
        <f>I111+J107</f>
        <v>591294.87738891167</v>
      </c>
      <c r="N111" s="107"/>
      <c r="O111" s="107"/>
      <c r="P111" s="107"/>
      <c r="Q111" s="107"/>
      <c r="R111" s="107"/>
      <c r="S111" s="960"/>
      <c r="T111" s="107"/>
      <c r="U111" s="107"/>
    </row>
    <row r="112" spans="1:25" x14ac:dyDescent="0.2">
      <c r="A112" s="33" t="s">
        <v>40</v>
      </c>
      <c r="C112" s="33" t="s">
        <v>240</v>
      </c>
      <c r="G112" s="107"/>
      <c r="H112" s="107"/>
      <c r="N112" s="107"/>
      <c r="O112" s="107"/>
      <c r="P112" s="107"/>
      <c r="Q112" s="107"/>
      <c r="R112" s="107"/>
      <c r="S112" s="960"/>
      <c r="T112" s="107"/>
      <c r="U112" s="107"/>
    </row>
    <row r="113" spans="1:20" x14ac:dyDescent="0.2">
      <c r="A113" s="33" t="s">
        <v>184</v>
      </c>
      <c r="C113" s="33" t="s">
        <v>167</v>
      </c>
      <c r="G113" s="107"/>
      <c r="J113" s="107"/>
      <c r="S113" s="960"/>
    </row>
    <row r="114" spans="1:20" x14ac:dyDescent="0.2">
      <c r="A114" s="33" t="s">
        <v>70</v>
      </c>
      <c r="C114" s="33" t="s">
        <v>601</v>
      </c>
      <c r="R114" s="107"/>
      <c r="S114" s="960"/>
      <c r="T114" s="107"/>
    </row>
    <row r="115" spans="1:20" x14ac:dyDescent="0.2">
      <c r="C115" s="420"/>
      <c r="R115" s="107"/>
      <c r="S115" s="960"/>
      <c r="T115" s="107"/>
    </row>
    <row r="116" spans="1:20" x14ac:dyDescent="0.2">
      <c r="A116" s="44" t="s">
        <v>602</v>
      </c>
      <c r="B116" s="44"/>
      <c r="C116" s="44"/>
      <c r="D116" s="33" t="s">
        <v>131</v>
      </c>
      <c r="E116" s="33" t="s">
        <v>132</v>
      </c>
      <c r="H116" s="38"/>
      <c r="I116" s="38"/>
      <c r="J116" s="38"/>
      <c r="K116" s="38"/>
      <c r="L116" s="38"/>
      <c r="R116" s="107"/>
      <c r="S116" s="960"/>
      <c r="T116" s="107"/>
    </row>
    <row r="117" spans="1:20" x14ac:dyDescent="0.2">
      <c r="A117" s="44"/>
      <c r="E117" s="628"/>
      <c r="F117" s="629"/>
      <c r="G117" s="521"/>
      <c r="J117" s="33" t="s">
        <v>134</v>
      </c>
      <c r="R117" s="107"/>
      <c r="S117" s="107"/>
      <c r="T117" s="107"/>
    </row>
    <row r="118" spans="1:20" x14ac:dyDescent="0.2">
      <c r="E118" s="521"/>
      <c r="G118" s="521"/>
      <c r="R118" s="107"/>
      <c r="S118" s="107"/>
      <c r="T118" s="107"/>
    </row>
    <row r="119" spans="1:20" x14ac:dyDescent="0.2">
      <c r="E119" s="521" t="s">
        <v>133</v>
      </c>
      <c r="G119" s="521"/>
      <c r="H119" s="38"/>
      <c r="I119" s="38"/>
      <c r="J119" s="38"/>
      <c r="K119" s="38"/>
      <c r="L119" s="38"/>
      <c r="R119" s="107"/>
      <c r="S119" s="107"/>
      <c r="T119" s="107"/>
    </row>
    <row r="120" spans="1:20" x14ac:dyDescent="0.2">
      <c r="E120" s="628"/>
      <c r="F120" s="629"/>
      <c r="G120" s="521"/>
      <c r="J120" s="33" t="s">
        <v>134</v>
      </c>
      <c r="R120" s="107"/>
      <c r="S120" s="107"/>
      <c r="T120" s="107"/>
    </row>
    <row r="121" spans="1:20" x14ac:dyDescent="0.2">
      <c r="F121" s="521"/>
      <c r="G121" s="521"/>
      <c r="R121" s="107"/>
      <c r="S121" s="107"/>
      <c r="T121" s="107"/>
    </row>
    <row r="122" spans="1:20" x14ac:dyDescent="0.2">
      <c r="F122" s="521"/>
      <c r="G122" s="521"/>
      <c r="R122" s="107"/>
      <c r="S122" s="107"/>
      <c r="T122" s="107"/>
    </row>
    <row r="123" spans="1:20" x14ac:dyDescent="0.2">
      <c r="R123" s="107"/>
      <c r="S123" s="107"/>
      <c r="T123" s="107"/>
    </row>
    <row r="124" spans="1:20" x14ac:dyDescent="0.2">
      <c r="R124" s="107"/>
      <c r="S124" s="107"/>
      <c r="T124" s="107"/>
    </row>
    <row r="125" spans="1:20" x14ac:dyDescent="0.2">
      <c r="R125" s="107"/>
      <c r="S125" s="107"/>
      <c r="T125" s="107"/>
    </row>
    <row r="126" spans="1:20" x14ac:dyDescent="0.2">
      <c r="R126" s="107"/>
      <c r="S126" s="107"/>
      <c r="T126" s="107"/>
    </row>
    <row r="127" spans="1:20" x14ac:dyDescent="0.2">
      <c r="R127" s="107"/>
      <c r="S127" s="107"/>
      <c r="T127" s="107"/>
    </row>
    <row r="128" spans="1:20" x14ac:dyDescent="0.2">
      <c r="R128" s="107"/>
      <c r="S128" s="107"/>
      <c r="T128" s="107"/>
    </row>
    <row r="129" spans="18:20" x14ac:dyDescent="0.2">
      <c r="R129" s="107"/>
      <c r="S129" s="107"/>
      <c r="T129" s="107"/>
    </row>
    <row r="130" spans="18:20" x14ac:dyDescent="0.2">
      <c r="R130" s="107"/>
      <c r="S130" s="107"/>
      <c r="T130" s="107"/>
    </row>
    <row r="131" spans="18:20" x14ac:dyDescent="0.2">
      <c r="R131" s="107"/>
      <c r="S131" s="107"/>
      <c r="T131" s="107"/>
    </row>
    <row r="132" spans="18:20" x14ac:dyDescent="0.2">
      <c r="R132" s="107"/>
      <c r="S132" s="107"/>
      <c r="T132" s="107"/>
    </row>
  </sheetData>
  <mergeCells count="24">
    <mergeCell ref="L110:M110"/>
    <mergeCell ref="I5:J5"/>
    <mergeCell ref="D43:J43"/>
    <mergeCell ref="I40:J40"/>
    <mergeCell ref="L73:M73"/>
    <mergeCell ref="E110:F110"/>
    <mergeCell ref="G110:I110"/>
    <mergeCell ref="G82:I82"/>
    <mergeCell ref="K80:N80"/>
    <mergeCell ref="D80:J80"/>
    <mergeCell ref="H75:I75"/>
    <mergeCell ref="E74:H74"/>
    <mergeCell ref="L44:N44"/>
    <mergeCell ref="L81:N81"/>
    <mergeCell ref="E40:F40"/>
    <mergeCell ref="E81:I81"/>
    <mergeCell ref="D4:G4"/>
    <mergeCell ref="H4:K4"/>
    <mergeCell ref="E5:F5"/>
    <mergeCell ref="G73:I73"/>
    <mergeCell ref="G45:I45"/>
    <mergeCell ref="E73:F73"/>
    <mergeCell ref="E44:I44"/>
    <mergeCell ref="K43:N43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horizontalDpi="300" verticalDpi="300" r:id="rId1"/>
  <headerFooter alignWithMargins="0">
    <oddFooter xml:space="preserve">&amp;C&amp;9 6 - 8&amp;10
</oddFooter>
  </headerFooter>
  <rowBreaks count="2" manualBreakCount="2">
    <brk id="41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39997558519241921"/>
  </sheetPr>
  <dimension ref="A1:K41"/>
  <sheetViews>
    <sheetView showGridLines="0" tabSelected="1" zoomScaleNormal="100" workbookViewId="0"/>
  </sheetViews>
  <sheetFormatPr defaultRowHeight="12.75" x14ac:dyDescent="0.2"/>
  <cols>
    <col min="1" max="1" width="26.42578125" customWidth="1"/>
    <col min="2" max="2" width="10.85546875" customWidth="1"/>
    <col min="3" max="3" width="10.42578125" customWidth="1"/>
    <col min="4" max="4" width="12" style="1420" customWidth="1"/>
    <col min="5" max="5" width="10.28515625" customWidth="1"/>
    <col min="6" max="6" width="10.7109375" customWidth="1"/>
    <col min="7" max="7" width="11" customWidth="1"/>
    <col min="8" max="8" width="3.5703125" customWidth="1"/>
    <col min="9" max="9" width="13.28515625" hidden="1" customWidth="1"/>
    <col min="10" max="10" width="11.28515625" hidden="1" customWidth="1"/>
    <col min="11" max="11" width="9.85546875" hidden="1" customWidth="1"/>
  </cols>
  <sheetData>
    <row r="1" spans="1:11" ht="15.75" x14ac:dyDescent="0.25">
      <c r="A1" s="759" t="s">
        <v>361</v>
      </c>
      <c r="C1" s="886">
        <f>C2+B31+C31</f>
        <v>2084397.0174143917</v>
      </c>
    </row>
    <row r="2" spans="1:11" x14ac:dyDescent="0.2">
      <c r="A2" t="s">
        <v>531</v>
      </c>
      <c r="C2" s="760">
        <v>121000</v>
      </c>
    </row>
    <row r="3" spans="1:11" x14ac:dyDescent="0.2">
      <c r="A3" s="883"/>
      <c r="C3" s="884"/>
    </row>
    <row r="4" spans="1:11" x14ac:dyDescent="0.2">
      <c r="A4" s="883" t="s">
        <v>362</v>
      </c>
      <c r="C4" s="885">
        <f>F31+G31</f>
        <v>112766</v>
      </c>
    </row>
    <row r="5" spans="1:11" x14ac:dyDescent="0.2">
      <c r="A5" s="883" t="s">
        <v>596</v>
      </c>
      <c r="C5" s="885">
        <f>E31</f>
        <v>23600.832585608703</v>
      </c>
    </row>
    <row r="6" spans="1:11" x14ac:dyDescent="0.2">
      <c r="A6" s="733" t="s">
        <v>176</v>
      </c>
      <c r="C6" s="762">
        <f>D31</f>
        <v>728233</v>
      </c>
    </row>
    <row r="7" spans="1:11" x14ac:dyDescent="0.2">
      <c r="A7" s="733"/>
      <c r="B7" s="907"/>
      <c r="C7" s="734"/>
    </row>
    <row r="8" spans="1:11" ht="13.5" thickBot="1" x14ac:dyDescent="0.25">
      <c r="A8" s="733"/>
      <c r="B8" s="907"/>
      <c r="C8" s="734"/>
    </row>
    <row r="9" spans="1:11" x14ac:dyDescent="0.2">
      <c r="A9" s="909"/>
      <c r="B9" s="1576" t="s">
        <v>385</v>
      </c>
      <c r="C9" s="1577"/>
      <c r="D9" s="1421" t="s">
        <v>176</v>
      </c>
      <c r="E9" s="910" t="s">
        <v>659</v>
      </c>
      <c r="F9" s="910" t="s">
        <v>386</v>
      </c>
      <c r="G9" s="911" t="s">
        <v>382</v>
      </c>
      <c r="I9" s="107" t="s">
        <v>522</v>
      </c>
      <c r="J9" s="107"/>
      <c r="K9" s="519"/>
    </row>
    <row r="10" spans="1:11" ht="15.75" thickBot="1" x14ac:dyDescent="0.3">
      <c r="A10" s="1404"/>
      <c r="B10" s="1405" t="s">
        <v>363</v>
      </c>
      <c r="C10" s="1405" t="s">
        <v>366</v>
      </c>
      <c r="D10" s="1422" t="s">
        <v>367</v>
      </c>
      <c r="E10" s="1405" t="s">
        <v>523</v>
      </c>
      <c r="F10" s="1405" t="s">
        <v>365</v>
      </c>
      <c r="G10" s="1406" t="s">
        <v>383</v>
      </c>
      <c r="I10" s="743">
        <v>1111</v>
      </c>
      <c r="J10" s="988">
        <v>1112</v>
      </c>
      <c r="K10" s="992">
        <v>2112</v>
      </c>
    </row>
    <row r="11" spans="1:11" x14ac:dyDescent="0.2">
      <c r="A11" s="1401" t="s">
        <v>7</v>
      </c>
      <c r="B11" s="1402">
        <f>260071.318262285+'rozpis pro rozpocet'!G101</f>
        <v>261419.11826228499</v>
      </c>
      <c r="C11" s="1402">
        <v>0</v>
      </c>
      <c r="D11" s="1423">
        <f>71090+'rozpis pro rozpocet'!E101</f>
        <v>72830</v>
      </c>
      <c r="E11" s="1402"/>
      <c r="F11" s="1402">
        <v>9589.3689560045223</v>
      </c>
      <c r="G11" s="1403"/>
      <c r="I11" s="989">
        <f>'rozpis pro rozpocet'!G85</f>
        <v>260071.31826228456</v>
      </c>
      <c r="J11" s="990">
        <f>'rozpis pro rozpocet'!H85</f>
        <v>0</v>
      </c>
      <c r="K11" s="993">
        <f>'rozpis pro rozpocet'!E85</f>
        <v>71090</v>
      </c>
    </row>
    <row r="12" spans="1:11" x14ac:dyDescent="0.2">
      <c r="A12" s="912" t="s">
        <v>8</v>
      </c>
      <c r="B12" s="887">
        <v>287589.63568469509</v>
      </c>
      <c r="C12" s="887">
        <v>926</v>
      </c>
      <c r="D12" s="1424">
        <v>70041</v>
      </c>
      <c r="E12" s="887"/>
      <c r="F12" s="887">
        <v>8535.3725175308864</v>
      </c>
      <c r="G12" s="913"/>
      <c r="I12" s="989">
        <f>'rozpis pro rozpocet'!G86</f>
        <v>287589.63568469509</v>
      </c>
      <c r="J12" s="990">
        <f>'rozpis pro rozpocet'!H86</f>
        <v>926</v>
      </c>
      <c r="K12" s="993">
        <f>'rozpis pro rozpocet'!E86</f>
        <v>70041</v>
      </c>
    </row>
    <row r="13" spans="1:11" x14ac:dyDescent="0.2">
      <c r="A13" s="912" t="s">
        <v>9</v>
      </c>
      <c r="B13" s="887">
        <v>105701.68680971117</v>
      </c>
      <c r="C13" s="887">
        <v>0</v>
      </c>
      <c r="D13" s="1424">
        <v>24535</v>
      </c>
      <c r="E13" s="887"/>
      <c r="F13" s="887">
        <v>2916.771048739623</v>
      </c>
      <c r="G13" s="913"/>
      <c r="I13" s="991">
        <f>'rozpis pro rozpocet'!G87</f>
        <v>105701.68680971117</v>
      </c>
      <c r="J13" s="990">
        <f>'rozpis pro rozpocet'!H87</f>
        <v>0</v>
      </c>
      <c r="K13" s="993">
        <f>'rozpis pro rozpocet'!E87</f>
        <v>24535</v>
      </c>
    </row>
    <row r="14" spans="1:11" x14ac:dyDescent="0.2">
      <c r="A14" s="912" t="s">
        <v>10</v>
      </c>
      <c r="B14" s="887">
        <v>121706.53318479579</v>
      </c>
      <c r="C14" s="887">
        <v>200</v>
      </c>
      <c r="D14" s="1424">
        <v>37571</v>
      </c>
      <c r="E14" s="887"/>
      <c r="F14" s="887">
        <v>4031.565381252211</v>
      </c>
      <c r="G14" s="913"/>
      <c r="I14" s="989">
        <f>'rozpis pro rozpocet'!G88</f>
        <v>121706.53318479579</v>
      </c>
      <c r="J14" s="990">
        <f>'rozpis pro rozpocet'!H88</f>
        <v>200</v>
      </c>
      <c r="K14" s="993">
        <f>'rozpis pro rozpocet'!E88</f>
        <v>37571</v>
      </c>
    </row>
    <row r="15" spans="1:11" x14ac:dyDescent="0.2">
      <c r="A15" s="912" t="s">
        <v>11</v>
      </c>
      <c r="B15" s="887">
        <v>273175.878942004</v>
      </c>
      <c r="C15" s="887">
        <v>2200</v>
      </c>
      <c r="D15" s="1424">
        <v>257232</v>
      </c>
      <c r="E15" s="887"/>
      <c r="F15" s="887">
        <v>7017.061213622992</v>
      </c>
      <c r="G15" s="913"/>
      <c r="I15" s="989">
        <f>'rozpis pro rozpocet'!G89</f>
        <v>273175.878942004</v>
      </c>
      <c r="J15" s="990">
        <f>'rozpis pro rozpocet'!H89</f>
        <v>2200</v>
      </c>
      <c r="K15" s="993">
        <f>'rozpis pro rozpocet'!E89</f>
        <v>257232</v>
      </c>
    </row>
    <row r="16" spans="1:11" x14ac:dyDescent="0.2">
      <c r="A16" s="912" t="s">
        <v>12</v>
      </c>
      <c r="B16" s="887">
        <v>104912.96377422314</v>
      </c>
      <c r="C16" s="887">
        <v>42000</v>
      </c>
      <c r="D16" s="1424">
        <v>43476</v>
      </c>
      <c r="E16" s="887"/>
      <c r="F16" s="887">
        <v>3545.6119394366647</v>
      </c>
      <c r="G16" s="913"/>
      <c r="I16" s="989">
        <f>'rozpis pro rozpocet'!G90</f>
        <v>104912.96377422314</v>
      </c>
      <c r="J16" s="990">
        <f>'rozpis pro rozpocet'!H90</f>
        <v>42000</v>
      </c>
      <c r="K16" s="993">
        <f>'rozpis pro rozpocet'!E90</f>
        <v>43476</v>
      </c>
    </row>
    <row r="17" spans="1:11" x14ac:dyDescent="0.2">
      <c r="A17" s="912" t="s">
        <v>13</v>
      </c>
      <c r="B17" s="887">
        <v>169178.85104599007</v>
      </c>
      <c r="C17" s="887">
        <v>400</v>
      </c>
      <c r="D17" s="1424">
        <v>27772</v>
      </c>
      <c r="E17" s="887"/>
      <c r="F17" s="887">
        <v>4071.3653704751478</v>
      </c>
      <c r="G17" s="913"/>
      <c r="I17" s="989">
        <f>'rozpis pro rozpocet'!G91</f>
        <v>169178.85104599007</v>
      </c>
      <c r="J17" s="990">
        <f>'rozpis pro rozpocet'!H91</f>
        <v>400</v>
      </c>
      <c r="K17" s="993">
        <f>'rozpis pro rozpocet'!E91</f>
        <v>27772</v>
      </c>
    </row>
    <row r="18" spans="1:11" x14ac:dyDescent="0.2">
      <c r="A18" s="912" t="s">
        <v>14</v>
      </c>
      <c r="B18" s="887">
        <v>83322.311502708544</v>
      </c>
      <c r="C18" s="887">
        <v>400</v>
      </c>
      <c r="D18" s="1424">
        <v>4227</v>
      </c>
      <c r="E18" s="887"/>
      <c r="F18" s="887">
        <v>1378.275344402763</v>
      </c>
      <c r="G18" s="913"/>
      <c r="I18" s="989">
        <f>'rozpis pro rozpocet'!G92</f>
        <v>83322.311502708544</v>
      </c>
      <c r="J18" s="990">
        <f>'rozpis pro rozpocet'!H92</f>
        <v>400</v>
      </c>
      <c r="K18" s="993">
        <f>'rozpis pro rozpocet'!E92</f>
        <v>4227</v>
      </c>
    </row>
    <row r="19" spans="1:11" x14ac:dyDescent="0.2">
      <c r="A19" s="912" t="s">
        <v>15</v>
      </c>
      <c r="B19" s="887">
        <v>111043.79340467587</v>
      </c>
      <c r="C19" s="887">
        <v>0</v>
      </c>
      <c r="D19" s="1424">
        <v>15004</v>
      </c>
      <c r="E19" s="887"/>
      <c r="F19" s="887">
        <v>2787.8688273785792</v>
      </c>
      <c r="G19" s="913"/>
      <c r="I19" s="989">
        <f>'rozpis pro rozpocet'!G93</f>
        <v>111043.79340467587</v>
      </c>
      <c r="J19" s="990">
        <f>'rozpis pro rozpocet'!H93</f>
        <v>0</v>
      </c>
      <c r="K19" s="993">
        <f>'rozpis pro rozpocet'!E93</f>
        <v>15004</v>
      </c>
    </row>
    <row r="20" spans="1:11" x14ac:dyDescent="0.2">
      <c r="A20" s="912" t="s">
        <v>196</v>
      </c>
      <c r="B20" s="887">
        <v>3245.8273889117104</v>
      </c>
      <c r="C20" s="887">
        <v>2000</v>
      </c>
      <c r="D20" s="1424">
        <v>94672</v>
      </c>
      <c r="E20" s="887"/>
      <c r="F20" s="887">
        <v>4692.1288692243461</v>
      </c>
      <c r="G20" s="913"/>
      <c r="I20" s="989">
        <f>'rozpis pro rozpocet'!G95</f>
        <v>3245.8273889117104</v>
      </c>
      <c r="J20" s="990">
        <f>'rozpis pro rozpocet'!H95</f>
        <v>2000</v>
      </c>
      <c r="K20" s="993">
        <f>'rozpis pro rozpocet'!E95</f>
        <v>94672</v>
      </c>
    </row>
    <row r="21" spans="1:11" x14ac:dyDescent="0.2">
      <c r="A21" s="912" t="s">
        <v>269</v>
      </c>
      <c r="B21" s="887">
        <v>0</v>
      </c>
      <c r="C21" s="887">
        <v>0</v>
      </c>
      <c r="D21" s="1424">
        <v>5340</v>
      </c>
      <c r="E21" s="887"/>
      <c r="F21" s="887"/>
      <c r="G21" s="913"/>
      <c r="I21" s="989">
        <f>'rozpis pro rozpocet'!G96</f>
        <v>0</v>
      </c>
      <c r="J21" s="990">
        <f>'rozpis pro rozpocet'!H96</f>
        <v>0</v>
      </c>
      <c r="K21" s="993">
        <f>'rozpis pro rozpocet'!E96</f>
        <v>5340</v>
      </c>
    </row>
    <row r="22" spans="1:11" x14ac:dyDescent="0.2">
      <c r="A22" s="912" t="s">
        <v>69</v>
      </c>
      <c r="B22" s="887">
        <v>0</v>
      </c>
      <c r="C22" s="887">
        <v>0</v>
      </c>
      <c r="D22" s="1424">
        <v>0</v>
      </c>
      <c r="E22" s="887"/>
      <c r="F22" s="887"/>
      <c r="G22" s="913"/>
      <c r="I22" s="989">
        <f>'rozpis pro rozpocet'!G97</f>
        <v>0</v>
      </c>
      <c r="J22" s="990">
        <f>'rozpis pro rozpocet'!H97</f>
        <v>0</v>
      </c>
      <c r="K22" s="993">
        <f>'rozpis pro rozpocet'!E97</f>
        <v>0</v>
      </c>
    </row>
    <row r="23" spans="1:11" x14ac:dyDescent="0.2">
      <c r="A23" s="912" t="s">
        <v>1</v>
      </c>
      <c r="B23" s="887">
        <v>0</v>
      </c>
      <c r="C23" s="887">
        <v>9348</v>
      </c>
      <c r="D23" s="1424">
        <v>0</v>
      </c>
      <c r="E23" s="887"/>
      <c r="F23" s="887"/>
      <c r="G23" s="913"/>
      <c r="I23" s="989">
        <f>'rozpis pro rozpocet'!G98</f>
        <v>0</v>
      </c>
      <c r="J23" s="990">
        <f>'rozpis pro rozpocet'!H98</f>
        <v>9348</v>
      </c>
      <c r="K23" s="993">
        <f>'rozpis pro rozpocet'!E98</f>
        <v>0</v>
      </c>
    </row>
    <row r="24" spans="1:11" x14ac:dyDescent="0.2">
      <c r="A24" s="912" t="s">
        <v>80</v>
      </c>
      <c r="B24" s="887">
        <v>6500</v>
      </c>
      <c r="C24" s="887">
        <v>2070</v>
      </c>
      <c r="D24" s="1424">
        <v>0</v>
      </c>
      <c r="E24" s="887"/>
      <c r="F24" s="887"/>
      <c r="G24" s="913"/>
      <c r="I24" s="989">
        <f>'rozpis pro rozpocet'!G99</f>
        <v>6500</v>
      </c>
      <c r="J24" s="990">
        <f>'rozpis pro rozpocet'!H99</f>
        <v>2070</v>
      </c>
      <c r="K24" s="993">
        <f>'rozpis pro rozpocet'!E99</f>
        <v>0</v>
      </c>
    </row>
    <row r="25" spans="1:11" x14ac:dyDescent="0.2">
      <c r="A25" s="912" t="s">
        <v>79</v>
      </c>
      <c r="B25" s="887">
        <v>3000</v>
      </c>
      <c r="C25" s="887">
        <v>10</v>
      </c>
      <c r="D25" s="1424">
        <v>564</v>
      </c>
      <c r="E25" s="887"/>
      <c r="F25" s="887">
        <v>2400</v>
      </c>
      <c r="G25" s="913"/>
      <c r="I25" s="989">
        <f>'rozpis pro rozpocet'!G100</f>
        <v>3000</v>
      </c>
      <c r="J25" s="990">
        <f>'rozpis pro rozpocet'!H100</f>
        <v>10</v>
      </c>
      <c r="K25" s="993">
        <f>'rozpis pro rozpocet'!E100</f>
        <v>564</v>
      </c>
    </row>
    <row r="26" spans="1:11" x14ac:dyDescent="0.2">
      <c r="A26" s="912" t="s">
        <v>129</v>
      </c>
      <c r="B26" s="887">
        <v>0</v>
      </c>
      <c r="C26" s="887">
        <v>0</v>
      </c>
      <c r="D26" s="1424">
        <v>8818</v>
      </c>
      <c r="E26" s="887"/>
      <c r="F26" s="887"/>
      <c r="G26" s="913"/>
      <c r="I26" s="989">
        <f>'rozpis pro rozpocet'!G102</f>
        <v>0</v>
      </c>
      <c r="J26" s="990">
        <f>'rozpis pro rozpocet'!H102</f>
        <v>0</v>
      </c>
      <c r="K26" s="993">
        <f>'rozpis pro rozpocet'!E102</f>
        <v>8818</v>
      </c>
    </row>
    <row r="27" spans="1:11" x14ac:dyDescent="0.2">
      <c r="A27" s="912" t="s">
        <v>17</v>
      </c>
      <c r="B27" s="887">
        <v>105817</v>
      </c>
      <c r="C27" s="887">
        <v>29700</v>
      </c>
      <c r="D27" s="1424">
        <v>4985</v>
      </c>
      <c r="E27" s="887"/>
      <c r="F27" s="887">
        <v>406.61053193225945</v>
      </c>
      <c r="G27" s="913"/>
      <c r="I27" s="989">
        <f>'rozpis pro rozpocet'!G103</f>
        <v>105817</v>
      </c>
      <c r="J27" s="990">
        <f>'rozpis pro rozpocet'!H103</f>
        <v>29700</v>
      </c>
      <c r="K27" s="993">
        <f>'rozpis pro rozpocet'!E103</f>
        <v>4985</v>
      </c>
    </row>
    <row r="28" spans="1:11" x14ac:dyDescent="0.2">
      <c r="A28" s="912" t="s">
        <v>24</v>
      </c>
      <c r="B28" s="887">
        <v>36000.000000000007</v>
      </c>
      <c r="C28" s="887">
        <v>0</v>
      </c>
      <c r="D28" s="1424">
        <v>871</v>
      </c>
      <c r="E28" s="887"/>
      <c r="F28" s="1424">
        <v>800</v>
      </c>
      <c r="G28" s="913"/>
      <c r="I28" s="989">
        <f>'rozpis pro rozpocet'!G104</f>
        <v>36000.000000000007</v>
      </c>
      <c r="J28" s="990">
        <f>'rozpis pro rozpocet'!H104</f>
        <v>0</v>
      </c>
      <c r="K28" s="993">
        <f>'rozpis pro rozpocet'!E104</f>
        <v>871</v>
      </c>
    </row>
    <row r="29" spans="1:11" x14ac:dyDescent="0.2">
      <c r="A29" s="912" t="s">
        <v>25</v>
      </c>
      <c r="B29" s="887">
        <v>11650</v>
      </c>
      <c r="C29" s="887">
        <v>0</v>
      </c>
      <c r="D29" s="1424">
        <v>0</v>
      </c>
      <c r="E29" s="887"/>
      <c r="F29" s="1424">
        <v>22236</v>
      </c>
      <c r="G29" s="913"/>
      <c r="I29" s="989">
        <f>'rozpis pro rozpocet'!G105</f>
        <v>11650</v>
      </c>
      <c r="J29" s="990">
        <f>'rozpis pro rozpocet'!H105</f>
        <v>0</v>
      </c>
      <c r="K29" s="993">
        <f>'rozpis pro rozpocet'!E105</f>
        <v>0</v>
      </c>
    </row>
    <row r="30" spans="1:11" ht="13.5" thickBot="1" x14ac:dyDescent="0.25">
      <c r="A30" s="1407" t="s">
        <v>18</v>
      </c>
      <c r="B30" s="1408">
        <v>74946.167414391311</v>
      </c>
      <c r="C30" s="1408">
        <f>99933.25+15000</f>
        <v>114933.25</v>
      </c>
      <c r="D30" s="1409">
        <v>60295</v>
      </c>
      <c r="E30" s="1409">
        <v>23600.832585608703</v>
      </c>
      <c r="F30" s="1409">
        <f>38358-G30</f>
        <v>26321</v>
      </c>
      <c r="G30" s="1410">
        <v>12037</v>
      </c>
      <c r="I30" s="989">
        <f>'rozpis pro rozpocet'!G106</f>
        <v>74946.167414391311</v>
      </c>
      <c r="J30" s="990">
        <f>'rozpis pro rozpocet'!H106+'rozpis pro rozpocet'!I106</f>
        <v>114933.25</v>
      </c>
      <c r="K30" s="993">
        <f>'rozpis pro rozpocet'!E106</f>
        <v>60295</v>
      </c>
    </row>
    <row r="31" spans="1:11" ht="13.5" thickBot="1" x14ac:dyDescent="0.25">
      <c r="A31" s="1411" t="s">
        <v>194</v>
      </c>
      <c r="B31" s="1412">
        <f t="shared" ref="B31:G31" si="0">SUM(B11:B30)</f>
        <v>1759209.7674143917</v>
      </c>
      <c r="C31" s="1412">
        <f t="shared" si="0"/>
        <v>204187.25</v>
      </c>
      <c r="D31" s="1425">
        <f t="shared" si="0"/>
        <v>728233</v>
      </c>
      <c r="E31" s="1412">
        <f t="shared" si="0"/>
        <v>23600.832585608703</v>
      </c>
      <c r="F31" s="1412">
        <f t="shared" si="0"/>
        <v>100729</v>
      </c>
      <c r="G31" s="1413">
        <f t="shared" si="0"/>
        <v>12037</v>
      </c>
      <c r="I31" s="1280">
        <f>SUM(I11:I30)</f>
        <v>1757861.9674143915</v>
      </c>
      <c r="J31" s="1280">
        <f>SUM(J11:J30)</f>
        <v>204187.25</v>
      </c>
      <c r="K31" s="1280">
        <f>SUM(K11:K30)</f>
        <v>726493</v>
      </c>
    </row>
    <row r="33" spans="1:9" x14ac:dyDescent="0.2">
      <c r="A33" s="902" t="s">
        <v>368</v>
      </c>
      <c r="B33" s="887">
        <f>SUM(B34:B37)</f>
        <v>74946.167414391311</v>
      </c>
      <c r="C33" s="887">
        <f>SUM(C34:C37)</f>
        <v>114933.25</v>
      </c>
      <c r="D33" s="1424">
        <f>SUM(D34:D37)</f>
        <v>60295</v>
      </c>
      <c r="E33" s="887">
        <f>SUM(E34:E37)</f>
        <v>23600.832585608703</v>
      </c>
      <c r="F33" s="887">
        <f>SUM(F34:F37)</f>
        <v>26321</v>
      </c>
      <c r="G33" s="887">
        <f>G30</f>
        <v>12037</v>
      </c>
    </row>
    <row r="34" spans="1:9" x14ac:dyDescent="0.2">
      <c r="A34" s="903" t="s">
        <v>660</v>
      </c>
      <c r="B34" s="904"/>
      <c r="C34" s="904"/>
      <c r="D34" s="1426">
        <f>'rozpis pro rozpocet'!E69</f>
        <v>52300</v>
      </c>
      <c r="E34" s="904"/>
      <c r="F34" s="904"/>
      <c r="G34" s="904"/>
      <c r="I34" s="107"/>
    </row>
    <row r="35" spans="1:9" x14ac:dyDescent="0.2">
      <c r="A35" s="903" t="s">
        <v>384</v>
      </c>
      <c r="B35" s="904"/>
      <c r="C35" s="904"/>
      <c r="D35" s="1426"/>
      <c r="E35" s="904"/>
      <c r="F35" s="904"/>
      <c r="G35" s="904">
        <v>12037</v>
      </c>
    </row>
    <row r="36" spans="1:9" x14ac:dyDescent="0.2">
      <c r="A36" s="903" t="s">
        <v>524</v>
      </c>
      <c r="B36" s="904"/>
      <c r="C36" s="904">
        <v>15000</v>
      </c>
      <c r="D36" s="1426"/>
      <c r="E36" s="904"/>
      <c r="F36" s="904"/>
      <c r="G36" s="904"/>
    </row>
    <row r="37" spans="1:9" x14ac:dyDescent="0.2">
      <c r="A37" s="903" t="s">
        <v>661</v>
      </c>
      <c r="B37" s="904">
        <f>B30</f>
        <v>74946.167414391311</v>
      </c>
      <c r="C37" s="904">
        <f>C30-C36</f>
        <v>99933.25</v>
      </c>
      <c r="D37" s="1426">
        <f>D30-D34</f>
        <v>7995</v>
      </c>
      <c r="E37" s="904">
        <f>E30-E34</f>
        <v>23600.832585608703</v>
      </c>
      <c r="F37" s="904">
        <f>F30-F34</f>
        <v>26321</v>
      </c>
      <c r="G37" s="904">
        <f>G33-G35</f>
        <v>0</v>
      </c>
    </row>
    <row r="40" spans="1:9" x14ac:dyDescent="0.2">
      <c r="A40" s="908" t="s">
        <v>554</v>
      </c>
    </row>
    <row r="41" spans="1:9" x14ac:dyDescent="0.2">
      <c r="A41" s="908"/>
    </row>
  </sheetData>
  <mergeCells count="1">
    <mergeCell ref="B9:C9"/>
  </mergeCells>
  <pageMargins left="0.7" right="0.7" top="0.78740157499999996" bottom="0.78740157499999996" header="0.3" footer="0.3"/>
  <pageSetup paperSize="9"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N203"/>
  <sheetViews>
    <sheetView showGridLines="0" zoomScaleNormal="100" workbookViewId="0">
      <pane ySplit="5" topLeftCell="A6" activePane="bottomLeft" state="frozen"/>
      <selection activeCell="J26" sqref="J26"/>
      <selection pane="bottomLeft"/>
    </sheetView>
  </sheetViews>
  <sheetFormatPr defaultColWidth="11.42578125" defaultRowHeight="12" customHeight="1" outlineLevelRow="1" outlineLevelCol="1" x14ac:dyDescent="0.2"/>
  <cols>
    <col min="1" max="2" width="5.28515625" style="1029" customWidth="1"/>
    <col min="3" max="3" width="9.5703125" style="1030" customWidth="1"/>
    <col min="4" max="4" width="43.42578125" style="1018" customWidth="1"/>
    <col min="5" max="8" width="9.42578125" style="1225" hidden="1" customWidth="1" outlineLevel="1"/>
    <col min="9" max="9" width="10.5703125" style="1225" customWidth="1" collapsed="1"/>
    <col min="10" max="11" width="10.5703125" style="1225" customWidth="1"/>
    <col min="12" max="12" width="6.7109375" style="1029" customWidth="1"/>
    <col min="13" max="13" width="7.42578125" style="1255" customWidth="1"/>
    <col min="14" max="14" width="40.28515625" style="1023" customWidth="1"/>
    <col min="15" max="16384" width="11.42578125" style="1018"/>
  </cols>
  <sheetData>
    <row r="1" spans="1:14" ht="15.75" x14ac:dyDescent="0.25">
      <c r="A1" s="1015" t="s">
        <v>603</v>
      </c>
      <c r="B1" s="1016"/>
      <c r="C1" s="1017"/>
      <c r="E1" s="1019"/>
      <c r="F1" s="1019"/>
      <c r="G1" s="1019"/>
      <c r="H1" s="1019"/>
      <c r="I1" s="1019"/>
      <c r="J1" s="1019"/>
      <c r="K1" s="1019"/>
      <c r="L1" s="1021"/>
      <c r="M1" s="1022"/>
    </row>
    <row r="2" spans="1:14" ht="12" customHeight="1" x14ac:dyDescent="0.2">
      <c r="A2" s="1024" t="s">
        <v>525</v>
      </c>
      <c r="B2" s="1025"/>
      <c r="C2" s="1026"/>
      <c r="D2" s="1020"/>
      <c r="E2" s="1027"/>
      <c r="F2" s="1027"/>
      <c r="G2" s="1027"/>
      <c r="H2" s="1027"/>
      <c r="I2" s="1027"/>
      <c r="J2" s="1027"/>
      <c r="K2" s="1027"/>
      <c r="L2" s="1020"/>
      <c r="M2" s="1028"/>
    </row>
    <row r="3" spans="1:14" ht="12" customHeight="1" thickBot="1" x14ac:dyDescent="0.25">
      <c r="E3" s="1031"/>
      <c r="F3" s="1031"/>
      <c r="G3" s="1031"/>
      <c r="H3" s="1031"/>
      <c r="I3" s="1032"/>
      <c r="J3" s="1032"/>
      <c r="K3" s="1032"/>
      <c r="L3" s="1033"/>
      <c r="M3" s="1033"/>
    </row>
    <row r="4" spans="1:14" ht="12" customHeight="1" x14ac:dyDescent="0.2">
      <c r="A4" s="1034"/>
      <c r="B4" s="1035"/>
      <c r="C4" s="1036"/>
      <c r="D4" s="1037"/>
      <c r="E4" s="1038" t="s">
        <v>26</v>
      </c>
      <c r="F4" s="1038" t="s">
        <v>26</v>
      </c>
      <c r="G4" s="1039" t="s">
        <v>26</v>
      </c>
      <c r="H4" s="1317" t="s">
        <v>26</v>
      </c>
      <c r="I4" s="1318" t="s">
        <v>26</v>
      </c>
      <c r="J4" s="1477" t="s">
        <v>26</v>
      </c>
      <c r="K4" s="1301" t="s">
        <v>26</v>
      </c>
      <c r="L4" s="1040"/>
      <c r="M4" s="1041"/>
    </row>
    <row r="5" spans="1:14" ht="12" customHeight="1" thickBot="1" x14ac:dyDescent="0.25">
      <c r="A5" s="1042" t="s">
        <v>27</v>
      </c>
      <c r="B5" s="1043" t="s">
        <v>450</v>
      </c>
      <c r="C5" s="1044" t="s">
        <v>451</v>
      </c>
      <c r="D5" s="1045" t="s">
        <v>28</v>
      </c>
      <c r="E5" s="1046">
        <v>2012</v>
      </c>
      <c r="F5" s="1046">
        <v>2013</v>
      </c>
      <c r="G5" s="1047">
        <v>2014</v>
      </c>
      <c r="H5" s="1319">
        <v>2015</v>
      </c>
      <c r="I5" s="1320">
        <v>2016</v>
      </c>
      <c r="J5" s="1478">
        <v>2017</v>
      </c>
      <c r="K5" s="1302">
        <v>2018</v>
      </c>
      <c r="L5" s="1048" t="s">
        <v>441</v>
      </c>
      <c r="M5" s="1049" t="s">
        <v>448</v>
      </c>
    </row>
    <row r="6" spans="1:14" ht="12" customHeight="1" x14ac:dyDescent="0.2">
      <c r="A6" s="1050" t="s">
        <v>453</v>
      </c>
      <c r="B6" s="1051" t="s">
        <v>248</v>
      </c>
      <c r="C6" s="1052" t="s">
        <v>16</v>
      </c>
      <c r="D6" s="1053" t="s">
        <v>162</v>
      </c>
      <c r="E6" s="1054">
        <f t="shared" ref="E6:K6" si="0">E7+E12+E13+E26</f>
        <v>245687</v>
      </c>
      <c r="F6" s="1054">
        <f t="shared" si="0"/>
        <v>208965</v>
      </c>
      <c r="G6" s="1055">
        <f t="shared" si="0"/>
        <v>185010</v>
      </c>
      <c r="H6" s="1056">
        <f t="shared" si="0"/>
        <v>152894</v>
      </c>
      <c r="I6" s="1293">
        <f t="shared" si="0"/>
        <v>95056</v>
      </c>
      <c r="J6" s="1293">
        <v>91332</v>
      </c>
      <c r="K6" s="1055">
        <f t="shared" si="0"/>
        <v>123830</v>
      </c>
      <c r="L6" s="1056"/>
      <c r="M6" s="1055"/>
    </row>
    <row r="7" spans="1:14" ht="12" customHeight="1" x14ac:dyDescent="0.2">
      <c r="A7" s="1057">
        <v>1</v>
      </c>
      <c r="B7" s="1058" t="s">
        <v>248</v>
      </c>
      <c r="C7" s="1059"/>
      <c r="D7" s="1060" t="s">
        <v>149</v>
      </c>
      <c r="E7" s="1061">
        <f>SUM(E9:E11)</f>
        <v>234531</v>
      </c>
      <c r="F7" s="1061">
        <f>SUM(F9:F11)</f>
        <v>204450</v>
      </c>
      <c r="G7" s="1062">
        <f t="shared" ref="G7:H7" si="1">SUM(G8:G11)</f>
        <v>179862</v>
      </c>
      <c r="H7" s="1063">
        <f t="shared" si="1"/>
        <v>144151</v>
      </c>
      <c r="I7" s="1290">
        <f>SUM(I8:I11)</f>
        <v>88000</v>
      </c>
      <c r="J7" s="1290">
        <v>88000</v>
      </c>
      <c r="K7" s="1062">
        <f>SUM(K8:K11)</f>
        <v>121000</v>
      </c>
      <c r="L7" s="1063"/>
      <c r="M7" s="1064"/>
    </row>
    <row r="8" spans="1:14" ht="12" customHeight="1" outlineLevel="1" x14ac:dyDescent="0.2">
      <c r="A8" s="1065" t="s">
        <v>141</v>
      </c>
      <c r="B8" s="1066" t="s">
        <v>248</v>
      </c>
      <c r="C8" s="1067" t="s">
        <v>452</v>
      </c>
      <c r="D8" s="1068" t="s">
        <v>93</v>
      </c>
      <c r="E8" s="1069"/>
      <c r="F8" s="1069"/>
      <c r="G8" s="1070">
        <v>0</v>
      </c>
      <c r="H8" s="1073"/>
      <c r="I8" s="1321"/>
      <c r="J8" s="1321"/>
      <c r="K8" s="1071"/>
      <c r="L8" s="1073"/>
      <c r="M8" s="1074"/>
      <c r="N8" s="1263"/>
    </row>
    <row r="9" spans="1:14" ht="12" customHeight="1" outlineLevel="1" x14ac:dyDescent="0.2">
      <c r="A9" s="1065" t="s">
        <v>142</v>
      </c>
      <c r="B9" s="1066" t="s">
        <v>248</v>
      </c>
      <c r="C9" s="1067" t="s">
        <v>452</v>
      </c>
      <c r="D9" s="1068" t="s">
        <v>150</v>
      </c>
      <c r="E9" s="1069">
        <v>122531</v>
      </c>
      <c r="F9" s="1069">
        <v>91450</v>
      </c>
      <c r="G9" s="1070">
        <v>41862</v>
      </c>
      <c r="H9" s="1073">
        <v>14751</v>
      </c>
      <c r="I9" s="1321"/>
      <c r="J9" s="1321"/>
      <c r="K9" s="1071"/>
      <c r="L9" s="1073"/>
      <c r="M9" s="1074"/>
      <c r="N9" s="1075"/>
    </row>
    <row r="10" spans="1:14" ht="12" customHeight="1" outlineLevel="1" x14ac:dyDescent="0.2">
      <c r="A10" s="1065" t="s">
        <v>151</v>
      </c>
      <c r="B10" s="1066" t="s">
        <v>248</v>
      </c>
      <c r="C10" s="1067" t="s">
        <v>452</v>
      </c>
      <c r="D10" s="1068" t="s">
        <v>271</v>
      </c>
      <c r="E10" s="1069">
        <v>87000</v>
      </c>
      <c r="F10" s="1069">
        <v>88000</v>
      </c>
      <c r="G10" s="1070">
        <v>88000</v>
      </c>
      <c r="H10" s="1073">
        <v>88000</v>
      </c>
      <c r="I10" s="1321">
        <v>88000</v>
      </c>
      <c r="J10" s="1321">
        <v>88000</v>
      </c>
      <c r="K10" s="1071">
        <v>88000</v>
      </c>
      <c r="L10" s="1073"/>
      <c r="M10" s="1074"/>
      <c r="N10" s="1075"/>
    </row>
    <row r="11" spans="1:14" ht="12" customHeight="1" outlineLevel="1" x14ac:dyDescent="0.2">
      <c r="A11" s="1065" t="s">
        <v>152</v>
      </c>
      <c r="B11" s="1066" t="s">
        <v>248</v>
      </c>
      <c r="C11" s="1067" t="s">
        <v>452</v>
      </c>
      <c r="D11" s="1068" t="s">
        <v>204</v>
      </c>
      <c r="E11" s="1076">
        <v>25000</v>
      </c>
      <c r="F11" s="1076">
        <v>25000</v>
      </c>
      <c r="G11" s="1077">
        <v>50000</v>
      </c>
      <c r="H11" s="1073">
        <v>41400</v>
      </c>
      <c r="I11" s="1321"/>
      <c r="J11" s="1321"/>
      <c r="K11" s="1071">
        <v>33000</v>
      </c>
      <c r="L11" s="1073"/>
      <c r="M11" s="1074"/>
      <c r="N11" s="1075"/>
    </row>
    <row r="12" spans="1:14" ht="12" customHeight="1" x14ac:dyDescent="0.2">
      <c r="A12" s="1057">
        <v>2</v>
      </c>
      <c r="B12" s="1058" t="s">
        <v>248</v>
      </c>
      <c r="C12" s="1059"/>
      <c r="D12" s="1060" t="s">
        <v>94</v>
      </c>
      <c r="E12" s="1061"/>
      <c r="F12" s="1061"/>
      <c r="G12" s="1062"/>
      <c r="H12" s="1063"/>
      <c r="I12" s="1290">
        <v>0</v>
      </c>
      <c r="J12" s="1290"/>
      <c r="K12" s="1062"/>
      <c r="L12" s="1063"/>
      <c r="M12" s="1064"/>
      <c r="N12" s="1075"/>
    </row>
    <row r="13" spans="1:14" ht="12" customHeight="1" x14ac:dyDescent="0.2">
      <c r="A13" s="1057">
        <v>3</v>
      </c>
      <c r="B13" s="1058" t="s">
        <v>248</v>
      </c>
      <c r="C13" s="1059"/>
      <c r="D13" s="1060" t="s">
        <v>224</v>
      </c>
      <c r="E13" s="1078">
        <f>SUM(E15:E25)</f>
        <v>10156</v>
      </c>
      <c r="F13" s="1078">
        <f>SUM(F15:F25)</f>
        <v>4515</v>
      </c>
      <c r="G13" s="1079">
        <f>SUM(G14:G25)</f>
        <v>5148</v>
      </c>
      <c r="H13" s="1080">
        <f>SUM(H14:H25)</f>
        <v>5143</v>
      </c>
      <c r="I13" s="1291">
        <f>SUM(I14:I25)</f>
        <v>7056</v>
      </c>
      <c r="J13" s="1291">
        <v>3332</v>
      </c>
      <c r="K13" s="1079">
        <f>SUM(K14:K25)</f>
        <v>2830</v>
      </c>
      <c r="L13" s="1080"/>
      <c r="M13" s="1081"/>
      <c r="N13" s="1075"/>
    </row>
    <row r="14" spans="1:14" ht="12" customHeight="1" outlineLevel="1" x14ac:dyDescent="0.2">
      <c r="A14" s="1082" t="s">
        <v>369</v>
      </c>
      <c r="B14" s="1066" t="s">
        <v>248</v>
      </c>
      <c r="C14" s="1067" t="s">
        <v>454</v>
      </c>
      <c r="D14" s="1083" t="s">
        <v>471</v>
      </c>
      <c r="E14" s="1084"/>
      <c r="F14" s="1084"/>
      <c r="G14" s="1085"/>
      <c r="H14" s="1087"/>
      <c r="I14" s="1322"/>
      <c r="J14" s="1322"/>
      <c r="K14" s="1086"/>
      <c r="L14" s="1087"/>
      <c r="M14" s="1088"/>
      <c r="N14" s="1075"/>
    </row>
    <row r="15" spans="1:14" ht="12" customHeight="1" outlineLevel="1" x14ac:dyDescent="0.2">
      <c r="A15" s="1082" t="s">
        <v>370</v>
      </c>
      <c r="B15" s="1066" t="s">
        <v>248</v>
      </c>
      <c r="C15" s="1067" t="s">
        <v>463</v>
      </c>
      <c r="D15" s="1083" t="s">
        <v>471</v>
      </c>
      <c r="E15" s="1084"/>
      <c r="F15" s="1084"/>
      <c r="G15" s="1085"/>
      <c r="H15" s="1087"/>
      <c r="I15" s="1322"/>
      <c r="J15" s="1322"/>
      <c r="K15" s="1086"/>
      <c r="L15" s="1087"/>
      <c r="M15" s="1088"/>
      <c r="N15" s="1075"/>
    </row>
    <row r="16" spans="1:14" ht="12" customHeight="1" outlineLevel="1" x14ac:dyDescent="0.2">
      <c r="A16" s="1082" t="s">
        <v>371</v>
      </c>
      <c r="B16" s="1066" t="s">
        <v>248</v>
      </c>
      <c r="C16" s="1067" t="s">
        <v>455</v>
      </c>
      <c r="D16" s="1083" t="s">
        <v>471</v>
      </c>
      <c r="E16" s="1084"/>
      <c r="F16" s="1084"/>
      <c r="G16" s="1085"/>
      <c r="H16" s="1087"/>
      <c r="I16" s="1322"/>
      <c r="J16" s="1322"/>
      <c r="K16" s="1086"/>
      <c r="L16" s="1087"/>
      <c r="M16" s="1088"/>
      <c r="N16" s="1075"/>
    </row>
    <row r="17" spans="1:14" ht="12" customHeight="1" outlineLevel="1" x14ac:dyDescent="0.2">
      <c r="A17" s="1082" t="s">
        <v>372</v>
      </c>
      <c r="B17" s="1066" t="s">
        <v>248</v>
      </c>
      <c r="C17" s="1067" t="s">
        <v>464</v>
      </c>
      <c r="D17" s="1083" t="s">
        <v>471</v>
      </c>
      <c r="E17" s="1084"/>
      <c r="F17" s="1084"/>
      <c r="G17" s="1085"/>
      <c r="H17" s="1087"/>
      <c r="I17" s="1322"/>
      <c r="J17" s="1322"/>
      <c r="K17" s="1086"/>
      <c r="L17" s="1087"/>
      <c r="M17" s="1088"/>
      <c r="N17" s="1075"/>
    </row>
    <row r="18" spans="1:14" ht="12" customHeight="1" outlineLevel="1" x14ac:dyDescent="0.2">
      <c r="A18" s="1082" t="s">
        <v>373</v>
      </c>
      <c r="B18" s="1066" t="s">
        <v>248</v>
      </c>
      <c r="C18" s="1067" t="s">
        <v>456</v>
      </c>
      <c r="D18" s="1083" t="s">
        <v>471</v>
      </c>
      <c r="E18" s="1084">
        <v>627</v>
      </c>
      <c r="F18" s="1084">
        <v>745</v>
      </c>
      <c r="G18" s="1085">
        <v>704</v>
      </c>
      <c r="H18" s="1089">
        <v>704</v>
      </c>
      <c r="I18" s="1322">
        <v>651</v>
      </c>
      <c r="J18" s="1322">
        <v>670</v>
      </c>
      <c r="K18" s="1086">
        <v>670</v>
      </c>
      <c r="L18" s="1089"/>
      <c r="M18" s="1090"/>
      <c r="N18" s="1075"/>
    </row>
    <row r="19" spans="1:14" ht="12" customHeight="1" outlineLevel="1" x14ac:dyDescent="0.2">
      <c r="A19" s="1082" t="s">
        <v>374</v>
      </c>
      <c r="B19" s="1066" t="s">
        <v>248</v>
      </c>
      <c r="C19" s="1067" t="s">
        <v>457</v>
      </c>
      <c r="D19" s="1083" t="s">
        <v>471</v>
      </c>
      <c r="E19" s="1084">
        <v>28</v>
      </c>
      <c r="F19" s="1084">
        <v>28</v>
      </c>
      <c r="G19" s="1085">
        <v>26</v>
      </c>
      <c r="H19" s="1087">
        <v>10</v>
      </c>
      <c r="I19" s="1322"/>
      <c r="J19" s="1322">
        <v>10</v>
      </c>
      <c r="K19" s="1086">
        <v>10</v>
      </c>
      <c r="L19" s="1087"/>
      <c r="M19" s="1088"/>
      <c r="N19" s="1075"/>
    </row>
    <row r="20" spans="1:14" ht="12" customHeight="1" outlineLevel="1" x14ac:dyDescent="0.2">
      <c r="A20" s="1082" t="s">
        <v>375</v>
      </c>
      <c r="B20" s="1066" t="s">
        <v>248</v>
      </c>
      <c r="C20" s="1067" t="s">
        <v>458</v>
      </c>
      <c r="D20" s="1083" t="s">
        <v>471</v>
      </c>
      <c r="E20" s="1084"/>
      <c r="F20" s="1084"/>
      <c r="G20" s="1085">
        <v>0</v>
      </c>
      <c r="H20" s="1087"/>
      <c r="I20" s="1322"/>
      <c r="J20" s="1322"/>
      <c r="K20" s="1086"/>
      <c r="L20" s="1087"/>
      <c r="M20" s="1088"/>
      <c r="N20" s="1075"/>
    </row>
    <row r="21" spans="1:14" ht="12" customHeight="1" outlineLevel="1" x14ac:dyDescent="0.2">
      <c r="A21" s="1082" t="s">
        <v>376</v>
      </c>
      <c r="B21" s="1066" t="s">
        <v>248</v>
      </c>
      <c r="C21" s="1067" t="s">
        <v>459</v>
      </c>
      <c r="D21" s="1083" t="s">
        <v>471</v>
      </c>
      <c r="E21" s="1084"/>
      <c r="F21" s="1084">
        <v>97</v>
      </c>
      <c r="G21" s="1085">
        <v>99</v>
      </c>
      <c r="H21" s="1087">
        <v>125</v>
      </c>
      <c r="I21" s="1322">
        <v>125</v>
      </c>
      <c r="J21" s="1322">
        <v>150</v>
      </c>
      <c r="K21" s="1086">
        <v>150</v>
      </c>
      <c r="L21" s="1087"/>
      <c r="M21" s="1088"/>
      <c r="N21" s="1075"/>
    </row>
    <row r="22" spans="1:14" ht="12" customHeight="1" outlineLevel="1" x14ac:dyDescent="0.2">
      <c r="A22" s="1082" t="s">
        <v>377</v>
      </c>
      <c r="B22" s="1066" t="s">
        <v>248</v>
      </c>
      <c r="C22" s="1067" t="s">
        <v>460</v>
      </c>
      <c r="D22" s="1083" t="s">
        <v>471</v>
      </c>
      <c r="E22" s="1084">
        <v>8457</v>
      </c>
      <c r="F22" s="1084">
        <v>2861</v>
      </c>
      <c r="G22" s="1085">
        <v>3428</v>
      </c>
      <c r="H22" s="1087">
        <v>3428</v>
      </c>
      <c r="I22" s="1322">
        <v>5060</v>
      </c>
      <c r="J22" s="1322"/>
      <c r="K22" s="1086"/>
      <c r="L22" s="1087"/>
      <c r="M22" s="1088"/>
      <c r="N22" s="1075"/>
    </row>
    <row r="23" spans="1:14" ht="12" customHeight="1" outlineLevel="1" x14ac:dyDescent="0.2">
      <c r="A23" s="1082" t="s">
        <v>378</v>
      </c>
      <c r="B23" s="1066" t="s">
        <v>248</v>
      </c>
      <c r="C23" s="1067" t="s">
        <v>461</v>
      </c>
      <c r="D23" s="1083" t="s">
        <v>471</v>
      </c>
      <c r="E23" s="1091">
        <v>155</v>
      </c>
      <c r="F23" s="1091">
        <v>332</v>
      </c>
      <c r="G23" s="1092">
        <v>41</v>
      </c>
      <c r="H23" s="1089">
        <v>26</v>
      </c>
      <c r="I23" s="1322">
        <v>20</v>
      </c>
      <c r="J23" s="1322">
        <v>2</v>
      </c>
      <c r="K23" s="1086">
        <v>0</v>
      </c>
      <c r="L23" s="1089"/>
      <c r="M23" s="1090"/>
      <c r="N23" s="1075"/>
    </row>
    <row r="24" spans="1:14" ht="12" customHeight="1" outlineLevel="1" x14ac:dyDescent="0.2">
      <c r="A24" s="1082" t="s">
        <v>379</v>
      </c>
      <c r="B24" s="1066" t="s">
        <v>248</v>
      </c>
      <c r="C24" s="1067" t="s">
        <v>462</v>
      </c>
      <c r="D24" s="1083" t="s">
        <v>471</v>
      </c>
      <c r="E24" s="1084">
        <v>59</v>
      </c>
      <c r="F24" s="1084">
        <v>8</v>
      </c>
      <c r="G24" s="1085">
        <v>0</v>
      </c>
      <c r="H24" s="1087"/>
      <c r="I24" s="1322"/>
      <c r="J24" s="1322"/>
      <c r="K24" s="1086"/>
      <c r="L24" s="1087"/>
      <c r="M24" s="1088"/>
      <c r="N24" s="1075"/>
    </row>
    <row r="25" spans="1:14" ht="12" customHeight="1" outlineLevel="1" x14ac:dyDescent="0.2">
      <c r="A25" s="1082" t="s">
        <v>380</v>
      </c>
      <c r="B25" s="1066" t="s">
        <v>248</v>
      </c>
      <c r="C25" s="1067" t="s">
        <v>452</v>
      </c>
      <c r="D25" s="1083" t="s">
        <v>471</v>
      </c>
      <c r="E25" s="1084">
        <v>830</v>
      </c>
      <c r="F25" s="1084">
        <v>444</v>
      </c>
      <c r="G25" s="1085">
        <v>850</v>
      </c>
      <c r="H25" s="1087">
        <v>850</v>
      </c>
      <c r="I25" s="1322">
        <v>1200</v>
      </c>
      <c r="J25" s="1322">
        <v>2500</v>
      </c>
      <c r="K25" s="1086">
        <v>2000</v>
      </c>
      <c r="L25" s="1087"/>
      <c r="M25" s="1088"/>
      <c r="N25" s="1075"/>
    </row>
    <row r="26" spans="1:14" s="1205" customFormat="1" ht="12" customHeight="1" thickBot="1" x14ac:dyDescent="0.25">
      <c r="A26" s="1093">
        <v>4</v>
      </c>
      <c r="B26" s="1094" t="s">
        <v>248</v>
      </c>
      <c r="C26" s="1095" t="s">
        <v>452</v>
      </c>
      <c r="D26" s="1095" t="s">
        <v>225</v>
      </c>
      <c r="E26" s="1096">
        <v>1000</v>
      </c>
      <c r="F26" s="1096"/>
      <c r="G26" s="1097">
        <v>0</v>
      </c>
      <c r="H26" s="1098">
        <v>3600</v>
      </c>
      <c r="I26" s="1292"/>
      <c r="J26" s="1292"/>
      <c r="K26" s="1099"/>
      <c r="L26" s="1098"/>
      <c r="M26" s="1100"/>
      <c r="N26" s="1204"/>
    </row>
    <row r="27" spans="1:14" ht="12" customHeight="1" x14ac:dyDescent="0.2">
      <c r="A27" s="1101" t="s">
        <v>453</v>
      </c>
      <c r="B27" s="1102" t="s">
        <v>302</v>
      </c>
      <c r="C27" s="1103" t="s">
        <v>16</v>
      </c>
      <c r="D27" s="1104" t="s">
        <v>526</v>
      </c>
      <c r="E27" s="1105">
        <f t="shared" ref="E27:K27" si="2">E93+E97+E100+E104+E107+E111+E113+E116+E119+E121+E128+E130+E132+E134+E157+E159</f>
        <v>136915</v>
      </c>
      <c r="F27" s="1105">
        <f t="shared" si="2"/>
        <v>156838</v>
      </c>
      <c r="G27" s="1106">
        <f t="shared" si="2"/>
        <v>158930</v>
      </c>
      <c r="H27" s="1107">
        <f t="shared" si="2"/>
        <v>191349</v>
      </c>
      <c r="I27" s="1294">
        <f t="shared" si="2"/>
        <v>192832</v>
      </c>
      <c r="J27" s="1294">
        <f t="shared" si="2"/>
        <v>201826</v>
      </c>
      <c r="K27" s="1106">
        <f t="shared" si="2"/>
        <v>210232.25</v>
      </c>
      <c r="L27" s="1108"/>
      <c r="M27" s="1109"/>
    </row>
    <row r="28" spans="1:14" ht="12" customHeight="1" x14ac:dyDescent="0.2">
      <c r="A28" s="1110">
        <v>1</v>
      </c>
      <c r="B28" s="1111" t="s">
        <v>302</v>
      </c>
      <c r="C28" s="1067" t="s">
        <v>452</v>
      </c>
      <c r="D28" s="1068" t="s">
        <v>84</v>
      </c>
      <c r="E28" s="1112">
        <v>2900</v>
      </c>
      <c r="F28" s="1112">
        <v>4100</v>
      </c>
      <c r="G28" s="1070">
        <v>3800</v>
      </c>
      <c r="H28" s="1073">
        <v>4000</v>
      </c>
      <c r="I28" s="1321">
        <v>4000</v>
      </c>
      <c r="J28" s="1321">
        <v>7050</v>
      </c>
      <c r="K28" s="1071">
        <v>7050</v>
      </c>
      <c r="L28" s="1113" t="s">
        <v>509</v>
      </c>
      <c r="M28" s="1114" t="s">
        <v>205</v>
      </c>
      <c r="N28" s="1264"/>
    </row>
    <row r="29" spans="1:14" s="1031" customFormat="1" ht="12" customHeight="1" x14ac:dyDescent="0.2">
      <c r="A29" s="1110">
        <f>A28+1</f>
        <v>2</v>
      </c>
      <c r="B29" s="1111" t="s">
        <v>302</v>
      </c>
      <c r="C29" s="1067" t="s">
        <v>452</v>
      </c>
      <c r="D29" s="1115" t="s">
        <v>83</v>
      </c>
      <c r="E29" s="1112">
        <v>800</v>
      </c>
      <c r="F29" s="1112">
        <v>1200</v>
      </c>
      <c r="G29" s="1070">
        <v>1200</v>
      </c>
      <c r="H29" s="1073">
        <v>1500</v>
      </c>
      <c r="I29" s="1321">
        <v>1400</v>
      </c>
      <c r="J29" s="1321">
        <v>1600</v>
      </c>
      <c r="K29" s="1071">
        <v>1900</v>
      </c>
      <c r="L29" s="1113" t="s">
        <v>510</v>
      </c>
      <c r="M29" s="1114" t="s">
        <v>643</v>
      </c>
      <c r="N29" s="1265"/>
    </row>
    <row r="30" spans="1:14" ht="12" customHeight="1" x14ac:dyDescent="0.2">
      <c r="A30" s="1110">
        <f>A29+1</f>
        <v>3</v>
      </c>
      <c r="B30" s="1111" t="s">
        <v>302</v>
      </c>
      <c r="C30" s="1067" t="s">
        <v>452</v>
      </c>
      <c r="D30" s="1115" t="s">
        <v>75</v>
      </c>
      <c r="E30" s="1116">
        <v>864</v>
      </c>
      <c r="F30" s="1116">
        <v>550</v>
      </c>
      <c r="G30" s="1077">
        <v>600</v>
      </c>
      <c r="H30" s="1073">
        <v>1000</v>
      </c>
      <c r="I30" s="1321">
        <v>1000</v>
      </c>
      <c r="J30" s="1321">
        <v>900</v>
      </c>
      <c r="K30" s="1071">
        <v>900</v>
      </c>
      <c r="L30" s="1113" t="s">
        <v>387</v>
      </c>
      <c r="M30" s="1114" t="s">
        <v>205</v>
      </c>
      <c r="N30" s="1266"/>
    </row>
    <row r="31" spans="1:14" ht="12" customHeight="1" x14ac:dyDescent="0.2">
      <c r="A31" s="1110">
        <f t="shared" ref="A31:A62" si="3">A30+1</f>
        <v>4</v>
      </c>
      <c r="B31" s="1111" t="s">
        <v>302</v>
      </c>
      <c r="C31" s="1067" t="s">
        <v>452</v>
      </c>
      <c r="D31" s="1068" t="s">
        <v>138</v>
      </c>
      <c r="E31" s="1116">
        <v>10000</v>
      </c>
      <c r="F31" s="1116">
        <v>10000</v>
      </c>
      <c r="G31" s="1077">
        <v>10000</v>
      </c>
      <c r="H31" s="1073">
        <v>6400</v>
      </c>
      <c r="I31" s="1321">
        <v>6000</v>
      </c>
      <c r="J31" s="1321">
        <v>8800</v>
      </c>
      <c r="K31" s="1071">
        <v>8000</v>
      </c>
      <c r="L31" s="1113" t="s">
        <v>388</v>
      </c>
      <c r="M31" s="1114" t="s">
        <v>206</v>
      </c>
      <c r="N31" s="1266"/>
    </row>
    <row r="32" spans="1:14" ht="12" customHeight="1" x14ac:dyDescent="0.2">
      <c r="A32" s="1110">
        <f t="shared" si="3"/>
        <v>5</v>
      </c>
      <c r="B32" s="1111" t="s">
        <v>302</v>
      </c>
      <c r="C32" s="1067" t="s">
        <v>452</v>
      </c>
      <c r="D32" s="1115" t="s">
        <v>76</v>
      </c>
      <c r="E32" s="1116">
        <v>2430</v>
      </c>
      <c r="F32" s="1069">
        <v>2430</v>
      </c>
      <c r="G32" s="1070">
        <v>2430</v>
      </c>
      <c r="H32" s="1073">
        <v>2430</v>
      </c>
      <c r="I32" s="1321">
        <v>2430</v>
      </c>
      <c r="J32" s="1321">
        <v>2430</v>
      </c>
      <c r="K32" s="1071">
        <v>1200</v>
      </c>
      <c r="L32" s="1113" t="s">
        <v>389</v>
      </c>
      <c r="M32" s="1114" t="s">
        <v>643</v>
      </c>
      <c r="N32" s="1266"/>
    </row>
    <row r="33" spans="1:14" ht="12" customHeight="1" x14ac:dyDescent="0.2">
      <c r="A33" s="1110">
        <f t="shared" si="3"/>
        <v>6</v>
      </c>
      <c r="B33" s="1111" t="s">
        <v>302</v>
      </c>
      <c r="C33" s="1067" t="s">
        <v>452</v>
      </c>
      <c r="D33" s="1068" t="s">
        <v>675</v>
      </c>
      <c r="E33" s="1116">
        <v>200</v>
      </c>
      <c r="F33" s="1069">
        <v>750</v>
      </c>
      <c r="G33" s="1070">
        <v>550</v>
      </c>
      <c r="H33" s="1073">
        <v>500</v>
      </c>
      <c r="I33" s="1321">
        <v>450</v>
      </c>
      <c r="J33" s="1321">
        <v>450</v>
      </c>
      <c r="K33" s="1071">
        <v>670</v>
      </c>
      <c r="L33" s="1113" t="s">
        <v>390</v>
      </c>
      <c r="M33" s="1114" t="s">
        <v>644</v>
      </c>
      <c r="N33" s="1266"/>
    </row>
    <row r="34" spans="1:14" ht="12" customHeight="1" x14ac:dyDescent="0.2">
      <c r="A34" s="1110">
        <f t="shared" si="3"/>
        <v>7</v>
      </c>
      <c r="B34" s="1111" t="s">
        <v>302</v>
      </c>
      <c r="C34" s="1067" t="s">
        <v>452</v>
      </c>
      <c r="D34" s="1115" t="s">
        <v>85</v>
      </c>
      <c r="E34" s="1116">
        <v>200</v>
      </c>
      <c r="F34" s="1069">
        <v>300</v>
      </c>
      <c r="G34" s="1070">
        <v>300</v>
      </c>
      <c r="H34" s="1073">
        <v>300</v>
      </c>
      <c r="I34" s="1321">
        <v>200</v>
      </c>
      <c r="J34" s="1321">
        <v>300</v>
      </c>
      <c r="K34" s="1071">
        <v>350</v>
      </c>
      <c r="L34" s="1113" t="s">
        <v>391</v>
      </c>
      <c r="M34" s="1114" t="s">
        <v>644</v>
      </c>
      <c r="N34" s="1266"/>
    </row>
    <row r="35" spans="1:14" ht="12" customHeight="1" x14ac:dyDescent="0.2">
      <c r="A35" s="1110">
        <f t="shared" si="3"/>
        <v>8</v>
      </c>
      <c r="B35" s="1111" t="s">
        <v>302</v>
      </c>
      <c r="C35" s="1067" t="s">
        <v>452</v>
      </c>
      <c r="D35" s="1115" t="s">
        <v>676</v>
      </c>
      <c r="E35" s="1116">
        <v>330</v>
      </c>
      <c r="F35" s="1069">
        <v>450</v>
      </c>
      <c r="G35" s="1070">
        <v>750</v>
      </c>
      <c r="H35" s="1073">
        <v>750</v>
      </c>
      <c r="I35" s="1321">
        <v>400</v>
      </c>
      <c r="J35" s="1321">
        <v>100</v>
      </c>
      <c r="K35" s="1071">
        <v>50</v>
      </c>
      <c r="L35" s="1113" t="s">
        <v>392</v>
      </c>
      <c r="M35" s="1114" t="s">
        <v>643</v>
      </c>
      <c r="N35" s="1266"/>
    </row>
    <row r="36" spans="1:14" ht="12" customHeight="1" x14ac:dyDescent="0.2">
      <c r="A36" s="1110">
        <f t="shared" si="3"/>
        <v>9</v>
      </c>
      <c r="B36" s="1111" t="s">
        <v>302</v>
      </c>
      <c r="C36" s="1067" t="s">
        <v>452</v>
      </c>
      <c r="D36" s="1068" t="s">
        <v>86</v>
      </c>
      <c r="E36" s="1116">
        <v>300</v>
      </c>
      <c r="F36" s="1069">
        <v>300</v>
      </c>
      <c r="G36" s="1070">
        <v>400</v>
      </c>
      <c r="H36" s="1073">
        <v>550</v>
      </c>
      <c r="I36" s="1321">
        <v>550</v>
      </c>
      <c r="J36" s="1321">
        <v>500</v>
      </c>
      <c r="K36" s="1071">
        <v>500</v>
      </c>
      <c r="L36" s="1113" t="s">
        <v>393</v>
      </c>
      <c r="M36" s="1114" t="s">
        <v>442</v>
      </c>
      <c r="N36" s="1266"/>
    </row>
    <row r="37" spans="1:14" ht="12" customHeight="1" x14ac:dyDescent="0.2">
      <c r="A37" s="1110">
        <f t="shared" si="3"/>
        <v>10</v>
      </c>
      <c r="B37" s="1111" t="s">
        <v>302</v>
      </c>
      <c r="C37" s="1067" t="s">
        <v>452</v>
      </c>
      <c r="D37" s="1117" t="s">
        <v>139</v>
      </c>
      <c r="E37" s="1116">
        <v>500</v>
      </c>
      <c r="F37" s="1069">
        <v>700</v>
      </c>
      <c r="G37" s="1070">
        <v>822</v>
      </c>
      <c r="H37" s="1073">
        <v>971</v>
      </c>
      <c r="I37" s="1321">
        <v>1085</v>
      </c>
      <c r="J37" s="1321">
        <v>1085</v>
      </c>
      <c r="K37" s="1071">
        <v>1200</v>
      </c>
      <c r="L37" s="1113" t="s">
        <v>394</v>
      </c>
      <c r="M37" s="1114" t="s">
        <v>208</v>
      </c>
      <c r="N37" s="1266"/>
    </row>
    <row r="38" spans="1:14" ht="12" customHeight="1" x14ac:dyDescent="0.2">
      <c r="A38" s="1110">
        <f t="shared" si="3"/>
        <v>11</v>
      </c>
      <c r="B38" s="1111" t="s">
        <v>302</v>
      </c>
      <c r="C38" s="1067" t="s">
        <v>452</v>
      </c>
      <c r="D38" s="1068" t="s">
        <v>140</v>
      </c>
      <c r="E38" s="1116">
        <v>810</v>
      </c>
      <c r="F38" s="1069">
        <v>900</v>
      </c>
      <c r="G38" s="1070">
        <v>600</v>
      </c>
      <c r="H38" s="1073">
        <v>600</v>
      </c>
      <c r="I38" s="1321">
        <v>600</v>
      </c>
      <c r="J38" s="1321">
        <v>600</v>
      </c>
      <c r="K38" s="1071">
        <v>600</v>
      </c>
      <c r="L38" s="1113" t="s">
        <v>395</v>
      </c>
      <c r="M38" s="1114" t="s">
        <v>205</v>
      </c>
      <c r="N38" s="1118"/>
    </row>
    <row r="39" spans="1:14" ht="12" customHeight="1" x14ac:dyDescent="0.2">
      <c r="A39" s="1110">
        <f t="shared" si="3"/>
        <v>12</v>
      </c>
      <c r="B39" s="1111" t="s">
        <v>302</v>
      </c>
      <c r="C39" s="1067" t="s">
        <v>452</v>
      </c>
      <c r="D39" s="1117" t="s">
        <v>102</v>
      </c>
      <c r="E39" s="1116">
        <v>720</v>
      </c>
      <c r="F39" s="1069">
        <v>800</v>
      </c>
      <c r="G39" s="1070">
        <v>1881</v>
      </c>
      <c r="H39" s="1073">
        <v>1881</v>
      </c>
      <c r="I39" s="1321">
        <v>1521</v>
      </c>
      <c r="J39" s="1321">
        <v>1521</v>
      </c>
      <c r="K39" s="1071">
        <v>1721</v>
      </c>
      <c r="L39" s="1113" t="s">
        <v>396</v>
      </c>
      <c r="M39" s="1114" t="s">
        <v>447</v>
      </c>
      <c r="N39" s="1118"/>
    </row>
    <row r="40" spans="1:14" ht="12" customHeight="1" x14ac:dyDescent="0.2">
      <c r="A40" s="1110">
        <f t="shared" si="3"/>
        <v>13</v>
      </c>
      <c r="B40" s="1111" t="s">
        <v>302</v>
      </c>
      <c r="C40" s="1067" t="s">
        <v>452</v>
      </c>
      <c r="D40" s="1117" t="s">
        <v>677</v>
      </c>
      <c r="E40" s="1116">
        <v>108</v>
      </c>
      <c r="F40" s="1069">
        <v>150</v>
      </c>
      <c r="G40" s="1070">
        <v>350</v>
      </c>
      <c r="H40" s="1073">
        <v>180</v>
      </c>
      <c r="I40" s="1321">
        <v>180</v>
      </c>
      <c r="J40" s="1321">
        <v>180</v>
      </c>
      <c r="K40" s="1071">
        <v>180</v>
      </c>
      <c r="L40" s="1113" t="s">
        <v>397</v>
      </c>
      <c r="M40" s="1114" t="s">
        <v>208</v>
      </c>
      <c r="N40" s="1266"/>
    </row>
    <row r="41" spans="1:14" ht="12" customHeight="1" x14ac:dyDescent="0.2">
      <c r="A41" s="1110">
        <f t="shared" si="3"/>
        <v>14</v>
      </c>
      <c r="B41" s="1111" t="s">
        <v>302</v>
      </c>
      <c r="C41" s="1067" t="s">
        <v>452</v>
      </c>
      <c r="D41" s="1068" t="s">
        <v>87</v>
      </c>
      <c r="E41" s="1116">
        <v>180</v>
      </c>
      <c r="F41" s="1069">
        <v>180</v>
      </c>
      <c r="G41" s="1070">
        <v>1200</v>
      </c>
      <c r="H41" s="1073">
        <v>1795</v>
      </c>
      <c r="I41" s="1321">
        <v>1795</v>
      </c>
      <c r="J41" s="1321">
        <v>1795</v>
      </c>
      <c r="K41" s="1071">
        <v>1885</v>
      </c>
      <c r="L41" s="1113" t="s">
        <v>398</v>
      </c>
      <c r="M41" s="1114" t="s">
        <v>209</v>
      </c>
      <c r="N41" s="1266"/>
    </row>
    <row r="42" spans="1:14" ht="12" customHeight="1" x14ac:dyDescent="0.2">
      <c r="A42" s="1110">
        <f t="shared" si="3"/>
        <v>15</v>
      </c>
      <c r="B42" s="1111" t="s">
        <v>302</v>
      </c>
      <c r="C42" s="1067" t="s">
        <v>452</v>
      </c>
      <c r="D42" s="1068" t="s">
        <v>88</v>
      </c>
      <c r="E42" s="1116">
        <v>70</v>
      </c>
      <c r="F42" s="1069">
        <v>70</v>
      </c>
      <c r="G42" s="1070">
        <v>70</v>
      </c>
      <c r="H42" s="1073">
        <v>70</v>
      </c>
      <c r="I42" s="1321">
        <v>70</v>
      </c>
      <c r="J42" s="1321">
        <v>0</v>
      </c>
      <c r="K42" s="1071">
        <v>0</v>
      </c>
      <c r="L42" s="1113" t="s">
        <v>399</v>
      </c>
      <c r="M42" s="1114" t="s">
        <v>209</v>
      </c>
      <c r="N42" s="1266"/>
    </row>
    <row r="43" spans="1:14" ht="12" customHeight="1" x14ac:dyDescent="0.2">
      <c r="A43" s="1110">
        <f t="shared" si="3"/>
        <v>16</v>
      </c>
      <c r="B43" s="1111" t="s">
        <v>302</v>
      </c>
      <c r="C43" s="1067" t="s">
        <v>452</v>
      </c>
      <c r="D43" s="1068" t="s">
        <v>95</v>
      </c>
      <c r="E43" s="1116">
        <v>405</v>
      </c>
      <c r="F43" s="1069">
        <v>600</v>
      </c>
      <c r="G43" s="1070">
        <v>600</v>
      </c>
      <c r="H43" s="1073">
        <v>600</v>
      </c>
      <c r="I43" s="1321">
        <v>600</v>
      </c>
      <c r="J43" s="1321">
        <v>600</v>
      </c>
      <c r="K43" s="1071">
        <v>600</v>
      </c>
      <c r="L43" s="1113" t="s">
        <v>400</v>
      </c>
      <c r="M43" s="1114" t="s">
        <v>443</v>
      </c>
      <c r="N43" s="1266"/>
    </row>
    <row r="44" spans="1:14" ht="12" customHeight="1" x14ac:dyDescent="0.2">
      <c r="A44" s="1110">
        <f t="shared" si="3"/>
        <v>17</v>
      </c>
      <c r="B44" s="1111" t="s">
        <v>302</v>
      </c>
      <c r="C44" s="1067" t="s">
        <v>452</v>
      </c>
      <c r="D44" s="1068" t="s">
        <v>96</v>
      </c>
      <c r="E44" s="1116">
        <v>405</v>
      </c>
      <c r="F44" s="1069">
        <v>452</v>
      </c>
      <c r="G44" s="1070">
        <v>450</v>
      </c>
      <c r="H44" s="1073">
        <v>1000</v>
      </c>
      <c r="I44" s="1321">
        <v>420</v>
      </c>
      <c r="J44" s="1321">
        <v>400</v>
      </c>
      <c r="K44" s="1071">
        <v>0</v>
      </c>
      <c r="L44" s="1113" t="s">
        <v>402</v>
      </c>
      <c r="M44" s="1114" t="s">
        <v>443</v>
      </c>
      <c r="N44" s="1266"/>
    </row>
    <row r="45" spans="1:14" ht="12" customHeight="1" x14ac:dyDescent="0.2">
      <c r="A45" s="1110">
        <f t="shared" si="3"/>
        <v>18</v>
      </c>
      <c r="B45" s="1111" t="s">
        <v>302</v>
      </c>
      <c r="C45" s="1067" t="s">
        <v>452</v>
      </c>
      <c r="D45" s="1068" t="s">
        <v>272</v>
      </c>
      <c r="E45" s="1116"/>
      <c r="F45" s="1069">
        <v>278</v>
      </c>
      <c r="G45" s="1070">
        <v>485</v>
      </c>
      <c r="H45" s="1073">
        <v>1000</v>
      </c>
      <c r="I45" s="1321">
        <v>1800</v>
      </c>
      <c r="J45" s="1321">
        <v>1800</v>
      </c>
      <c r="K45" s="1071">
        <v>2500</v>
      </c>
      <c r="L45" s="1113" t="s">
        <v>401</v>
      </c>
      <c r="M45" s="1114" t="s">
        <v>443</v>
      </c>
      <c r="N45" s="1266"/>
    </row>
    <row r="46" spans="1:14" ht="12" customHeight="1" x14ac:dyDescent="0.2">
      <c r="A46" s="1119">
        <f t="shared" si="3"/>
        <v>19</v>
      </c>
      <c r="B46" s="1120" t="s">
        <v>302</v>
      </c>
      <c r="C46" s="1121" t="s">
        <v>452</v>
      </c>
      <c r="D46" s="1121" t="s">
        <v>529</v>
      </c>
      <c r="E46" s="1122">
        <v>40130</v>
      </c>
      <c r="F46" s="1122">
        <v>17500</v>
      </c>
      <c r="G46" s="1123">
        <v>17500</v>
      </c>
      <c r="H46" s="1124">
        <v>17500</v>
      </c>
      <c r="I46" s="1295">
        <v>17500</v>
      </c>
      <c r="J46" s="1295">
        <v>19000</v>
      </c>
      <c r="K46" s="1295">
        <v>20000</v>
      </c>
      <c r="L46" s="1125" t="s">
        <v>403</v>
      </c>
      <c r="M46" s="1126" t="s">
        <v>442</v>
      </c>
      <c r="N46" s="1266"/>
    </row>
    <row r="47" spans="1:14" ht="12" customHeight="1" x14ac:dyDescent="0.2">
      <c r="A47" s="1110">
        <f t="shared" si="3"/>
        <v>20</v>
      </c>
      <c r="B47" s="1111" t="s">
        <v>302</v>
      </c>
      <c r="C47" s="1067" t="s">
        <v>452</v>
      </c>
      <c r="D47" s="1068" t="s">
        <v>89</v>
      </c>
      <c r="E47" s="1116">
        <v>6742</v>
      </c>
      <c r="F47" s="1069">
        <v>5650</v>
      </c>
      <c r="G47" s="1070">
        <v>5650</v>
      </c>
      <c r="H47" s="1073">
        <v>0</v>
      </c>
      <c r="I47" s="1321">
        <v>0</v>
      </c>
      <c r="J47" s="1321">
        <v>0</v>
      </c>
      <c r="K47" s="1071">
        <v>0</v>
      </c>
      <c r="L47" s="1113" t="s">
        <v>404</v>
      </c>
      <c r="M47" s="1114" t="s">
        <v>205</v>
      </c>
      <c r="N47" s="1266"/>
    </row>
    <row r="48" spans="1:14" ht="12" customHeight="1" x14ac:dyDescent="0.2">
      <c r="A48" s="1110">
        <f t="shared" si="3"/>
        <v>21</v>
      </c>
      <c r="B48" s="1111" t="s">
        <v>302</v>
      </c>
      <c r="C48" s="1067" t="s">
        <v>452</v>
      </c>
      <c r="D48" s="1068" t="s">
        <v>90</v>
      </c>
      <c r="E48" s="1116">
        <v>60</v>
      </c>
      <c r="F48" s="1069">
        <v>120</v>
      </c>
      <c r="G48" s="1070">
        <v>150</v>
      </c>
      <c r="H48" s="1073">
        <v>55</v>
      </c>
      <c r="I48" s="1321">
        <v>70</v>
      </c>
      <c r="J48" s="1321">
        <v>70</v>
      </c>
      <c r="K48" s="1071">
        <v>70</v>
      </c>
      <c r="L48" s="1113" t="s">
        <v>405</v>
      </c>
      <c r="M48" s="1114" t="s">
        <v>643</v>
      </c>
      <c r="N48" s="1266"/>
    </row>
    <row r="49" spans="1:14" ht="12" customHeight="1" x14ac:dyDescent="0.2">
      <c r="A49" s="1110">
        <f t="shared" si="3"/>
        <v>22</v>
      </c>
      <c r="B49" s="1111" t="s">
        <v>302</v>
      </c>
      <c r="C49" s="1067" t="s">
        <v>452</v>
      </c>
      <c r="D49" s="1068" t="s">
        <v>97</v>
      </c>
      <c r="E49" s="1116">
        <v>630</v>
      </c>
      <c r="F49" s="1069">
        <v>1000</v>
      </c>
      <c r="G49" s="1070">
        <v>1000</v>
      </c>
      <c r="H49" s="1073">
        <v>1000</v>
      </c>
      <c r="I49" s="1321">
        <v>960</v>
      </c>
      <c r="J49" s="1321">
        <v>1000</v>
      </c>
      <c r="K49" s="1071">
        <v>0</v>
      </c>
      <c r="L49" s="1113" t="s">
        <v>406</v>
      </c>
      <c r="M49" s="1114" t="s">
        <v>631</v>
      </c>
      <c r="N49" s="1266"/>
    </row>
    <row r="50" spans="1:14" ht="12" customHeight="1" x14ac:dyDescent="0.2">
      <c r="A50" s="1110">
        <f t="shared" si="3"/>
        <v>23</v>
      </c>
      <c r="B50" s="1111" t="s">
        <v>302</v>
      </c>
      <c r="C50" s="1067" t="s">
        <v>452</v>
      </c>
      <c r="D50" s="1068" t="s">
        <v>143</v>
      </c>
      <c r="E50" s="1116">
        <v>3800</v>
      </c>
      <c r="F50" s="1069">
        <v>4500</v>
      </c>
      <c r="G50" s="1070">
        <v>1800</v>
      </c>
      <c r="H50" s="1073">
        <v>1800</v>
      </c>
      <c r="I50" s="1321">
        <v>500</v>
      </c>
      <c r="J50" s="1321">
        <v>1523</v>
      </c>
      <c r="K50" s="1071">
        <v>300</v>
      </c>
      <c r="L50" s="1113" t="s">
        <v>407</v>
      </c>
      <c r="M50" s="1114" t="s">
        <v>444</v>
      </c>
      <c r="N50" s="1265"/>
    </row>
    <row r="51" spans="1:14" ht="12" customHeight="1" x14ac:dyDescent="0.2">
      <c r="A51" s="1110">
        <f t="shared" si="3"/>
        <v>24</v>
      </c>
      <c r="B51" s="1111" t="s">
        <v>302</v>
      </c>
      <c r="C51" s="1067" t="s">
        <v>452</v>
      </c>
      <c r="D51" s="1068" t="s">
        <v>273</v>
      </c>
      <c r="E51" s="1116"/>
      <c r="F51" s="1069">
        <v>2000</v>
      </c>
      <c r="G51" s="1070">
        <v>1000</v>
      </c>
      <c r="H51" s="1073">
        <v>2000</v>
      </c>
      <c r="I51" s="1321">
        <v>2000</v>
      </c>
      <c r="J51" s="1321">
        <v>2000</v>
      </c>
      <c r="K51" s="1071">
        <v>0</v>
      </c>
      <c r="L51" s="1113" t="s">
        <v>408</v>
      </c>
      <c r="M51" s="1114" t="s">
        <v>631</v>
      </c>
      <c r="N51" s="1266"/>
    </row>
    <row r="52" spans="1:14" ht="12" customHeight="1" x14ac:dyDescent="0.2">
      <c r="A52" s="1110">
        <f t="shared" si="3"/>
        <v>25</v>
      </c>
      <c r="B52" s="1111" t="s">
        <v>302</v>
      </c>
      <c r="C52" s="1067" t="s">
        <v>452</v>
      </c>
      <c r="D52" s="1068" t="s">
        <v>174</v>
      </c>
      <c r="E52" s="1116">
        <v>360</v>
      </c>
      <c r="F52" s="1069">
        <v>100</v>
      </c>
      <c r="G52" s="1070">
        <v>100</v>
      </c>
      <c r="H52" s="1073">
        <v>100</v>
      </c>
      <c r="I52" s="1321">
        <v>100</v>
      </c>
      <c r="J52" s="1321">
        <v>100</v>
      </c>
      <c r="K52" s="1071">
        <v>750</v>
      </c>
      <c r="L52" s="1113" t="s">
        <v>426</v>
      </c>
      <c r="M52" s="1114" t="s">
        <v>208</v>
      </c>
      <c r="N52" s="1268"/>
    </row>
    <row r="53" spans="1:14" ht="12" customHeight="1" x14ac:dyDescent="0.2">
      <c r="A53" s="1110">
        <f t="shared" si="3"/>
        <v>26</v>
      </c>
      <c r="B53" s="1111" t="s">
        <v>302</v>
      </c>
      <c r="C53" s="1067" t="s">
        <v>452</v>
      </c>
      <c r="D53" s="1068" t="s">
        <v>144</v>
      </c>
      <c r="E53" s="1116">
        <v>200</v>
      </c>
      <c r="F53" s="1069">
        <v>200</v>
      </c>
      <c r="G53" s="1070">
        <v>200</v>
      </c>
      <c r="H53" s="1073">
        <v>150</v>
      </c>
      <c r="I53" s="1321">
        <v>150</v>
      </c>
      <c r="J53" s="1321">
        <v>0</v>
      </c>
      <c r="K53" s="1071">
        <v>0</v>
      </c>
      <c r="L53" s="1113" t="s">
        <v>415</v>
      </c>
      <c r="M53" s="1114" t="s">
        <v>442</v>
      </c>
      <c r="N53" s="1267"/>
    </row>
    <row r="54" spans="1:14" ht="12" customHeight="1" x14ac:dyDescent="0.2">
      <c r="A54" s="1110">
        <f t="shared" si="3"/>
        <v>27</v>
      </c>
      <c r="B54" s="1111" t="s">
        <v>302</v>
      </c>
      <c r="C54" s="1067" t="s">
        <v>452</v>
      </c>
      <c r="D54" s="1117" t="s">
        <v>127</v>
      </c>
      <c r="E54" s="1116">
        <v>351</v>
      </c>
      <c r="F54" s="1069">
        <v>380</v>
      </c>
      <c r="G54" s="1070">
        <v>380</v>
      </c>
      <c r="H54" s="1073">
        <v>430</v>
      </c>
      <c r="I54" s="1321">
        <v>310</v>
      </c>
      <c r="J54" s="1321">
        <v>310</v>
      </c>
      <c r="K54" s="1071">
        <v>410</v>
      </c>
      <c r="L54" s="1113" t="s">
        <v>409</v>
      </c>
      <c r="M54" s="1114" t="s">
        <v>208</v>
      </c>
      <c r="N54" s="1266"/>
    </row>
    <row r="55" spans="1:14" s="1206" customFormat="1" ht="12" customHeight="1" x14ac:dyDescent="0.2">
      <c r="A55" s="1110">
        <f t="shared" si="3"/>
        <v>28</v>
      </c>
      <c r="B55" s="1111" t="s">
        <v>302</v>
      </c>
      <c r="C55" s="1067" t="s">
        <v>452</v>
      </c>
      <c r="D55" s="1115" t="s">
        <v>126</v>
      </c>
      <c r="E55" s="1116">
        <v>225</v>
      </c>
      <c r="F55" s="1116">
        <v>250</v>
      </c>
      <c r="G55" s="1077">
        <v>330</v>
      </c>
      <c r="H55" s="1073">
        <v>250</v>
      </c>
      <c r="I55" s="1321">
        <v>300</v>
      </c>
      <c r="J55" s="1321">
        <v>300</v>
      </c>
      <c r="K55" s="1071">
        <v>300</v>
      </c>
      <c r="L55" s="1113" t="s">
        <v>410</v>
      </c>
      <c r="M55" s="1114" t="s">
        <v>205</v>
      </c>
      <c r="N55" s="1266"/>
    </row>
    <row r="56" spans="1:14" ht="12" customHeight="1" x14ac:dyDescent="0.2">
      <c r="A56" s="1110">
        <f t="shared" si="3"/>
        <v>29</v>
      </c>
      <c r="B56" s="1111" t="s">
        <v>302</v>
      </c>
      <c r="C56" s="1067" t="s">
        <v>452</v>
      </c>
      <c r="D56" s="1115" t="s">
        <v>155</v>
      </c>
      <c r="E56" s="1116">
        <v>5500</v>
      </c>
      <c r="F56" s="1116">
        <v>6465</v>
      </c>
      <c r="G56" s="1077">
        <v>6465</v>
      </c>
      <c r="H56" s="1073">
        <v>6770</v>
      </c>
      <c r="I56" s="1321">
        <v>6770</v>
      </c>
      <c r="J56" s="1321">
        <v>0</v>
      </c>
      <c r="K56" s="1071">
        <v>0</v>
      </c>
      <c r="L56" s="1113" t="s">
        <v>411</v>
      </c>
      <c r="M56" s="1114" t="s">
        <v>207</v>
      </c>
      <c r="N56" s="1264"/>
    </row>
    <row r="57" spans="1:14" ht="12" customHeight="1" x14ac:dyDescent="0.2">
      <c r="A57" s="1110">
        <f t="shared" si="3"/>
        <v>30</v>
      </c>
      <c r="B57" s="1111" t="s">
        <v>302</v>
      </c>
      <c r="C57" s="1067" t="s">
        <v>452</v>
      </c>
      <c r="D57" s="1117" t="s">
        <v>274</v>
      </c>
      <c r="E57" s="1116">
        <v>9040</v>
      </c>
      <c r="F57" s="1069">
        <v>8820</v>
      </c>
      <c r="G57" s="1070">
        <v>8650</v>
      </c>
      <c r="H57" s="1073">
        <v>8850</v>
      </c>
      <c r="I57" s="1321">
        <v>9050</v>
      </c>
      <c r="J57" s="1321">
        <v>3895</v>
      </c>
      <c r="K57" s="1071">
        <v>2921.25</v>
      </c>
      <c r="L57" s="1113" t="s">
        <v>412</v>
      </c>
      <c r="M57" s="1114" t="s">
        <v>205</v>
      </c>
      <c r="N57" s="1264"/>
    </row>
    <row r="58" spans="1:14" ht="12" customHeight="1" x14ac:dyDescent="0.2">
      <c r="A58" s="1110">
        <f t="shared" si="3"/>
        <v>31</v>
      </c>
      <c r="B58" s="1111" t="s">
        <v>302</v>
      </c>
      <c r="C58" s="1067" t="s">
        <v>452</v>
      </c>
      <c r="D58" s="1117" t="s">
        <v>145</v>
      </c>
      <c r="E58" s="1116">
        <v>1900</v>
      </c>
      <c r="F58" s="1069">
        <v>1900</v>
      </c>
      <c r="G58" s="1070">
        <v>1900</v>
      </c>
      <c r="H58" s="1073">
        <v>1900</v>
      </c>
      <c r="I58" s="1321">
        <v>1500</v>
      </c>
      <c r="J58" s="1321">
        <v>1250</v>
      </c>
      <c r="K58" s="1071">
        <v>1250</v>
      </c>
      <c r="L58" s="1113" t="s">
        <v>413</v>
      </c>
      <c r="M58" s="1114" t="s">
        <v>205</v>
      </c>
      <c r="N58" s="1266"/>
    </row>
    <row r="59" spans="1:14" ht="12" customHeight="1" x14ac:dyDescent="0.2">
      <c r="A59" s="1110">
        <f t="shared" si="3"/>
        <v>32</v>
      </c>
      <c r="B59" s="1111" t="s">
        <v>302</v>
      </c>
      <c r="C59" s="1067" t="s">
        <v>452</v>
      </c>
      <c r="D59" s="1117" t="s">
        <v>678</v>
      </c>
      <c r="E59" s="1116"/>
      <c r="F59" s="1069"/>
      <c r="G59" s="1070"/>
      <c r="H59" s="1073"/>
      <c r="I59" s="1321">
        <v>220</v>
      </c>
      <c r="J59" s="1321">
        <v>160</v>
      </c>
      <c r="K59" s="1071">
        <v>160</v>
      </c>
      <c r="L59" s="1113" t="s">
        <v>536</v>
      </c>
      <c r="M59" s="1114" t="s">
        <v>205</v>
      </c>
      <c r="N59" s="1266"/>
    </row>
    <row r="60" spans="1:14" ht="12" customHeight="1" x14ac:dyDescent="0.2">
      <c r="A60" s="1110">
        <f t="shared" si="3"/>
        <v>33</v>
      </c>
      <c r="B60" s="1111" t="s">
        <v>302</v>
      </c>
      <c r="C60" s="1067" t="s">
        <v>452</v>
      </c>
      <c r="D60" s="1117" t="s">
        <v>175</v>
      </c>
      <c r="E60" s="1116">
        <v>1000</v>
      </c>
      <c r="F60" s="1069"/>
      <c r="G60" s="1070"/>
      <c r="H60" s="1073"/>
      <c r="I60" s="1321"/>
      <c r="J60" s="1321"/>
      <c r="K60" s="1071"/>
      <c r="L60" s="1113" t="s">
        <v>508</v>
      </c>
      <c r="M60" s="1114" t="s">
        <v>442</v>
      </c>
      <c r="N60" s="1267"/>
    </row>
    <row r="61" spans="1:14" ht="12" customHeight="1" x14ac:dyDescent="0.2">
      <c r="A61" s="1110">
        <f t="shared" si="3"/>
        <v>34</v>
      </c>
      <c r="B61" s="1111" t="s">
        <v>302</v>
      </c>
      <c r="C61" s="1067" t="s">
        <v>452</v>
      </c>
      <c r="D61" s="1068" t="s">
        <v>213</v>
      </c>
      <c r="E61" s="1116">
        <v>1080</v>
      </c>
      <c r="F61" s="1069">
        <v>1500</v>
      </c>
      <c r="G61" s="1070">
        <v>2600</v>
      </c>
      <c r="H61" s="1073">
        <v>1500</v>
      </c>
      <c r="I61" s="1321">
        <v>1500</v>
      </c>
      <c r="J61" s="1321">
        <v>1700</v>
      </c>
      <c r="K61" s="1071">
        <v>1700</v>
      </c>
      <c r="L61" s="1113" t="s">
        <v>414</v>
      </c>
      <c r="M61" s="1114" t="s">
        <v>205</v>
      </c>
      <c r="N61" s="1266"/>
    </row>
    <row r="62" spans="1:14" ht="12" customHeight="1" x14ac:dyDescent="0.2">
      <c r="A62" s="1110">
        <f t="shared" si="3"/>
        <v>35</v>
      </c>
      <c r="B62" s="1111" t="s">
        <v>302</v>
      </c>
      <c r="C62" s="1067" t="s">
        <v>452</v>
      </c>
      <c r="D62" s="1068" t="s">
        <v>679</v>
      </c>
      <c r="E62" s="1116">
        <v>1350</v>
      </c>
      <c r="F62" s="1069">
        <v>2165</v>
      </c>
      <c r="G62" s="1070">
        <v>2300</v>
      </c>
      <c r="H62" s="1073">
        <v>1354</v>
      </c>
      <c r="I62" s="1321">
        <v>1443</v>
      </c>
      <c r="J62" s="1321">
        <v>1158</v>
      </c>
      <c r="K62" s="1071">
        <v>1310</v>
      </c>
      <c r="L62" s="1113" t="s">
        <v>416</v>
      </c>
      <c r="M62" s="1114" t="s">
        <v>445</v>
      </c>
      <c r="N62" s="1266"/>
    </row>
    <row r="63" spans="1:14" s="1206" customFormat="1" ht="12" customHeight="1" x14ac:dyDescent="0.2">
      <c r="A63" s="1110">
        <f>A62+1</f>
        <v>36</v>
      </c>
      <c r="B63" s="1111" t="s">
        <v>302</v>
      </c>
      <c r="C63" s="1067" t="s">
        <v>452</v>
      </c>
      <c r="D63" s="1068" t="s">
        <v>680</v>
      </c>
      <c r="E63" s="1116">
        <v>140</v>
      </c>
      <c r="F63" s="1069">
        <v>140</v>
      </c>
      <c r="G63" s="1070">
        <v>140</v>
      </c>
      <c r="H63" s="1073">
        <v>140</v>
      </c>
      <c r="I63" s="1321">
        <v>140</v>
      </c>
      <c r="J63" s="1321">
        <v>140</v>
      </c>
      <c r="K63" s="1071">
        <v>140</v>
      </c>
      <c r="L63" s="1113" t="s">
        <v>417</v>
      </c>
      <c r="M63" s="1114" t="s">
        <v>209</v>
      </c>
      <c r="N63" s="1266"/>
    </row>
    <row r="64" spans="1:14" s="1206" customFormat="1" ht="12" customHeight="1" x14ac:dyDescent="0.2">
      <c r="A64" s="1110">
        <f>A63+1</f>
        <v>37</v>
      </c>
      <c r="B64" s="1111" t="s">
        <v>302</v>
      </c>
      <c r="C64" s="1067" t="s">
        <v>452</v>
      </c>
      <c r="D64" s="1068" t="s">
        <v>681</v>
      </c>
      <c r="E64" s="1069"/>
      <c r="F64" s="1069">
        <v>235</v>
      </c>
      <c r="G64" s="1070">
        <v>385</v>
      </c>
      <c r="H64" s="1073">
        <v>500</v>
      </c>
      <c r="I64" s="1321">
        <v>495</v>
      </c>
      <c r="J64" s="1321">
        <v>495</v>
      </c>
      <c r="K64" s="1071">
        <v>695</v>
      </c>
      <c r="L64" s="1113" t="s">
        <v>418</v>
      </c>
      <c r="M64" s="1114" t="s">
        <v>209</v>
      </c>
      <c r="N64" s="1265"/>
    </row>
    <row r="65" spans="1:14" s="1206" customFormat="1" ht="12" customHeight="1" x14ac:dyDescent="0.2">
      <c r="A65" s="1110">
        <f t="shared" ref="A65:A92" si="4">A64+1</f>
        <v>38</v>
      </c>
      <c r="B65" s="1111" t="s">
        <v>302</v>
      </c>
      <c r="C65" s="1067" t="s">
        <v>452</v>
      </c>
      <c r="D65" s="1068" t="s">
        <v>342</v>
      </c>
      <c r="E65" s="1069"/>
      <c r="F65" s="1069"/>
      <c r="G65" s="1070"/>
      <c r="H65" s="1073">
        <v>350</v>
      </c>
      <c r="I65" s="1321">
        <v>300</v>
      </c>
      <c r="J65" s="1321">
        <v>150</v>
      </c>
      <c r="K65" s="1071">
        <v>150</v>
      </c>
      <c r="L65" s="1113" t="s">
        <v>419</v>
      </c>
      <c r="M65" s="1114" t="s">
        <v>205</v>
      </c>
      <c r="N65" s="1266"/>
    </row>
    <row r="66" spans="1:14" s="1206" customFormat="1" ht="12" customHeight="1" x14ac:dyDescent="0.2">
      <c r="A66" s="1110">
        <f t="shared" si="4"/>
        <v>39</v>
      </c>
      <c r="B66" s="1111" t="s">
        <v>302</v>
      </c>
      <c r="C66" s="1067" t="s">
        <v>452</v>
      </c>
      <c r="D66" s="1117" t="s">
        <v>341</v>
      </c>
      <c r="E66" s="1116"/>
      <c r="F66" s="1069"/>
      <c r="G66" s="1070">
        <v>1000</v>
      </c>
      <c r="H66" s="1073">
        <v>1200</v>
      </c>
      <c r="I66" s="1321">
        <v>1000</v>
      </c>
      <c r="J66" s="1321">
        <v>1050</v>
      </c>
      <c r="K66" s="1071">
        <v>800</v>
      </c>
      <c r="L66" s="1113" t="s">
        <v>420</v>
      </c>
      <c r="M66" s="1114" t="s">
        <v>205</v>
      </c>
      <c r="N66" s="1264"/>
    </row>
    <row r="67" spans="1:14" s="1206" customFormat="1" ht="12" customHeight="1" x14ac:dyDescent="0.2">
      <c r="A67" s="1110">
        <f t="shared" si="4"/>
        <v>40</v>
      </c>
      <c r="B67" s="1111" t="s">
        <v>302</v>
      </c>
      <c r="C67" s="1067" t="s">
        <v>452</v>
      </c>
      <c r="D67" s="1068" t="s">
        <v>343</v>
      </c>
      <c r="E67" s="1069"/>
      <c r="F67" s="1069"/>
      <c r="G67" s="1070">
        <v>230</v>
      </c>
      <c r="H67" s="1073">
        <v>230</v>
      </c>
      <c r="I67" s="1321">
        <v>210</v>
      </c>
      <c r="J67" s="1321">
        <v>250</v>
      </c>
      <c r="K67" s="1071">
        <v>250</v>
      </c>
      <c r="L67" s="1113" t="s">
        <v>422</v>
      </c>
      <c r="M67" s="1114" t="s">
        <v>442</v>
      </c>
      <c r="N67" s="1266"/>
    </row>
    <row r="68" spans="1:14" ht="12" customHeight="1" x14ac:dyDescent="0.2">
      <c r="A68" s="1110">
        <f t="shared" si="4"/>
        <v>41</v>
      </c>
      <c r="B68" s="1111" t="s">
        <v>302</v>
      </c>
      <c r="C68" s="1067" t="s">
        <v>452</v>
      </c>
      <c r="D68" s="1068" t="s">
        <v>446</v>
      </c>
      <c r="E68" s="1069"/>
      <c r="F68" s="1069"/>
      <c r="G68" s="1070"/>
      <c r="H68" s="1073">
        <v>450</v>
      </c>
      <c r="I68" s="1321">
        <v>500</v>
      </c>
      <c r="J68" s="1321">
        <v>750</v>
      </c>
      <c r="K68" s="1071">
        <v>750</v>
      </c>
      <c r="L68" s="1314" t="s">
        <v>502</v>
      </c>
      <c r="M68" s="1114" t="s">
        <v>644</v>
      </c>
      <c r="N68" s="1269"/>
    </row>
    <row r="69" spans="1:14" s="1206" customFormat="1" ht="12" customHeight="1" x14ac:dyDescent="0.2">
      <c r="A69" s="1110">
        <f t="shared" si="4"/>
        <v>42</v>
      </c>
      <c r="B69" s="1111" t="s">
        <v>302</v>
      </c>
      <c r="C69" s="1067" t="s">
        <v>452</v>
      </c>
      <c r="D69" s="1068" t="s">
        <v>275</v>
      </c>
      <c r="E69" s="1069"/>
      <c r="F69" s="1069">
        <v>1000</v>
      </c>
      <c r="G69" s="1070">
        <v>1500</v>
      </c>
      <c r="H69" s="1073">
        <v>1100</v>
      </c>
      <c r="I69" s="1321">
        <v>700</v>
      </c>
      <c r="J69" s="1321">
        <v>700</v>
      </c>
      <c r="K69" s="1071">
        <v>700</v>
      </c>
      <c r="L69" s="1314" t="s">
        <v>423</v>
      </c>
      <c r="M69" s="1114" t="s">
        <v>208</v>
      </c>
      <c r="N69" s="1266"/>
    </row>
    <row r="70" spans="1:14" s="1207" customFormat="1" ht="12" customHeight="1" x14ac:dyDescent="0.2">
      <c r="A70" s="1110">
        <f t="shared" si="4"/>
        <v>43</v>
      </c>
      <c r="B70" s="1127" t="s">
        <v>302</v>
      </c>
      <c r="C70" s="1067" t="s">
        <v>452</v>
      </c>
      <c r="D70" s="1306" t="s">
        <v>501</v>
      </c>
      <c r="E70" s="1128"/>
      <c r="F70" s="1128"/>
      <c r="G70" s="1129"/>
      <c r="H70" s="1323">
        <v>160</v>
      </c>
      <c r="I70" s="1324">
        <v>200</v>
      </c>
      <c r="J70" s="1324">
        <v>150</v>
      </c>
      <c r="K70" s="1071">
        <v>150</v>
      </c>
      <c r="L70" s="1314" t="s">
        <v>503</v>
      </c>
      <c r="M70" s="1114" t="s">
        <v>205</v>
      </c>
      <c r="N70" s="1269"/>
    </row>
    <row r="71" spans="1:14" s="1207" customFormat="1" ht="12" customHeight="1" x14ac:dyDescent="0.2">
      <c r="A71" s="1110">
        <f t="shared" si="4"/>
        <v>44</v>
      </c>
      <c r="B71" s="1127" t="s">
        <v>302</v>
      </c>
      <c r="C71" s="1067" t="s">
        <v>452</v>
      </c>
      <c r="D71" s="1306" t="s">
        <v>537</v>
      </c>
      <c r="E71" s="1128"/>
      <c r="F71" s="1128"/>
      <c r="G71" s="1129"/>
      <c r="H71" s="1323">
        <v>2000</v>
      </c>
      <c r="I71" s="1324">
        <v>3800</v>
      </c>
      <c r="J71" s="1324">
        <v>0</v>
      </c>
      <c r="K71" s="1071">
        <v>0</v>
      </c>
      <c r="L71" s="1314" t="s">
        <v>538</v>
      </c>
      <c r="M71" s="1114" t="s">
        <v>539</v>
      </c>
      <c r="N71" s="1269"/>
    </row>
    <row r="72" spans="1:14" s="1207" customFormat="1" ht="12" customHeight="1" x14ac:dyDescent="0.2">
      <c r="A72" s="1110">
        <f t="shared" si="4"/>
        <v>45</v>
      </c>
      <c r="B72" s="1127" t="s">
        <v>302</v>
      </c>
      <c r="C72" s="1067" t="s">
        <v>452</v>
      </c>
      <c r="D72" s="1306" t="s">
        <v>682</v>
      </c>
      <c r="E72" s="1128"/>
      <c r="F72" s="1128"/>
      <c r="G72" s="1129"/>
      <c r="H72" s="1323"/>
      <c r="I72" s="1324">
        <v>100</v>
      </c>
      <c r="J72" s="1324">
        <v>100</v>
      </c>
      <c r="K72" s="1071">
        <v>100</v>
      </c>
      <c r="L72" s="1314" t="s">
        <v>540</v>
      </c>
      <c r="M72" s="1114" t="s">
        <v>205</v>
      </c>
      <c r="N72" s="1269"/>
    </row>
    <row r="73" spans="1:14" s="1206" customFormat="1" ht="12" customHeight="1" x14ac:dyDescent="0.2">
      <c r="A73" s="1110">
        <f t="shared" si="4"/>
        <v>46</v>
      </c>
      <c r="B73" s="1111" t="s">
        <v>302</v>
      </c>
      <c r="C73" s="1067" t="s">
        <v>452</v>
      </c>
      <c r="D73" s="1068" t="s">
        <v>210</v>
      </c>
      <c r="E73" s="1116">
        <v>891</v>
      </c>
      <c r="F73" s="1069">
        <v>891</v>
      </c>
      <c r="G73" s="1070">
        <v>891</v>
      </c>
      <c r="H73" s="1073">
        <v>350</v>
      </c>
      <c r="I73" s="1321">
        <v>350</v>
      </c>
      <c r="J73" s="1321">
        <v>350</v>
      </c>
      <c r="K73" s="1071">
        <v>350</v>
      </c>
      <c r="L73" s="1113" t="s">
        <v>424</v>
      </c>
      <c r="M73" s="1114" t="s">
        <v>209</v>
      </c>
      <c r="N73" s="1266"/>
    </row>
    <row r="74" spans="1:14" s="1206" customFormat="1" ht="12" customHeight="1" x14ac:dyDescent="0.2">
      <c r="A74" s="1110">
        <f t="shared" si="4"/>
        <v>47</v>
      </c>
      <c r="B74" s="1111" t="s">
        <v>302</v>
      </c>
      <c r="C74" s="1067" t="s">
        <v>452</v>
      </c>
      <c r="D74" s="1068" t="s">
        <v>128</v>
      </c>
      <c r="E74" s="1116">
        <v>1366</v>
      </c>
      <c r="F74" s="1116">
        <v>1366</v>
      </c>
      <c r="G74" s="1077">
        <v>1700</v>
      </c>
      <c r="H74" s="1073">
        <v>1900</v>
      </c>
      <c r="I74" s="1321">
        <v>2000</v>
      </c>
      <c r="J74" s="1321">
        <v>2500</v>
      </c>
      <c r="K74" s="1071">
        <v>3647</v>
      </c>
      <c r="L74" s="1113" t="s">
        <v>425</v>
      </c>
      <c r="M74" s="1114" t="s">
        <v>212</v>
      </c>
      <c r="N74" s="1269"/>
    </row>
    <row r="75" spans="1:14" ht="12" customHeight="1" x14ac:dyDescent="0.2">
      <c r="A75" s="1110">
        <f t="shared" si="4"/>
        <v>48</v>
      </c>
      <c r="B75" s="1127" t="s">
        <v>302</v>
      </c>
      <c r="C75" s="1067" t="s">
        <v>452</v>
      </c>
      <c r="D75" s="1306" t="s">
        <v>542</v>
      </c>
      <c r="E75" s="1128"/>
      <c r="F75" s="1128"/>
      <c r="G75" s="1129"/>
      <c r="H75" s="1323"/>
      <c r="I75" s="1324">
        <v>2000</v>
      </c>
      <c r="J75" s="1324">
        <v>1391</v>
      </c>
      <c r="K75" s="1071">
        <v>1391</v>
      </c>
      <c r="L75" s="1113" t="s">
        <v>543</v>
      </c>
      <c r="M75" s="1130" t="s">
        <v>445</v>
      </c>
      <c r="N75" s="1269"/>
    </row>
    <row r="76" spans="1:14" ht="12" customHeight="1" x14ac:dyDescent="0.2">
      <c r="A76" s="1110">
        <f t="shared" si="4"/>
        <v>49</v>
      </c>
      <c r="B76" s="1111" t="s">
        <v>302</v>
      </c>
      <c r="C76" s="1067" t="s">
        <v>452</v>
      </c>
      <c r="D76" s="1068" t="s">
        <v>497</v>
      </c>
      <c r="E76" s="1069"/>
      <c r="F76" s="1069"/>
      <c r="G76" s="1070"/>
      <c r="H76" s="1073">
        <v>200</v>
      </c>
      <c r="I76" s="1321">
        <v>180</v>
      </c>
      <c r="J76" s="1321">
        <v>180</v>
      </c>
      <c r="K76" s="1071">
        <v>180</v>
      </c>
      <c r="L76" s="1113" t="s">
        <v>541</v>
      </c>
      <c r="M76" s="1114" t="s">
        <v>625</v>
      </c>
      <c r="N76" s="1269"/>
    </row>
    <row r="77" spans="1:14" ht="12" customHeight="1" x14ac:dyDescent="0.2">
      <c r="A77" s="1110">
        <f t="shared" si="4"/>
        <v>50</v>
      </c>
      <c r="B77" s="1111" t="s">
        <v>302</v>
      </c>
      <c r="C77" s="1067" t="s">
        <v>452</v>
      </c>
      <c r="D77" s="1068" t="s">
        <v>591</v>
      </c>
      <c r="E77" s="1069"/>
      <c r="F77" s="1069"/>
      <c r="G77" s="1070"/>
      <c r="H77" s="1073"/>
      <c r="I77" s="1321">
        <v>0</v>
      </c>
      <c r="J77" s="1321">
        <v>2621</v>
      </c>
      <c r="K77" s="1071">
        <v>2000</v>
      </c>
      <c r="L77" s="1113" t="s">
        <v>211</v>
      </c>
      <c r="M77" s="1114" t="s">
        <v>442</v>
      </c>
      <c r="N77" s="1269"/>
    </row>
    <row r="78" spans="1:14" ht="12" customHeight="1" x14ac:dyDescent="0.2">
      <c r="A78" s="1110">
        <f t="shared" si="4"/>
        <v>51</v>
      </c>
      <c r="B78" s="1111" t="s">
        <v>302</v>
      </c>
      <c r="C78" s="1067" t="s">
        <v>452</v>
      </c>
      <c r="D78" s="1068" t="s">
        <v>580</v>
      </c>
      <c r="E78" s="1069"/>
      <c r="F78" s="1069"/>
      <c r="G78" s="1070"/>
      <c r="H78" s="1073"/>
      <c r="I78" s="1321">
        <v>0</v>
      </c>
      <c r="J78" s="1321">
        <v>3368</v>
      </c>
      <c r="K78" s="1071">
        <v>3488</v>
      </c>
      <c r="L78" s="1113" t="s">
        <v>626</v>
      </c>
      <c r="M78" s="1114" t="s">
        <v>627</v>
      </c>
      <c r="N78" s="1269"/>
    </row>
    <row r="79" spans="1:14" ht="12" customHeight="1" x14ac:dyDescent="0.2">
      <c r="A79" s="1110">
        <f t="shared" si="4"/>
        <v>52</v>
      </c>
      <c r="B79" s="1111" t="s">
        <v>302</v>
      </c>
      <c r="C79" s="1067" t="s">
        <v>452</v>
      </c>
      <c r="D79" s="1068" t="s">
        <v>567</v>
      </c>
      <c r="E79" s="1069"/>
      <c r="F79" s="1069"/>
      <c r="G79" s="1070"/>
      <c r="H79" s="1073"/>
      <c r="I79" s="1321">
        <v>0</v>
      </c>
      <c r="J79" s="1321">
        <v>400</v>
      </c>
      <c r="K79" s="1071">
        <v>0</v>
      </c>
      <c r="L79" s="1113" t="s">
        <v>211</v>
      </c>
      <c r="M79" s="1114" t="s">
        <v>208</v>
      </c>
      <c r="N79" s="1269"/>
    </row>
    <row r="80" spans="1:14" ht="12" customHeight="1" x14ac:dyDescent="0.2">
      <c r="A80" s="1110">
        <f>A79+1</f>
        <v>53</v>
      </c>
      <c r="B80" s="1111" t="s">
        <v>302</v>
      </c>
      <c r="C80" s="1067" t="s">
        <v>452</v>
      </c>
      <c r="D80" s="1068" t="s">
        <v>683</v>
      </c>
      <c r="E80" s="1069"/>
      <c r="F80" s="1069"/>
      <c r="G80" s="1070"/>
      <c r="H80" s="1073"/>
      <c r="I80" s="1321">
        <v>0</v>
      </c>
      <c r="J80" s="1321">
        <v>2000</v>
      </c>
      <c r="K80" s="1071">
        <v>0</v>
      </c>
      <c r="L80" s="1113" t="s">
        <v>628</v>
      </c>
      <c r="M80" s="1114" t="s">
        <v>205</v>
      </c>
      <c r="N80" s="1269"/>
    </row>
    <row r="81" spans="1:14" ht="12" customHeight="1" x14ac:dyDescent="0.2">
      <c r="A81" s="1110">
        <f>A80+1</f>
        <v>54</v>
      </c>
      <c r="B81" s="1111" t="s">
        <v>302</v>
      </c>
      <c r="C81" s="1067" t="s">
        <v>452</v>
      </c>
      <c r="D81" s="1306" t="s">
        <v>630</v>
      </c>
      <c r="E81" s="1128"/>
      <c r="F81" s="1128"/>
      <c r="G81" s="1129"/>
      <c r="H81" s="1323"/>
      <c r="I81" s="1324"/>
      <c r="J81" s="1324"/>
      <c r="K81" s="1071">
        <v>420</v>
      </c>
      <c r="L81" s="1479" t="s">
        <v>211</v>
      </c>
      <c r="M81" s="1130" t="s">
        <v>631</v>
      </c>
      <c r="N81" s="1269" t="s">
        <v>421</v>
      </c>
    </row>
    <row r="82" spans="1:14" ht="12" customHeight="1" x14ac:dyDescent="0.2">
      <c r="A82" s="1110">
        <f t="shared" ref="A82:A91" si="5">A81+1</f>
        <v>55</v>
      </c>
      <c r="B82" s="1111" t="s">
        <v>302</v>
      </c>
      <c r="C82" s="1067" t="s">
        <v>452</v>
      </c>
      <c r="D82" s="1306" t="s">
        <v>632</v>
      </c>
      <c r="E82" s="1128"/>
      <c r="F82" s="1128"/>
      <c r="G82" s="1129"/>
      <c r="H82" s="1323"/>
      <c r="I82" s="1324"/>
      <c r="J82" s="1324"/>
      <c r="K82" s="1071">
        <v>4200</v>
      </c>
      <c r="L82" s="1479" t="s">
        <v>633</v>
      </c>
      <c r="M82" s="1130" t="s">
        <v>444</v>
      </c>
      <c r="N82" s="1269" t="s">
        <v>421</v>
      </c>
    </row>
    <row r="83" spans="1:14" ht="12" customHeight="1" x14ac:dyDescent="0.2">
      <c r="A83" s="1110">
        <f t="shared" si="5"/>
        <v>56</v>
      </c>
      <c r="B83" s="1111" t="s">
        <v>302</v>
      </c>
      <c r="C83" s="1067" t="s">
        <v>452</v>
      </c>
      <c r="D83" s="1306" t="s">
        <v>634</v>
      </c>
      <c r="E83" s="1128"/>
      <c r="F83" s="1128"/>
      <c r="G83" s="1129"/>
      <c r="H83" s="1323"/>
      <c r="I83" s="1324"/>
      <c r="J83" s="1324"/>
      <c r="K83" s="1071">
        <v>1500</v>
      </c>
      <c r="L83" s="1479" t="s">
        <v>635</v>
      </c>
      <c r="M83" s="1130" t="s">
        <v>444</v>
      </c>
      <c r="N83" s="1269" t="s">
        <v>421</v>
      </c>
    </row>
    <row r="84" spans="1:14" ht="12" customHeight="1" x14ac:dyDescent="0.2">
      <c r="A84" s="1110">
        <f t="shared" si="5"/>
        <v>57</v>
      </c>
      <c r="B84" s="1111" t="s">
        <v>302</v>
      </c>
      <c r="C84" s="1067" t="s">
        <v>452</v>
      </c>
      <c r="D84" s="1306" t="s">
        <v>636</v>
      </c>
      <c r="E84" s="1128"/>
      <c r="F84" s="1128"/>
      <c r="G84" s="1129"/>
      <c r="H84" s="1323"/>
      <c r="I84" s="1324"/>
      <c r="J84" s="1324"/>
      <c r="K84" s="1071">
        <v>2000</v>
      </c>
      <c r="L84" s="1479" t="s">
        <v>211</v>
      </c>
      <c r="M84" s="1130" t="s">
        <v>637</v>
      </c>
      <c r="N84" s="1269" t="s">
        <v>421</v>
      </c>
    </row>
    <row r="85" spans="1:14" ht="12" customHeight="1" x14ac:dyDescent="0.2">
      <c r="A85" s="1110">
        <f t="shared" si="5"/>
        <v>58</v>
      </c>
      <c r="B85" s="1111" t="s">
        <v>302</v>
      </c>
      <c r="C85" s="1067" t="s">
        <v>452</v>
      </c>
      <c r="D85" s="1306" t="s">
        <v>638</v>
      </c>
      <c r="E85" s="1128"/>
      <c r="F85" s="1128"/>
      <c r="G85" s="1129"/>
      <c r="H85" s="1323"/>
      <c r="I85" s="1324"/>
      <c r="J85" s="1324"/>
      <c r="K85" s="1071">
        <v>100</v>
      </c>
      <c r="L85" s="1479" t="s">
        <v>211</v>
      </c>
      <c r="M85" s="1130" t="s">
        <v>205</v>
      </c>
      <c r="N85" s="1269" t="s">
        <v>421</v>
      </c>
    </row>
    <row r="86" spans="1:14" ht="12" customHeight="1" x14ac:dyDescent="0.2">
      <c r="A86" s="1110">
        <f t="shared" si="5"/>
        <v>59</v>
      </c>
      <c r="B86" s="1111" t="s">
        <v>302</v>
      </c>
      <c r="C86" s="1067" t="s">
        <v>452</v>
      </c>
      <c r="D86" s="1306" t="s">
        <v>639</v>
      </c>
      <c r="E86" s="1128"/>
      <c r="F86" s="1128"/>
      <c r="G86" s="1129"/>
      <c r="H86" s="1323"/>
      <c r="I86" s="1324"/>
      <c r="J86" s="1324"/>
      <c r="K86" s="1071">
        <v>1000</v>
      </c>
      <c r="L86" s="1479" t="s">
        <v>211</v>
      </c>
      <c r="M86" s="1130" t="s">
        <v>205</v>
      </c>
      <c r="N86" s="1269" t="s">
        <v>421</v>
      </c>
    </row>
    <row r="87" spans="1:14" ht="12" customHeight="1" x14ac:dyDescent="0.2">
      <c r="A87" s="1110">
        <f t="shared" si="5"/>
        <v>60</v>
      </c>
      <c r="B87" s="1111" t="s">
        <v>302</v>
      </c>
      <c r="C87" s="1067" t="s">
        <v>452</v>
      </c>
      <c r="D87" s="1306" t="s">
        <v>684</v>
      </c>
      <c r="E87" s="1128"/>
      <c r="F87" s="1128"/>
      <c r="G87" s="1129"/>
      <c r="H87" s="1323"/>
      <c r="I87" s="1324"/>
      <c r="J87" s="1324"/>
      <c r="K87" s="1071">
        <v>16500</v>
      </c>
      <c r="L87" s="1479" t="s">
        <v>640</v>
      </c>
      <c r="M87" s="1130" t="s">
        <v>442</v>
      </c>
      <c r="N87" s="1269" t="s">
        <v>421</v>
      </c>
    </row>
    <row r="88" spans="1:14" ht="12" customHeight="1" x14ac:dyDescent="0.2">
      <c r="A88" s="1110">
        <f t="shared" si="5"/>
        <v>61</v>
      </c>
      <c r="B88" s="1111" t="s">
        <v>302</v>
      </c>
      <c r="C88" s="1067" t="s">
        <v>452</v>
      </c>
      <c r="D88" s="1306" t="s">
        <v>685</v>
      </c>
      <c r="E88" s="1128"/>
      <c r="F88" s="1128"/>
      <c r="G88" s="1129"/>
      <c r="H88" s="1323"/>
      <c r="I88" s="1324"/>
      <c r="J88" s="1324"/>
      <c r="K88" s="1071">
        <v>250</v>
      </c>
      <c r="L88" s="1479" t="s">
        <v>211</v>
      </c>
      <c r="M88" s="1130" t="s">
        <v>447</v>
      </c>
      <c r="N88" s="1269" t="s">
        <v>421</v>
      </c>
    </row>
    <row r="89" spans="1:14" ht="12" customHeight="1" x14ac:dyDescent="0.2">
      <c r="A89" s="1110">
        <f t="shared" si="5"/>
        <v>62</v>
      </c>
      <c r="B89" s="1111" t="s">
        <v>302</v>
      </c>
      <c r="C89" s="1067" t="s">
        <v>452</v>
      </c>
      <c r="D89" s="1306" t="s">
        <v>641</v>
      </c>
      <c r="E89" s="1128"/>
      <c r="F89" s="1128"/>
      <c r="G89" s="1129"/>
      <c r="H89" s="1323"/>
      <c r="I89" s="1324"/>
      <c r="J89" s="1324"/>
      <c r="K89" s="1071">
        <v>500</v>
      </c>
      <c r="L89" s="1479" t="s">
        <v>211</v>
      </c>
      <c r="M89" s="1130" t="s">
        <v>625</v>
      </c>
      <c r="N89" s="1269" t="s">
        <v>421</v>
      </c>
    </row>
    <row r="90" spans="1:14" ht="12" customHeight="1" x14ac:dyDescent="0.2">
      <c r="A90" s="1110">
        <f t="shared" si="5"/>
        <v>63</v>
      </c>
      <c r="B90" s="1111" t="s">
        <v>302</v>
      </c>
      <c r="C90" s="1067" t="s">
        <v>452</v>
      </c>
      <c r="D90" s="1306" t="s">
        <v>642</v>
      </c>
      <c r="E90" s="1128"/>
      <c r="F90" s="1128"/>
      <c r="G90" s="1129"/>
      <c r="H90" s="1323"/>
      <c r="I90" s="1324"/>
      <c r="J90" s="1324"/>
      <c r="K90" s="1071">
        <v>30</v>
      </c>
      <c r="L90" s="1479" t="s">
        <v>211</v>
      </c>
      <c r="M90" s="1130" t="s">
        <v>625</v>
      </c>
      <c r="N90" s="1269" t="s">
        <v>421</v>
      </c>
    </row>
    <row r="91" spans="1:14" ht="12" customHeight="1" thickBot="1" x14ac:dyDescent="0.25">
      <c r="A91" s="1110">
        <f t="shared" si="5"/>
        <v>64</v>
      </c>
      <c r="B91" s="1111" t="s">
        <v>302</v>
      </c>
      <c r="C91" s="1067" t="s">
        <v>452</v>
      </c>
      <c r="D91" s="1309" t="s">
        <v>568</v>
      </c>
      <c r="E91" s="1310"/>
      <c r="F91" s="1310"/>
      <c r="G91" s="1311"/>
      <c r="H91" s="1325"/>
      <c r="I91" s="1326">
        <v>0</v>
      </c>
      <c r="J91" s="1326">
        <v>1200</v>
      </c>
      <c r="K91" s="1071">
        <v>900</v>
      </c>
      <c r="L91" s="1312" t="s">
        <v>629</v>
      </c>
      <c r="M91" s="1313" t="s">
        <v>205</v>
      </c>
      <c r="N91" s="1269"/>
    </row>
    <row r="92" spans="1:14" ht="12" customHeight="1" thickBot="1" x14ac:dyDescent="0.25">
      <c r="A92" s="1132">
        <f t="shared" si="4"/>
        <v>65</v>
      </c>
      <c r="B92" s="1274" t="s">
        <v>302</v>
      </c>
      <c r="C92" s="1275" t="s">
        <v>452</v>
      </c>
      <c r="D92" s="1276" t="s">
        <v>530</v>
      </c>
      <c r="E92" s="1277">
        <v>16000</v>
      </c>
      <c r="F92" s="1277">
        <v>17500</v>
      </c>
      <c r="G92" s="1131">
        <v>17500</v>
      </c>
      <c r="H92" s="1278">
        <v>17500</v>
      </c>
      <c r="I92" s="1296">
        <v>17500</v>
      </c>
      <c r="J92" s="1296">
        <v>19000</v>
      </c>
      <c r="K92" s="1279">
        <v>15000</v>
      </c>
      <c r="L92" s="1308">
        <v>1000</v>
      </c>
      <c r="M92" s="1307" t="s">
        <v>442</v>
      </c>
      <c r="N92" s="1359"/>
    </row>
    <row r="93" spans="1:14" ht="12" customHeight="1" x14ac:dyDescent="0.2">
      <c r="A93" s="1133"/>
      <c r="B93" s="1134"/>
      <c r="C93" s="1135"/>
      <c r="D93" s="1136" t="s">
        <v>29</v>
      </c>
      <c r="E93" s="1137">
        <f t="shared" ref="E93:K93" si="6">SUM(E28:E92)</f>
        <v>111987</v>
      </c>
      <c r="F93" s="1137">
        <f t="shared" si="6"/>
        <v>97892</v>
      </c>
      <c r="G93" s="1138">
        <f t="shared" si="6"/>
        <v>99859</v>
      </c>
      <c r="H93" s="1139">
        <f t="shared" si="6"/>
        <v>95266</v>
      </c>
      <c r="I93" s="1297">
        <f t="shared" si="6"/>
        <v>96349</v>
      </c>
      <c r="J93" s="1297">
        <f t="shared" si="6"/>
        <v>99372</v>
      </c>
      <c r="K93" s="1138">
        <f t="shared" si="6"/>
        <v>115668.25</v>
      </c>
      <c r="L93" s="1133"/>
      <c r="M93" s="1140"/>
      <c r="N93" s="1266"/>
    </row>
    <row r="94" spans="1:14" ht="12" customHeight="1" x14ac:dyDescent="0.2">
      <c r="A94" s="1110">
        <f>A92+1</f>
        <v>66</v>
      </c>
      <c r="B94" s="1111" t="s">
        <v>302</v>
      </c>
      <c r="C94" s="1141" t="s">
        <v>470</v>
      </c>
      <c r="D94" s="1115" t="s">
        <v>686</v>
      </c>
      <c r="E94" s="1142"/>
      <c r="F94" s="1142"/>
      <c r="G94" s="1143"/>
      <c r="H94" s="1331"/>
      <c r="I94" s="1332">
        <v>380</v>
      </c>
      <c r="J94" s="1332">
        <v>520</v>
      </c>
      <c r="K94" s="1071">
        <v>800</v>
      </c>
      <c r="L94" s="1110"/>
      <c r="M94" s="1114"/>
      <c r="N94" s="1266"/>
    </row>
    <row r="95" spans="1:14" ht="12" customHeight="1" x14ac:dyDescent="0.2">
      <c r="A95" s="1110">
        <f>A94+1</f>
        <v>67</v>
      </c>
      <c r="B95" s="1111" t="s">
        <v>302</v>
      </c>
      <c r="C95" s="1141" t="s">
        <v>470</v>
      </c>
      <c r="D95" s="1115" t="s">
        <v>569</v>
      </c>
      <c r="E95" s="1142"/>
      <c r="F95" s="1142"/>
      <c r="G95" s="1143">
        <v>100</v>
      </c>
      <c r="H95" s="1331">
        <v>100</v>
      </c>
      <c r="I95" s="1332">
        <v>100</v>
      </c>
      <c r="J95" s="1332">
        <v>100</v>
      </c>
      <c r="K95" s="1144">
        <v>0</v>
      </c>
      <c r="L95" s="1110"/>
      <c r="M95" s="1114"/>
      <c r="N95" s="1264"/>
    </row>
    <row r="96" spans="1:14" ht="12" customHeight="1" x14ac:dyDescent="0.2">
      <c r="A96" s="1110">
        <f>A95+1</f>
        <v>68</v>
      </c>
      <c r="B96" s="1111" t="s">
        <v>302</v>
      </c>
      <c r="C96" s="1141" t="s">
        <v>470</v>
      </c>
      <c r="D96" s="1115" t="s">
        <v>687</v>
      </c>
      <c r="E96" s="1142"/>
      <c r="F96" s="1142"/>
      <c r="G96" s="1143"/>
      <c r="H96" s="1331"/>
      <c r="I96" s="1332">
        <v>0</v>
      </c>
      <c r="J96" s="1332">
        <v>126</v>
      </c>
      <c r="K96" s="1144">
        <v>126</v>
      </c>
      <c r="L96" s="1110"/>
      <c r="M96" s="1114"/>
      <c r="N96" s="1269"/>
    </row>
    <row r="97" spans="1:14" ht="12" customHeight="1" x14ac:dyDescent="0.2">
      <c r="A97" s="1145"/>
      <c r="B97" s="1146"/>
      <c r="C97" s="1147"/>
      <c r="D97" s="1148" t="s">
        <v>355</v>
      </c>
      <c r="E97" s="1149">
        <f>SUM(E95:E95)</f>
        <v>0</v>
      </c>
      <c r="F97" s="1149">
        <f>SUM(F95:F95)</f>
        <v>0</v>
      </c>
      <c r="G97" s="1150">
        <f>SUM(G95:G95)</f>
        <v>100</v>
      </c>
      <c r="H97" s="1151">
        <f>SUM(H95:H95)</f>
        <v>100</v>
      </c>
      <c r="I97" s="1298">
        <f>SUM(I94:I96)</f>
        <v>480</v>
      </c>
      <c r="J97" s="1298">
        <f>SUM(J94:J96)</f>
        <v>746</v>
      </c>
      <c r="K97" s="1150">
        <f>SUM(K94:K96)</f>
        <v>926</v>
      </c>
      <c r="L97" s="1152"/>
      <c r="M97" s="1153"/>
      <c r="N97" s="1266"/>
    </row>
    <row r="98" spans="1:14" ht="12" customHeight="1" x14ac:dyDescent="0.2">
      <c r="A98" s="1154">
        <f>A96+1</f>
        <v>69</v>
      </c>
      <c r="B98" s="1155" t="s">
        <v>302</v>
      </c>
      <c r="C98" s="1156" t="s">
        <v>466</v>
      </c>
      <c r="D98" s="1157" t="s">
        <v>215</v>
      </c>
      <c r="E98" s="1158">
        <v>95</v>
      </c>
      <c r="F98" s="1158"/>
      <c r="G98" s="1159"/>
      <c r="H98" s="1327"/>
      <c r="I98" s="1328"/>
      <c r="J98" s="1328"/>
      <c r="K98" s="1160"/>
      <c r="L98" s="1154"/>
      <c r="M98" s="1161"/>
      <c r="N98" s="1269"/>
    </row>
    <row r="99" spans="1:14" ht="12" customHeight="1" x14ac:dyDescent="0.2">
      <c r="A99" s="1154">
        <f>A98+1</f>
        <v>70</v>
      </c>
      <c r="B99" s="1155" t="s">
        <v>302</v>
      </c>
      <c r="C99" s="1156" t="s">
        <v>466</v>
      </c>
      <c r="D99" s="1157" t="s">
        <v>428</v>
      </c>
      <c r="E99" s="1158"/>
      <c r="F99" s="1158"/>
      <c r="G99" s="1159"/>
      <c r="H99" s="1327">
        <v>200</v>
      </c>
      <c r="I99" s="1328">
        <v>200</v>
      </c>
      <c r="J99" s="1328">
        <v>200</v>
      </c>
      <c r="K99" s="1144">
        <v>200</v>
      </c>
      <c r="L99" s="1154"/>
      <c r="M99" s="1161"/>
      <c r="N99" s="1269"/>
    </row>
    <row r="100" spans="1:14" ht="12" customHeight="1" x14ac:dyDescent="0.2">
      <c r="A100" s="1145"/>
      <c r="B100" s="1146"/>
      <c r="C100" s="1147"/>
      <c r="D100" s="1148" t="s">
        <v>427</v>
      </c>
      <c r="E100" s="1137">
        <f>SUM(E98:E99)</f>
        <v>95</v>
      </c>
      <c r="F100" s="1137">
        <f t="shared" ref="F100:K100" si="7">SUM(F98:F99)</f>
        <v>0</v>
      </c>
      <c r="G100" s="1162">
        <f t="shared" si="7"/>
        <v>0</v>
      </c>
      <c r="H100" s="1139">
        <f t="shared" si="7"/>
        <v>200</v>
      </c>
      <c r="I100" s="1299">
        <f t="shared" si="7"/>
        <v>200</v>
      </c>
      <c r="J100" s="1299">
        <f t="shared" si="7"/>
        <v>200</v>
      </c>
      <c r="K100" s="1162">
        <f t="shared" si="7"/>
        <v>200</v>
      </c>
      <c r="L100" s="1152"/>
      <c r="M100" s="1163"/>
      <c r="N100" s="1266"/>
    </row>
    <row r="101" spans="1:14" ht="11.25" customHeight="1" x14ac:dyDescent="0.2">
      <c r="A101" s="1110">
        <f>A99+1</f>
        <v>71</v>
      </c>
      <c r="B101" s="1111" t="s">
        <v>302</v>
      </c>
      <c r="C101" s="1141" t="s">
        <v>467</v>
      </c>
      <c r="D101" s="1068" t="s">
        <v>156</v>
      </c>
      <c r="E101" s="1069">
        <v>2430</v>
      </c>
      <c r="F101" s="1069">
        <v>2700</v>
      </c>
      <c r="G101" s="1070">
        <v>2700</v>
      </c>
      <c r="H101" s="1073">
        <v>2700</v>
      </c>
      <c r="I101" s="1321">
        <v>2700</v>
      </c>
      <c r="J101" s="1321">
        <v>2200</v>
      </c>
      <c r="K101" s="1071">
        <v>2200</v>
      </c>
      <c r="L101" s="1110"/>
      <c r="M101" s="1114"/>
      <c r="N101" s="1266"/>
    </row>
    <row r="102" spans="1:14" ht="12" customHeight="1" x14ac:dyDescent="0.2">
      <c r="A102" s="1110">
        <f>A101+1</f>
        <v>72</v>
      </c>
      <c r="B102" s="1111" t="s">
        <v>302</v>
      </c>
      <c r="C102" s="1141" t="s">
        <v>467</v>
      </c>
      <c r="D102" s="1068" t="s">
        <v>346</v>
      </c>
      <c r="E102" s="1069"/>
      <c r="F102" s="1069"/>
      <c r="G102" s="1070">
        <v>1500</v>
      </c>
      <c r="H102" s="1073"/>
      <c r="I102" s="1321"/>
      <c r="J102" s="1321"/>
      <c r="K102" s="1071"/>
      <c r="L102" s="1110"/>
      <c r="M102" s="1114"/>
      <c r="N102" s="1266"/>
    </row>
    <row r="103" spans="1:14" ht="12" customHeight="1" x14ac:dyDescent="0.2">
      <c r="A103" s="1110">
        <f>A102+1</f>
        <v>73</v>
      </c>
      <c r="B103" s="1111" t="s">
        <v>302</v>
      </c>
      <c r="C103" s="1141" t="s">
        <v>467</v>
      </c>
      <c r="D103" s="1068" t="s">
        <v>175</v>
      </c>
      <c r="E103" s="1164"/>
      <c r="F103" s="1164">
        <v>1000</v>
      </c>
      <c r="G103" s="1070">
        <v>1000</v>
      </c>
      <c r="H103" s="1073">
        <v>1000</v>
      </c>
      <c r="I103" s="1321">
        <v>1000</v>
      </c>
      <c r="J103" s="1321">
        <v>0</v>
      </c>
      <c r="K103" s="1071">
        <v>0</v>
      </c>
      <c r="L103" s="1110">
        <v>1073</v>
      </c>
      <c r="M103" s="1114"/>
      <c r="N103" s="1266"/>
    </row>
    <row r="104" spans="1:14" ht="12" customHeight="1" x14ac:dyDescent="0.2">
      <c r="A104" s="1152"/>
      <c r="B104" s="1146"/>
      <c r="C104" s="1147"/>
      <c r="D104" s="1148" t="s">
        <v>169</v>
      </c>
      <c r="E104" s="1137">
        <f t="shared" ref="E104:K104" si="8">SUM(E101:E103)</f>
        <v>2430</v>
      </c>
      <c r="F104" s="1137">
        <f t="shared" si="8"/>
        <v>3700</v>
      </c>
      <c r="G104" s="1138">
        <f t="shared" si="8"/>
        <v>5200</v>
      </c>
      <c r="H104" s="1139">
        <f t="shared" si="8"/>
        <v>3700</v>
      </c>
      <c r="I104" s="1297">
        <f t="shared" si="8"/>
        <v>3700</v>
      </c>
      <c r="J104" s="1297">
        <f t="shared" si="8"/>
        <v>2200</v>
      </c>
      <c r="K104" s="1138">
        <f t="shared" si="8"/>
        <v>2200</v>
      </c>
      <c r="L104" s="1152"/>
      <c r="M104" s="1163"/>
      <c r="N104" s="1165"/>
    </row>
    <row r="105" spans="1:14" ht="12" customHeight="1" x14ac:dyDescent="0.2">
      <c r="A105" s="1110">
        <f>A103+1</f>
        <v>74</v>
      </c>
      <c r="B105" s="1111" t="s">
        <v>302</v>
      </c>
      <c r="C105" s="1141" t="s">
        <v>468</v>
      </c>
      <c r="D105" s="1115" t="s">
        <v>688</v>
      </c>
      <c r="E105" s="1069">
        <v>5400</v>
      </c>
      <c r="F105" s="1069">
        <v>5400</v>
      </c>
      <c r="G105" s="1070">
        <v>1400</v>
      </c>
      <c r="H105" s="1073">
        <v>36000</v>
      </c>
      <c r="I105" s="1321">
        <v>36000</v>
      </c>
      <c r="J105" s="1321">
        <v>39500</v>
      </c>
      <c r="K105" s="1071">
        <v>42000</v>
      </c>
      <c r="L105" s="1110"/>
      <c r="M105" s="1114"/>
      <c r="N105" s="1165"/>
    </row>
    <row r="106" spans="1:14" ht="12" customHeight="1" x14ac:dyDescent="0.2">
      <c r="A106" s="1110">
        <f>A105+1</f>
        <v>75</v>
      </c>
      <c r="B106" s="1111" t="s">
        <v>302</v>
      </c>
      <c r="C106" s="1141" t="s">
        <v>468</v>
      </c>
      <c r="D106" s="1115" t="s">
        <v>214</v>
      </c>
      <c r="E106" s="1164"/>
      <c r="F106" s="1164">
        <v>5000</v>
      </c>
      <c r="G106" s="1070">
        <v>3000</v>
      </c>
      <c r="H106" s="1073"/>
      <c r="I106" s="1321"/>
      <c r="J106" s="1321"/>
      <c r="K106" s="1071"/>
      <c r="L106" s="1110"/>
      <c r="M106" s="1114"/>
      <c r="N106" s="1266"/>
    </row>
    <row r="107" spans="1:14" ht="12" customHeight="1" x14ac:dyDescent="0.2">
      <c r="A107" s="1145"/>
      <c r="B107" s="1146"/>
      <c r="C107" s="1147"/>
      <c r="D107" s="1148" t="s">
        <v>30</v>
      </c>
      <c r="E107" s="1137">
        <f t="shared" ref="E107:K107" si="9">SUM(E105:E106)</f>
        <v>5400</v>
      </c>
      <c r="F107" s="1137">
        <f t="shared" si="9"/>
        <v>10400</v>
      </c>
      <c r="G107" s="1162">
        <f t="shared" si="9"/>
        <v>4400</v>
      </c>
      <c r="H107" s="1139">
        <f t="shared" si="9"/>
        <v>36000</v>
      </c>
      <c r="I107" s="1299">
        <f t="shared" si="9"/>
        <v>36000</v>
      </c>
      <c r="J107" s="1299">
        <f t="shared" si="9"/>
        <v>39500</v>
      </c>
      <c r="K107" s="1162">
        <f t="shared" si="9"/>
        <v>42000</v>
      </c>
      <c r="L107" s="1152"/>
      <c r="M107" s="1163"/>
      <c r="N107" s="1266"/>
    </row>
    <row r="108" spans="1:14" ht="12" customHeight="1" x14ac:dyDescent="0.2">
      <c r="A108" s="1110">
        <f>A106+1</f>
        <v>76</v>
      </c>
      <c r="B108" s="1111" t="s">
        <v>302</v>
      </c>
      <c r="C108" s="1141" t="s">
        <v>465</v>
      </c>
      <c r="D108" s="1068" t="s">
        <v>689</v>
      </c>
      <c r="E108" s="1116">
        <v>250</v>
      </c>
      <c r="F108" s="1116">
        <v>250</v>
      </c>
      <c r="G108" s="1077">
        <v>250</v>
      </c>
      <c r="H108" s="1073">
        <v>250</v>
      </c>
      <c r="I108" s="1321">
        <v>250</v>
      </c>
      <c r="J108" s="1321">
        <v>250</v>
      </c>
      <c r="K108" s="1071">
        <v>250</v>
      </c>
      <c r="L108" s="1110"/>
      <c r="M108" s="1114"/>
      <c r="N108" s="1266"/>
    </row>
    <row r="109" spans="1:14" ht="12" customHeight="1" x14ac:dyDescent="0.2">
      <c r="A109" s="1110">
        <f>A108+1</f>
        <v>77</v>
      </c>
      <c r="B109" s="1111" t="s">
        <v>302</v>
      </c>
      <c r="C109" s="1141" t="s">
        <v>465</v>
      </c>
      <c r="D109" s="1068" t="s">
        <v>528</v>
      </c>
      <c r="E109" s="1116"/>
      <c r="F109" s="1116"/>
      <c r="G109" s="1077"/>
      <c r="H109" s="1073">
        <v>300</v>
      </c>
      <c r="I109" s="1321">
        <v>300</v>
      </c>
      <c r="J109" s="1321">
        <v>300</v>
      </c>
      <c r="K109" s="1071">
        <v>0</v>
      </c>
      <c r="L109" s="1110"/>
      <c r="M109" s="1114"/>
      <c r="N109" s="1269"/>
    </row>
    <row r="110" spans="1:14" ht="12" customHeight="1" x14ac:dyDescent="0.2">
      <c r="A110" s="1110">
        <f>A109+1</f>
        <v>78</v>
      </c>
      <c r="B110" s="1111" t="s">
        <v>302</v>
      </c>
      <c r="C110" s="1141" t="s">
        <v>465</v>
      </c>
      <c r="D110" s="1068" t="s">
        <v>345</v>
      </c>
      <c r="E110" s="1069"/>
      <c r="F110" s="1069"/>
      <c r="G110" s="1070">
        <v>250</v>
      </c>
      <c r="H110" s="1073">
        <v>250</v>
      </c>
      <c r="I110" s="1321">
        <v>250</v>
      </c>
      <c r="J110" s="1321">
        <v>150</v>
      </c>
      <c r="K110" s="1071">
        <v>150</v>
      </c>
      <c r="L110" s="1110"/>
      <c r="M110" s="1114"/>
      <c r="N110" s="1266"/>
    </row>
    <row r="111" spans="1:14" ht="12" customHeight="1" x14ac:dyDescent="0.2">
      <c r="A111" s="1145"/>
      <c r="B111" s="1146"/>
      <c r="C111" s="1147"/>
      <c r="D111" s="1148" t="s">
        <v>168</v>
      </c>
      <c r="E111" s="1137">
        <f t="shared" ref="E111:K111" si="10">SUM(E108:E110)</f>
        <v>250</v>
      </c>
      <c r="F111" s="1137">
        <f t="shared" si="10"/>
        <v>250</v>
      </c>
      <c r="G111" s="1138">
        <f t="shared" si="10"/>
        <v>500</v>
      </c>
      <c r="H111" s="1139">
        <f t="shared" si="10"/>
        <v>800</v>
      </c>
      <c r="I111" s="1297">
        <f t="shared" si="10"/>
        <v>800</v>
      </c>
      <c r="J111" s="1297">
        <f t="shared" si="10"/>
        <v>700</v>
      </c>
      <c r="K111" s="1138">
        <f t="shared" si="10"/>
        <v>400</v>
      </c>
      <c r="L111" s="1152"/>
      <c r="M111" s="1163"/>
      <c r="N111" s="1266"/>
    </row>
    <row r="112" spans="1:14" ht="12" customHeight="1" x14ac:dyDescent="0.2">
      <c r="A112" s="1110">
        <f>A110+1</f>
        <v>79</v>
      </c>
      <c r="B112" s="1111" t="s">
        <v>302</v>
      </c>
      <c r="C112" s="1141" t="s">
        <v>469</v>
      </c>
      <c r="D112" s="1115" t="s">
        <v>146</v>
      </c>
      <c r="E112" s="1084">
        <v>270</v>
      </c>
      <c r="F112" s="1084">
        <v>300</v>
      </c>
      <c r="G112" s="1085">
        <v>300</v>
      </c>
      <c r="H112" s="1087">
        <v>300</v>
      </c>
      <c r="I112" s="1322">
        <v>300</v>
      </c>
      <c r="J112" s="1322">
        <v>300</v>
      </c>
      <c r="K112" s="1071">
        <v>400</v>
      </c>
      <c r="L112" s="1110"/>
      <c r="M112" s="1114"/>
      <c r="N112" s="1266"/>
    </row>
    <row r="113" spans="1:14" ht="12" customHeight="1" x14ac:dyDescent="0.2">
      <c r="A113" s="1145"/>
      <c r="B113" s="1146"/>
      <c r="C113" s="1147"/>
      <c r="D113" s="1148" t="s">
        <v>91</v>
      </c>
      <c r="E113" s="1137">
        <f>SUM(E112)</f>
        <v>270</v>
      </c>
      <c r="F113" s="1137">
        <f>SUM(F112)</f>
        <v>300</v>
      </c>
      <c r="G113" s="1162">
        <f>SUM(G112:G112)</f>
        <v>300</v>
      </c>
      <c r="H113" s="1139">
        <f>SUM(H112:H112)</f>
        <v>300</v>
      </c>
      <c r="I113" s="1299">
        <f>SUM(I112:I112)</f>
        <v>300</v>
      </c>
      <c r="J113" s="1299">
        <f>SUM(J112:J112)</f>
        <v>300</v>
      </c>
      <c r="K113" s="1162">
        <f>SUM(K112:K112)</f>
        <v>400</v>
      </c>
      <c r="L113" s="1152"/>
      <c r="M113" s="1163"/>
      <c r="N113" s="1266"/>
    </row>
    <row r="114" spans="1:14" ht="12" customHeight="1" x14ac:dyDescent="0.2">
      <c r="A114" s="1110">
        <f>A112+1</f>
        <v>80</v>
      </c>
      <c r="B114" s="1111" t="s">
        <v>302</v>
      </c>
      <c r="C114" s="1141" t="s">
        <v>454</v>
      </c>
      <c r="D114" s="1068" t="s">
        <v>429</v>
      </c>
      <c r="E114" s="1069"/>
      <c r="F114" s="1069"/>
      <c r="G114" s="1070"/>
      <c r="H114" s="1073">
        <v>2000</v>
      </c>
      <c r="I114" s="1321">
        <v>2000</v>
      </c>
      <c r="J114" s="1321">
        <v>2000</v>
      </c>
      <c r="K114" s="1071">
        <v>2000</v>
      </c>
      <c r="L114" s="1110"/>
      <c r="M114" s="1114"/>
      <c r="N114" s="1204"/>
    </row>
    <row r="115" spans="1:14" ht="12" customHeight="1" x14ac:dyDescent="0.2">
      <c r="A115" s="1110">
        <f>A114+1</f>
        <v>81</v>
      </c>
      <c r="B115" s="1111" t="s">
        <v>302</v>
      </c>
      <c r="C115" s="1141" t="s">
        <v>454</v>
      </c>
      <c r="D115" s="1115" t="s">
        <v>430</v>
      </c>
      <c r="E115" s="1091"/>
      <c r="F115" s="1091"/>
      <c r="G115" s="1092"/>
      <c r="H115" s="1087"/>
      <c r="I115" s="1322"/>
      <c r="J115" s="1322"/>
      <c r="K115" s="1086"/>
      <c r="L115" s="1110"/>
      <c r="M115" s="1114"/>
      <c r="N115" s="1270"/>
    </row>
    <row r="116" spans="1:14" ht="12" customHeight="1" x14ac:dyDescent="0.2">
      <c r="A116" s="1145"/>
      <c r="B116" s="1146"/>
      <c r="C116" s="1147"/>
      <c r="D116" s="1148" t="s">
        <v>665</v>
      </c>
      <c r="E116" s="1162">
        <f t="shared" ref="E116:K116" si="11">SUM(E114:E115)</f>
        <v>0</v>
      </c>
      <c r="F116" s="1162">
        <f t="shared" si="11"/>
        <v>0</v>
      </c>
      <c r="G116" s="1162">
        <f t="shared" si="11"/>
        <v>0</v>
      </c>
      <c r="H116" s="1151">
        <f t="shared" si="11"/>
        <v>2000</v>
      </c>
      <c r="I116" s="1298">
        <f t="shared" si="11"/>
        <v>2000</v>
      </c>
      <c r="J116" s="1298">
        <f t="shared" si="11"/>
        <v>2000</v>
      </c>
      <c r="K116" s="1150">
        <f t="shared" si="11"/>
        <v>2000</v>
      </c>
      <c r="L116" s="1152"/>
      <c r="M116" s="1163"/>
      <c r="N116" s="1270"/>
    </row>
    <row r="117" spans="1:14" ht="12" customHeight="1" x14ac:dyDescent="0.2">
      <c r="A117" s="1110">
        <f>A115+1</f>
        <v>82</v>
      </c>
      <c r="B117" s="1111" t="s">
        <v>302</v>
      </c>
      <c r="C117" s="1141" t="s">
        <v>463</v>
      </c>
      <c r="D117" s="1068" t="s">
        <v>217</v>
      </c>
      <c r="E117" s="1069"/>
      <c r="F117" s="1069"/>
      <c r="G117" s="1070">
        <v>1500</v>
      </c>
      <c r="H117" s="1073">
        <v>1800</v>
      </c>
      <c r="I117" s="1321">
        <v>1800</v>
      </c>
      <c r="J117" s="1321"/>
      <c r="K117" s="1071"/>
      <c r="L117" s="1110"/>
      <c r="M117" s="1114"/>
      <c r="N117" s="1266"/>
    </row>
    <row r="118" spans="1:14" ht="12" customHeight="1" x14ac:dyDescent="0.2">
      <c r="A118" s="1110">
        <f>A117+1</f>
        <v>83</v>
      </c>
      <c r="B118" s="1111" t="s">
        <v>302</v>
      </c>
      <c r="C118" s="1141" t="s">
        <v>463</v>
      </c>
      <c r="D118" s="1068" t="s">
        <v>570</v>
      </c>
      <c r="E118" s="1315"/>
      <c r="F118" s="1315"/>
      <c r="G118" s="1070"/>
      <c r="H118" s="1073"/>
      <c r="I118" s="1321"/>
      <c r="J118" s="1321">
        <v>5340</v>
      </c>
      <c r="K118" s="1071">
        <v>5340</v>
      </c>
      <c r="L118" s="1110"/>
      <c r="M118" s="1114"/>
      <c r="N118" s="1266"/>
    </row>
    <row r="119" spans="1:14" ht="12" customHeight="1" x14ac:dyDescent="0.2">
      <c r="A119" s="1145"/>
      <c r="B119" s="1146"/>
      <c r="C119" s="1147"/>
      <c r="D119" s="1148" t="s">
        <v>352</v>
      </c>
      <c r="E119" s="1162">
        <f>SUM(E117)</f>
        <v>0</v>
      </c>
      <c r="F119" s="1162">
        <f>SUM(F117)</f>
        <v>0</v>
      </c>
      <c r="G119" s="1162">
        <f>SUM(G117)</f>
        <v>1500</v>
      </c>
      <c r="H119" s="1139">
        <f>SUM(H117)</f>
        <v>1800</v>
      </c>
      <c r="I119" s="1299">
        <f>SUM(I117:I118)</f>
        <v>1800</v>
      </c>
      <c r="J119" s="1299">
        <f>SUM(J117:J118)</f>
        <v>5340</v>
      </c>
      <c r="K119" s="1162">
        <f>SUM(K117:K118)</f>
        <v>5340</v>
      </c>
      <c r="L119" s="1152"/>
      <c r="M119" s="1163"/>
      <c r="N119" s="1266"/>
    </row>
    <row r="120" spans="1:14" ht="12" customHeight="1" x14ac:dyDescent="0.2">
      <c r="A120" s="1110">
        <f>A118+1</f>
        <v>84</v>
      </c>
      <c r="B120" s="1111" t="s">
        <v>302</v>
      </c>
      <c r="C120" s="1141" t="s">
        <v>455</v>
      </c>
      <c r="D120" s="1068"/>
      <c r="E120" s="1069"/>
      <c r="F120" s="1069"/>
      <c r="G120" s="1070"/>
      <c r="H120" s="1073"/>
      <c r="I120" s="1321"/>
      <c r="J120" s="1321"/>
      <c r="K120" s="1071"/>
      <c r="L120" s="1110"/>
      <c r="M120" s="1114"/>
      <c r="N120" s="1264"/>
    </row>
    <row r="121" spans="1:14" ht="12" customHeight="1" x14ac:dyDescent="0.2">
      <c r="A121" s="1145"/>
      <c r="B121" s="1146"/>
      <c r="C121" s="1147"/>
      <c r="D121" s="1148" t="s">
        <v>431</v>
      </c>
      <c r="E121" s="1162">
        <f t="shared" ref="E121:K121" si="12">SUM(E120)</f>
        <v>0</v>
      </c>
      <c r="F121" s="1162">
        <f t="shared" si="12"/>
        <v>0</v>
      </c>
      <c r="G121" s="1162">
        <f t="shared" si="12"/>
        <v>0</v>
      </c>
      <c r="H121" s="1139">
        <f t="shared" si="12"/>
        <v>0</v>
      </c>
      <c r="I121" s="1299">
        <f t="shared" si="12"/>
        <v>0</v>
      </c>
      <c r="J121" s="1299">
        <f t="shared" si="12"/>
        <v>0</v>
      </c>
      <c r="K121" s="1162">
        <f t="shared" si="12"/>
        <v>0</v>
      </c>
      <c r="L121" s="1152"/>
      <c r="M121" s="1163"/>
      <c r="N121" s="1266"/>
    </row>
    <row r="122" spans="1:14" ht="12" customHeight="1" x14ac:dyDescent="0.2">
      <c r="A122" s="1110">
        <f>A120+1</f>
        <v>85</v>
      </c>
      <c r="B122" s="1111" t="s">
        <v>302</v>
      </c>
      <c r="C122" s="1141" t="s">
        <v>464</v>
      </c>
      <c r="D122" s="1068" t="s">
        <v>288</v>
      </c>
      <c r="E122" s="1116"/>
      <c r="F122" s="1116"/>
      <c r="G122" s="1077">
        <v>7516</v>
      </c>
      <c r="H122" s="1073">
        <v>9598</v>
      </c>
      <c r="I122" s="1321">
        <v>9598</v>
      </c>
      <c r="J122" s="1321">
        <v>9848</v>
      </c>
      <c r="K122" s="1071">
        <v>8848</v>
      </c>
      <c r="L122" s="1110"/>
      <c r="M122" s="1114"/>
      <c r="N122" s="1266"/>
    </row>
    <row r="123" spans="1:14" ht="12" customHeight="1" x14ac:dyDescent="0.2">
      <c r="A123" s="1110">
        <f>A122+1</f>
        <v>86</v>
      </c>
      <c r="B123" s="1111" t="s">
        <v>302</v>
      </c>
      <c r="C123" s="1141" t="s">
        <v>464</v>
      </c>
      <c r="D123" s="1068" t="s">
        <v>348</v>
      </c>
      <c r="E123" s="1116"/>
      <c r="F123" s="1116"/>
      <c r="G123" s="1077">
        <v>500</v>
      </c>
      <c r="H123" s="1073">
        <v>250</v>
      </c>
      <c r="I123" s="1321">
        <v>250</v>
      </c>
      <c r="J123" s="1321">
        <v>0</v>
      </c>
      <c r="K123" s="1071">
        <v>0</v>
      </c>
      <c r="L123" s="1110"/>
      <c r="M123" s="1114"/>
      <c r="N123" s="1266"/>
    </row>
    <row r="124" spans="1:14" ht="12" customHeight="1" x14ac:dyDescent="0.2">
      <c r="A124" s="1110">
        <f>A123+1</f>
        <v>87</v>
      </c>
      <c r="B124" s="1111" t="s">
        <v>302</v>
      </c>
      <c r="C124" s="1141" t="s">
        <v>464</v>
      </c>
      <c r="D124" s="1068" t="s">
        <v>349</v>
      </c>
      <c r="E124" s="1116"/>
      <c r="F124" s="1116"/>
      <c r="G124" s="1077">
        <v>1100</v>
      </c>
      <c r="H124" s="1073">
        <v>800</v>
      </c>
      <c r="I124" s="1321">
        <v>800</v>
      </c>
      <c r="J124" s="1321">
        <v>500</v>
      </c>
      <c r="K124" s="1071">
        <v>500</v>
      </c>
      <c r="L124" s="1110"/>
      <c r="M124" s="1114"/>
      <c r="N124" s="1266"/>
    </row>
    <row r="125" spans="1:14" ht="12" customHeight="1" x14ac:dyDescent="0.2">
      <c r="A125" s="1110">
        <f>A124+1</f>
        <v>88</v>
      </c>
      <c r="B125" s="1111" t="s">
        <v>302</v>
      </c>
      <c r="C125" s="1141" t="s">
        <v>464</v>
      </c>
      <c r="D125" s="1068" t="s">
        <v>101</v>
      </c>
      <c r="E125" s="1116"/>
      <c r="F125" s="1116"/>
      <c r="G125" s="1077">
        <v>1000</v>
      </c>
      <c r="H125" s="1073"/>
      <c r="I125" s="1321"/>
      <c r="J125" s="1321"/>
      <c r="K125" s="1071"/>
      <c r="L125" s="1110"/>
      <c r="M125" s="1114"/>
      <c r="N125" s="1266"/>
    </row>
    <row r="126" spans="1:14" ht="12" customHeight="1" x14ac:dyDescent="0.2">
      <c r="A126" s="1110">
        <f>A125+1</f>
        <v>89</v>
      </c>
      <c r="B126" s="1111" t="s">
        <v>302</v>
      </c>
      <c r="C126" s="1141" t="s">
        <v>464</v>
      </c>
      <c r="D126" s="1068" t="s">
        <v>350</v>
      </c>
      <c r="E126" s="1116"/>
      <c r="F126" s="1116"/>
      <c r="G126" s="1077">
        <v>600</v>
      </c>
      <c r="H126" s="1073"/>
      <c r="I126" s="1321"/>
      <c r="J126" s="1321"/>
      <c r="K126" s="1071"/>
      <c r="L126" s="1110"/>
      <c r="M126" s="1114"/>
      <c r="N126" s="1266"/>
    </row>
    <row r="127" spans="1:14" ht="12" customHeight="1" x14ac:dyDescent="0.2">
      <c r="A127" s="1110">
        <f>A126+1</f>
        <v>90</v>
      </c>
      <c r="B127" s="1111" t="s">
        <v>302</v>
      </c>
      <c r="C127" s="1166" t="s">
        <v>464</v>
      </c>
      <c r="D127" s="1167" t="s">
        <v>351</v>
      </c>
      <c r="E127" s="1116"/>
      <c r="F127" s="1116"/>
      <c r="G127" s="1077">
        <v>250</v>
      </c>
      <c r="H127" s="1073"/>
      <c r="I127" s="1321"/>
      <c r="J127" s="1321"/>
      <c r="K127" s="1071"/>
      <c r="L127" s="1168"/>
      <c r="M127" s="1130"/>
      <c r="N127" s="1266"/>
    </row>
    <row r="128" spans="1:14" ht="12" customHeight="1" x14ac:dyDescent="0.2">
      <c r="A128" s="1145"/>
      <c r="B128" s="1146"/>
      <c r="C128" s="1147"/>
      <c r="D128" s="1148" t="s">
        <v>289</v>
      </c>
      <c r="E128" s="1137">
        <v>0</v>
      </c>
      <c r="F128" s="1137">
        <v>11366</v>
      </c>
      <c r="G128" s="1162">
        <f>SUM(G122:G127)</f>
        <v>10966</v>
      </c>
      <c r="H128" s="1139">
        <f>SUM(H122:H127)</f>
        <v>10648</v>
      </c>
      <c r="I128" s="1299">
        <f>SUM(I122:I127)</f>
        <v>10648</v>
      </c>
      <c r="J128" s="1299">
        <f>SUM(J122:J127)</f>
        <v>10348</v>
      </c>
      <c r="K128" s="1162">
        <f>SUM(K122:K127)</f>
        <v>9348</v>
      </c>
      <c r="L128" s="1152"/>
      <c r="M128" s="1163"/>
      <c r="N128" s="1266"/>
    </row>
    <row r="129" spans="1:14" ht="12" customHeight="1" x14ac:dyDescent="0.2">
      <c r="A129" s="1110">
        <f>A127+1</f>
        <v>91</v>
      </c>
      <c r="B129" s="1111" t="s">
        <v>302</v>
      </c>
      <c r="C129" s="1141" t="s">
        <v>456</v>
      </c>
      <c r="D129" s="1068" t="s">
        <v>690</v>
      </c>
      <c r="E129" s="1116">
        <v>1400</v>
      </c>
      <c r="F129" s="1116">
        <v>1400</v>
      </c>
      <c r="G129" s="1077">
        <v>1400</v>
      </c>
      <c r="H129" s="1073">
        <v>1400</v>
      </c>
      <c r="I129" s="1321">
        <v>1400</v>
      </c>
      <c r="J129" s="1321">
        <v>1400</v>
      </c>
      <c r="K129" s="1071">
        <v>1400</v>
      </c>
      <c r="L129" s="1110"/>
      <c r="M129" s="1114"/>
      <c r="N129" s="1264"/>
    </row>
    <row r="130" spans="1:14" ht="12" customHeight="1" x14ac:dyDescent="0.2">
      <c r="A130" s="1145"/>
      <c r="B130" s="1146"/>
      <c r="C130" s="1147"/>
      <c r="D130" s="1148" t="s">
        <v>216</v>
      </c>
      <c r="E130" s="1137">
        <f t="shared" ref="E130:K130" si="13">SUM(E129)</f>
        <v>1400</v>
      </c>
      <c r="F130" s="1137">
        <f t="shared" si="13"/>
        <v>1400</v>
      </c>
      <c r="G130" s="1162">
        <f t="shared" si="13"/>
        <v>1400</v>
      </c>
      <c r="H130" s="1139">
        <f t="shared" si="13"/>
        <v>1400</v>
      </c>
      <c r="I130" s="1299">
        <f t="shared" si="13"/>
        <v>1400</v>
      </c>
      <c r="J130" s="1299">
        <f t="shared" si="13"/>
        <v>1400</v>
      </c>
      <c r="K130" s="1162">
        <f t="shared" si="13"/>
        <v>1400</v>
      </c>
      <c r="L130" s="1152"/>
      <c r="M130" s="1163"/>
      <c r="N130" s="1266"/>
    </row>
    <row r="131" spans="1:14" ht="12" customHeight="1" x14ac:dyDescent="0.2">
      <c r="A131" s="1110">
        <f>A129+1</f>
        <v>92</v>
      </c>
      <c r="B131" s="1111" t="s">
        <v>302</v>
      </c>
      <c r="C131" s="1141" t="s">
        <v>457</v>
      </c>
      <c r="D131" s="1115" t="s">
        <v>98</v>
      </c>
      <c r="E131" s="1091">
        <v>1250</v>
      </c>
      <c r="F131" s="1091">
        <v>1000</v>
      </c>
      <c r="G131" s="1092">
        <v>1000</v>
      </c>
      <c r="H131" s="1087">
        <v>0</v>
      </c>
      <c r="I131" s="1322">
        <v>0</v>
      </c>
      <c r="J131" s="1322">
        <v>0</v>
      </c>
      <c r="K131" s="1086">
        <v>0</v>
      </c>
      <c r="L131" s="1110"/>
      <c r="M131" s="1114"/>
      <c r="N131" s="1266"/>
    </row>
    <row r="132" spans="1:14" ht="12" customHeight="1" x14ac:dyDescent="0.2">
      <c r="A132" s="1145"/>
      <c r="B132" s="1146"/>
      <c r="C132" s="1147"/>
      <c r="D132" s="1148" t="s">
        <v>99</v>
      </c>
      <c r="E132" s="1149">
        <f>SUM(E131)</f>
        <v>1250</v>
      </c>
      <c r="F132" s="1149">
        <f>SUM(F131)</f>
        <v>1000</v>
      </c>
      <c r="G132" s="1150">
        <f>SUM(G131)</f>
        <v>1000</v>
      </c>
      <c r="H132" s="1151">
        <f>SUM(H131:H131)</f>
        <v>0</v>
      </c>
      <c r="I132" s="1298">
        <f>SUM(I131:I131)</f>
        <v>0</v>
      </c>
      <c r="J132" s="1298">
        <f>SUM(J131:J131)</f>
        <v>0</v>
      </c>
      <c r="K132" s="1150">
        <f>SUM(K131:K131)</f>
        <v>0</v>
      </c>
      <c r="L132" s="1152"/>
      <c r="M132" s="1163"/>
      <c r="N132" s="1266"/>
    </row>
    <row r="133" spans="1:14" ht="12" customHeight="1" x14ac:dyDescent="0.2">
      <c r="A133" s="1110">
        <f>A131+1</f>
        <v>93</v>
      </c>
      <c r="B133" s="1111" t="s">
        <v>302</v>
      </c>
      <c r="C133" s="1067" t="s">
        <v>459</v>
      </c>
      <c r="D133" s="1068" t="s">
        <v>344</v>
      </c>
      <c r="E133" s="1169">
        <v>450</v>
      </c>
      <c r="F133" s="1169">
        <v>300</v>
      </c>
      <c r="G133" s="1170">
        <v>1100</v>
      </c>
      <c r="H133" s="1329">
        <v>1270</v>
      </c>
      <c r="I133" s="1330">
        <v>1270</v>
      </c>
      <c r="J133" s="1330">
        <v>650</v>
      </c>
      <c r="K133" s="1071">
        <v>650</v>
      </c>
      <c r="L133" s="1110"/>
      <c r="M133" s="1114"/>
      <c r="N133" s="1204"/>
    </row>
    <row r="134" spans="1:14" ht="12" customHeight="1" x14ac:dyDescent="0.2">
      <c r="A134" s="1152"/>
      <c r="B134" s="1146"/>
      <c r="C134" s="1147"/>
      <c r="D134" s="1148" t="s">
        <v>130</v>
      </c>
      <c r="E134" s="1137">
        <f>SUM(E133)</f>
        <v>450</v>
      </c>
      <c r="F134" s="1137">
        <f>SUM(F133)</f>
        <v>300</v>
      </c>
      <c r="G134" s="1138">
        <f>SUM(G133:G133)</f>
        <v>1100</v>
      </c>
      <c r="H134" s="1139">
        <f>SUM(H133:H133)</f>
        <v>1270</v>
      </c>
      <c r="I134" s="1297">
        <f>SUM(I133:I133)</f>
        <v>1270</v>
      </c>
      <c r="J134" s="1297">
        <f>SUM(J133:J133)</f>
        <v>650</v>
      </c>
      <c r="K134" s="1138">
        <f>SUM(K133:K133)</f>
        <v>650</v>
      </c>
      <c r="L134" s="1152"/>
      <c r="M134" s="1163"/>
      <c r="N134" s="1266"/>
    </row>
    <row r="135" spans="1:14" ht="12" customHeight="1" x14ac:dyDescent="0.2">
      <c r="A135" s="1110">
        <f>A133+1</f>
        <v>94</v>
      </c>
      <c r="B135" s="1111" t="s">
        <v>302</v>
      </c>
      <c r="C135" s="1141" t="s">
        <v>460</v>
      </c>
      <c r="D135" s="1068" t="s">
        <v>67</v>
      </c>
      <c r="E135" s="1091"/>
      <c r="F135" s="1091">
        <v>7250</v>
      </c>
      <c r="G135" s="1092">
        <v>7250</v>
      </c>
      <c r="H135" s="1087">
        <v>7250</v>
      </c>
      <c r="I135" s="1322">
        <v>7250</v>
      </c>
      <c r="J135" s="1322">
        <v>7250</v>
      </c>
      <c r="K135" s="1071">
        <v>7250</v>
      </c>
      <c r="L135" s="1110"/>
      <c r="M135" s="1114"/>
      <c r="N135" s="1266"/>
    </row>
    <row r="136" spans="1:14" ht="12" customHeight="1" x14ac:dyDescent="0.2">
      <c r="A136" s="1110">
        <f>A135+1</f>
        <v>95</v>
      </c>
      <c r="B136" s="1111" t="s">
        <v>302</v>
      </c>
      <c r="C136" s="1141" t="s">
        <v>460</v>
      </c>
      <c r="D136" s="1068" t="s">
        <v>276</v>
      </c>
      <c r="E136" s="1084"/>
      <c r="F136" s="1084">
        <v>1000</v>
      </c>
      <c r="G136" s="1085">
        <v>1000</v>
      </c>
      <c r="H136" s="1087">
        <v>1000</v>
      </c>
      <c r="I136" s="1322">
        <v>1150</v>
      </c>
      <c r="J136" s="1322">
        <v>820</v>
      </c>
      <c r="K136" s="1071">
        <v>960</v>
      </c>
      <c r="L136" s="1110"/>
      <c r="M136" s="1114"/>
      <c r="N136" s="1266"/>
    </row>
    <row r="137" spans="1:14" ht="12" customHeight="1" x14ac:dyDescent="0.2">
      <c r="A137" s="1110">
        <f t="shared" ref="A137:A154" si="14">A136+1</f>
        <v>96</v>
      </c>
      <c r="B137" s="1111" t="s">
        <v>302</v>
      </c>
      <c r="C137" s="1141" t="s">
        <v>460</v>
      </c>
      <c r="D137" s="1068" t="s">
        <v>277</v>
      </c>
      <c r="E137" s="1171"/>
      <c r="F137" s="1171">
        <v>200</v>
      </c>
      <c r="G137" s="1172">
        <v>650</v>
      </c>
      <c r="H137" s="1333">
        <v>650</v>
      </c>
      <c r="I137" s="1334">
        <v>650</v>
      </c>
      <c r="J137" s="1334">
        <v>650</v>
      </c>
      <c r="K137" s="1071">
        <v>650</v>
      </c>
      <c r="L137" s="1110"/>
      <c r="M137" s="1114"/>
      <c r="N137" s="1266"/>
    </row>
    <row r="138" spans="1:14" ht="12" customHeight="1" x14ac:dyDescent="0.2">
      <c r="A138" s="1110">
        <f t="shared" si="14"/>
        <v>97</v>
      </c>
      <c r="B138" s="1111" t="s">
        <v>302</v>
      </c>
      <c r="C138" s="1141" t="s">
        <v>460</v>
      </c>
      <c r="D138" s="1068" t="s">
        <v>571</v>
      </c>
      <c r="E138" s="1173"/>
      <c r="F138" s="1173">
        <v>570</v>
      </c>
      <c r="G138" s="1174">
        <v>570</v>
      </c>
      <c r="H138" s="1333">
        <v>570</v>
      </c>
      <c r="I138" s="1334">
        <v>300</v>
      </c>
      <c r="J138" s="1334">
        <v>300</v>
      </c>
      <c r="K138" s="1071">
        <v>390</v>
      </c>
      <c r="L138" s="1110"/>
      <c r="M138" s="1114"/>
      <c r="N138" s="1266"/>
    </row>
    <row r="139" spans="1:14" ht="12" customHeight="1" x14ac:dyDescent="0.2">
      <c r="A139" s="1110">
        <f t="shared" si="14"/>
        <v>98</v>
      </c>
      <c r="B139" s="1111" t="s">
        <v>302</v>
      </c>
      <c r="C139" s="1141" t="s">
        <v>460</v>
      </c>
      <c r="D139" s="1068" t="s">
        <v>278</v>
      </c>
      <c r="E139" s="1084"/>
      <c r="F139" s="1084">
        <v>700</v>
      </c>
      <c r="G139" s="1085">
        <v>700</v>
      </c>
      <c r="H139" s="1087">
        <v>700</v>
      </c>
      <c r="I139" s="1322">
        <v>600</v>
      </c>
      <c r="J139" s="1322">
        <v>0</v>
      </c>
      <c r="K139" s="1071">
        <v>0</v>
      </c>
      <c r="L139" s="1110"/>
      <c r="M139" s="1114"/>
      <c r="N139" s="1266"/>
    </row>
    <row r="140" spans="1:14" ht="12" customHeight="1" x14ac:dyDescent="0.2">
      <c r="A140" s="1110">
        <f t="shared" si="14"/>
        <v>99</v>
      </c>
      <c r="B140" s="1111" t="s">
        <v>302</v>
      </c>
      <c r="C140" s="1141" t="s">
        <v>460</v>
      </c>
      <c r="D140" s="1068" t="s">
        <v>279</v>
      </c>
      <c r="E140" s="1084"/>
      <c r="F140" s="1084">
        <v>750</v>
      </c>
      <c r="G140" s="1085">
        <v>780</v>
      </c>
      <c r="H140" s="1087">
        <v>830</v>
      </c>
      <c r="I140" s="1322">
        <v>845</v>
      </c>
      <c r="J140" s="1322">
        <v>840</v>
      </c>
      <c r="K140" s="1071">
        <v>840</v>
      </c>
      <c r="L140" s="1110"/>
      <c r="M140" s="1114"/>
      <c r="N140" s="1266"/>
    </row>
    <row r="141" spans="1:14" ht="12" customHeight="1" x14ac:dyDescent="0.2">
      <c r="A141" s="1110">
        <f t="shared" si="14"/>
        <v>100</v>
      </c>
      <c r="B141" s="1111" t="s">
        <v>302</v>
      </c>
      <c r="C141" s="1141" t="s">
        <v>460</v>
      </c>
      <c r="D141" s="1068" t="s">
        <v>280</v>
      </c>
      <c r="E141" s="1084"/>
      <c r="F141" s="1084">
        <v>2900</v>
      </c>
      <c r="G141" s="1085">
        <v>1500</v>
      </c>
      <c r="H141" s="1087">
        <v>2270</v>
      </c>
      <c r="I141" s="1322">
        <v>250</v>
      </c>
      <c r="J141" s="1322">
        <v>1100</v>
      </c>
      <c r="K141" s="1071">
        <v>0</v>
      </c>
      <c r="L141" s="1110"/>
      <c r="M141" s="1114"/>
      <c r="N141" s="1266"/>
    </row>
    <row r="142" spans="1:14" ht="12" customHeight="1" x14ac:dyDescent="0.2">
      <c r="A142" s="1110">
        <f t="shared" si="14"/>
        <v>101</v>
      </c>
      <c r="B142" s="1111" t="s">
        <v>302</v>
      </c>
      <c r="C142" s="1141" t="s">
        <v>460</v>
      </c>
      <c r="D142" s="1068" t="s">
        <v>281</v>
      </c>
      <c r="E142" s="1084"/>
      <c r="F142" s="1084">
        <v>1750</v>
      </c>
      <c r="G142" s="1085">
        <v>6035</v>
      </c>
      <c r="H142" s="1087">
        <v>6800</v>
      </c>
      <c r="I142" s="1322">
        <v>7300</v>
      </c>
      <c r="J142" s="1322">
        <v>7940</v>
      </c>
      <c r="K142" s="1071">
        <v>880</v>
      </c>
      <c r="L142" s="1110"/>
      <c r="M142" s="1114"/>
      <c r="N142" s="1266"/>
    </row>
    <row r="143" spans="1:14" ht="12" customHeight="1" x14ac:dyDescent="0.2">
      <c r="A143" s="1110">
        <f t="shared" si="14"/>
        <v>102</v>
      </c>
      <c r="B143" s="1111" t="s">
        <v>302</v>
      </c>
      <c r="C143" s="1141" t="s">
        <v>460</v>
      </c>
      <c r="D143" s="1175" t="s">
        <v>282</v>
      </c>
      <c r="E143" s="1084"/>
      <c r="F143" s="1084">
        <v>7500</v>
      </c>
      <c r="G143" s="1085">
        <v>8520</v>
      </c>
      <c r="H143" s="1087">
        <v>9070</v>
      </c>
      <c r="I143" s="1322">
        <v>9600</v>
      </c>
      <c r="J143" s="1322">
        <v>10220</v>
      </c>
      <c r="K143" s="1071">
        <v>9820</v>
      </c>
      <c r="L143" s="1110"/>
      <c r="M143" s="1114"/>
      <c r="N143" s="1266"/>
    </row>
    <row r="144" spans="1:14" ht="12" customHeight="1" x14ac:dyDescent="0.2">
      <c r="A144" s="1110">
        <f t="shared" si="14"/>
        <v>103</v>
      </c>
      <c r="B144" s="1111" t="s">
        <v>302</v>
      </c>
      <c r="C144" s="1141" t="s">
        <v>460</v>
      </c>
      <c r="D144" s="1115" t="s">
        <v>283</v>
      </c>
      <c r="E144" s="1084"/>
      <c r="F144" s="1084">
        <v>2250</v>
      </c>
      <c r="G144" s="1085">
        <v>900</v>
      </c>
      <c r="H144" s="1087">
        <v>225</v>
      </c>
      <c r="I144" s="1322">
        <v>0</v>
      </c>
      <c r="J144" s="1322"/>
      <c r="K144" s="1086"/>
      <c r="L144" s="1110"/>
      <c r="M144" s="1114"/>
      <c r="N144" s="1266"/>
    </row>
    <row r="145" spans="1:14" ht="12" customHeight="1" x14ac:dyDescent="0.2">
      <c r="A145" s="1110">
        <f t="shared" si="14"/>
        <v>104</v>
      </c>
      <c r="B145" s="1111" t="s">
        <v>302</v>
      </c>
      <c r="C145" s="1141" t="s">
        <v>460</v>
      </c>
      <c r="D145" s="1115" t="s">
        <v>284</v>
      </c>
      <c r="E145" s="1084"/>
      <c r="F145" s="1084">
        <v>2430</v>
      </c>
      <c r="G145" s="1085">
        <v>3500</v>
      </c>
      <c r="H145" s="1087">
        <v>3200</v>
      </c>
      <c r="I145" s="1322">
        <v>3200</v>
      </c>
      <c r="J145" s="1322">
        <v>3200</v>
      </c>
      <c r="K145" s="1071">
        <v>3200</v>
      </c>
      <c r="L145" s="1110"/>
      <c r="M145" s="1114"/>
      <c r="N145" s="1266"/>
    </row>
    <row r="146" spans="1:14" ht="12" customHeight="1" x14ac:dyDescent="0.2">
      <c r="A146" s="1110">
        <f t="shared" si="14"/>
        <v>105</v>
      </c>
      <c r="B146" s="1111" t="s">
        <v>302</v>
      </c>
      <c r="C146" s="1141" t="s">
        <v>460</v>
      </c>
      <c r="D146" s="1115" t="s">
        <v>285</v>
      </c>
      <c r="E146" s="1084"/>
      <c r="F146" s="1084">
        <v>250</v>
      </c>
      <c r="G146" s="1085">
        <v>250</v>
      </c>
      <c r="H146" s="1087">
        <v>150</v>
      </c>
      <c r="I146" s="1322">
        <v>150</v>
      </c>
      <c r="J146" s="1322">
        <v>0</v>
      </c>
      <c r="K146" s="1071">
        <v>0</v>
      </c>
      <c r="L146" s="1110"/>
      <c r="M146" s="1114"/>
      <c r="N146" s="1266"/>
    </row>
    <row r="147" spans="1:14" ht="12" customHeight="1" x14ac:dyDescent="0.2">
      <c r="A147" s="1110">
        <f t="shared" si="14"/>
        <v>106</v>
      </c>
      <c r="B147" s="1111" t="s">
        <v>302</v>
      </c>
      <c r="C147" s="1141" t="s">
        <v>460</v>
      </c>
      <c r="D147" s="1115" t="s">
        <v>286</v>
      </c>
      <c r="E147" s="1084"/>
      <c r="F147" s="1084">
        <v>1000</v>
      </c>
      <c r="G147" s="1085">
        <v>1000</v>
      </c>
      <c r="H147" s="1087">
        <v>1000</v>
      </c>
      <c r="I147" s="1322">
        <v>800</v>
      </c>
      <c r="J147" s="1322">
        <v>500</v>
      </c>
      <c r="K147" s="1071">
        <v>1000</v>
      </c>
      <c r="L147" s="1110"/>
      <c r="M147" s="1114"/>
      <c r="N147" s="1266"/>
    </row>
    <row r="148" spans="1:14" ht="12" customHeight="1" x14ac:dyDescent="0.2">
      <c r="A148" s="1110">
        <f t="shared" si="14"/>
        <v>107</v>
      </c>
      <c r="B148" s="1111" t="s">
        <v>302</v>
      </c>
      <c r="C148" s="1141" t="s">
        <v>460</v>
      </c>
      <c r="D148" s="1115" t="s">
        <v>691</v>
      </c>
      <c r="E148" s="1084"/>
      <c r="F148" s="1084">
        <v>250</v>
      </c>
      <c r="G148" s="1085">
        <v>50</v>
      </c>
      <c r="H148" s="1087">
        <v>50</v>
      </c>
      <c r="I148" s="1322">
        <v>50</v>
      </c>
      <c r="J148" s="1322">
        <v>0</v>
      </c>
      <c r="K148" s="1071">
        <v>0</v>
      </c>
      <c r="L148" s="1110"/>
      <c r="M148" s="1114"/>
      <c r="N148" s="1266"/>
    </row>
    <row r="149" spans="1:14" ht="12" customHeight="1" x14ac:dyDescent="0.2">
      <c r="A149" s="1110">
        <f t="shared" si="14"/>
        <v>108</v>
      </c>
      <c r="B149" s="1111" t="s">
        <v>302</v>
      </c>
      <c r="C149" s="1141" t="s">
        <v>460</v>
      </c>
      <c r="D149" s="1115" t="s">
        <v>287</v>
      </c>
      <c r="E149" s="1084"/>
      <c r="F149" s="1084">
        <v>1130</v>
      </c>
      <c r="G149" s="1085">
        <v>1000</v>
      </c>
      <c r="H149" s="1087">
        <v>500</v>
      </c>
      <c r="I149" s="1322">
        <v>650</v>
      </c>
      <c r="J149" s="1322">
        <v>650</v>
      </c>
      <c r="K149" s="1071">
        <v>650</v>
      </c>
      <c r="L149" s="1110"/>
      <c r="M149" s="1114"/>
      <c r="N149" s="1266"/>
    </row>
    <row r="150" spans="1:14" ht="12" customHeight="1" x14ac:dyDescent="0.2">
      <c r="A150" s="1110">
        <f t="shared" si="14"/>
        <v>109</v>
      </c>
      <c r="B150" s="1111" t="s">
        <v>302</v>
      </c>
      <c r="C150" s="1141" t="s">
        <v>460</v>
      </c>
      <c r="D150" s="1115" t="s">
        <v>347</v>
      </c>
      <c r="E150" s="1084"/>
      <c r="F150" s="1084"/>
      <c r="G150" s="1085">
        <v>-1300</v>
      </c>
      <c r="H150" s="1087"/>
      <c r="I150" s="1322"/>
      <c r="J150" s="1322"/>
      <c r="K150" s="1071"/>
      <c r="L150" s="1110"/>
      <c r="M150" s="1114"/>
      <c r="N150" s="1266"/>
    </row>
    <row r="151" spans="1:14" ht="12" customHeight="1" x14ac:dyDescent="0.2">
      <c r="A151" s="1110">
        <f t="shared" si="14"/>
        <v>110</v>
      </c>
      <c r="B151" s="1111" t="s">
        <v>270</v>
      </c>
      <c r="C151" s="1141" t="s">
        <v>544</v>
      </c>
      <c r="D151" s="1115" t="s">
        <v>551</v>
      </c>
      <c r="E151" s="1084"/>
      <c r="F151" s="1084"/>
      <c r="G151" s="1085"/>
      <c r="H151" s="1087"/>
      <c r="I151" s="1322">
        <v>200</v>
      </c>
      <c r="J151" s="1322">
        <v>0</v>
      </c>
      <c r="K151" s="1071">
        <v>0</v>
      </c>
      <c r="L151" s="1110"/>
      <c r="M151" s="1114"/>
      <c r="N151" s="1266"/>
    </row>
    <row r="152" spans="1:14" ht="12" customHeight="1" x14ac:dyDescent="0.2">
      <c r="A152" s="1110">
        <f t="shared" si="14"/>
        <v>111</v>
      </c>
      <c r="B152" s="1111" t="s">
        <v>545</v>
      </c>
      <c r="C152" s="1141" t="s">
        <v>546</v>
      </c>
      <c r="D152" s="1115" t="s">
        <v>552</v>
      </c>
      <c r="E152" s="1084"/>
      <c r="F152" s="1084"/>
      <c r="G152" s="1085"/>
      <c r="H152" s="1087"/>
      <c r="I152" s="1322">
        <v>160</v>
      </c>
      <c r="J152" s="1322">
        <v>0</v>
      </c>
      <c r="K152" s="1071">
        <v>160</v>
      </c>
      <c r="L152" s="1110"/>
      <c r="M152" s="1114"/>
      <c r="N152" s="1266"/>
    </row>
    <row r="153" spans="1:14" ht="12" customHeight="1" x14ac:dyDescent="0.2">
      <c r="A153" s="1110">
        <f t="shared" si="14"/>
        <v>112</v>
      </c>
      <c r="B153" s="1111" t="s">
        <v>547</v>
      </c>
      <c r="C153" s="1141" t="s">
        <v>548</v>
      </c>
      <c r="D153" s="1115" t="s">
        <v>553</v>
      </c>
      <c r="E153" s="1084"/>
      <c r="F153" s="1084"/>
      <c r="G153" s="1085"/>
      <c r="H153" s="1087"/>
      <c r="I153" s="1322">
        <v>1000</v>
      </c>
      <c r="J153" s="1322">
        <v>600</v>
      </c>
      <c r="K153" s="1071">
        <v>0</v>
      </c>
      <c r="L153" s="1110"/>
      <c r="M153" s="1114"/>
      <c r="N153" s="1266"/>
    </row>
    <row r="154" spans="1:14" ht="12" customHeight="1" x14ac:dyDescent="0.2">
      <c r="A154" s="1110">
        <f t="shared" si="14"/>
        <v>113</v>
      </c>
      <c r="B154" s="1111" t="s">
        <v>549</v>
      </c>
      <c r="C154" s="1141" t="s">
        <v>550</v>
      </c>
      <c r="D154" s="1115" t="s">
        <v>692</v>
      </c>
      <c r="E154" s="1084"/>
      <c r="F154" s="1084"/>
      <c r="G154" s="1085"/>
      <c r="H154" s="1087"/>
      <c r="I154" s="1322">
        <v>0</v>
      </c>
      <c r="J154" s="1322">
        <v>1500</v>
      </c>
      <c r="K154" s="1071">
        <v>0</v>
      </c>
      <c r="L154" s="1110"/>
      <c r="M154" s="1114"/>
      <c r="N154" s="1266"/>
    </row>
    <row r="155" spans="1:14" ht="12" customHeight="1" x14ac:dyDescent="0.2">
      <c r="A155" s="1110"/>
      <c r="B155" s="1111" t="s">
        <v>549</v>
      </c>
      <c r="C155" s="1141" t="s">
        <v>550</v>
      </c>
      <c r="D155" s="1115" t="s">
        <v>569</v>
      </c>
      <c r="E155" s="1084"/>
      <c r="F155" s="1084"/>
      <c r="G155" s="1085"/>
      <c r="H155" s="1087"/>
      <c r="I155" s="1322"/>
      <c r="J155" s="1322"/>
      <c r="K155" s="1071">
        <v>100</v>
      </c>
      <c r="L155" s="1110"/>
      <c r="M155" s="1114"/>
      <c r="N155" s="1266"/>
    </row>
    <row r="156" spans="1:14" ht="12" customHeight="1" x14ac:dyDescent="0.2">
      <c r="A156" s="1110">
        <f>A154+1</f>
        <v>114</v>
      </c>
      <c r="B156" s="1111" t="s">
        <v>302</v>
      </c>
      <c r="C156" s="1141" t="s">
        <v>460</v>
      </c>
      <c r="D156" s="1115" t="s">
        <v>693</v>
      </c>
      <c r="E156" s="1084"/>
      <c r="F156" s="1084"/>
      <c r="G156" s="1085"/>
      <c r="H156" s="1087">
        <v>3400</v>
      </c>
      <c r="I156" s="1322">
        <v>3500</v>
      </c>
      <c r="J156" s="1322">
        <v>3500</v>
      </c>
      <c r="K156" s="1071">
        <v>3800</v>
      </c>
      <c r="L156" s="1110"/>
      <c r="M156" s="1114"/>
      <c r="N156" s="1204"/>
    </row>
    <row r="157" spans="1:14" ht="12" customHeight="1" x14ac:dyDescent="0.2">
      <c r="A157" s="1145"/>
      <c r="B157" s="1146"/>
      <c r="C157" s="1147"/>
      <c r="D157" s="1148" t="s">
        <v>77</v>
      </c>
      <c r="E157" s="1137">
        <v>13383</v>
      </c>
      <c r="F157" s="1137">
        <f t="shared" ref="F157:K157" si="15">SUM(F135:F156)</f>
        <v>29930</v>
      </c>
      <c r="G157" s="1162">
        <f t="shared" si="15"/>
        <v>32405</v>
      </c>
      <c r="H157" s="1139">
        <f t="shared" si="15"/>
        <v>37665</v>
      </c>
      <c r="I157" s="1299">
        <f t="shared" si="15"/>
        <v>37655</v>
      </c>
      <c r="J157" s="1299">
        <f t="shared" si="15"/>
        <v>39070</v>
      </c>
      <c r="K157" s="1162">
        <f t="shared" si="15"/>
        <v>29700</v>
      </c>
      <c r="L157" s="1152"/>
      <c r="M157" s="1163"/>
      <c r="N157" s="1266"/>
    </row>
    <row r="158" spans="1:14" ht="12" customHeight="1" x14ac:dyDescent="0.2">
      <c r="A158" s="1110">
        <f>A156+1</f>
        <v>115</v>
      </c>
      <c r="B158" s="1111" t="s">
        <v>302</v>
      </c>
      <c r="C158" s="1141" t="s">
        <v>462</v>
      </c>
      <c r="D158" s="1068" t="s">
        <v>353</v>
      </c>
      <c r="E158" s="1164">
        <v>0</v>
      </c>
      <c r="F158" s="1164">
        <v>300</v>
      </c>
      <c r="G158" s="1070">
        <v>200</v>
      </c>
      <c r="H158" s="1087">
        <v>200</v>
      </c>
      <c r="I158" s="1322">
        <v>230</v>
      </c>
      <c r="J158" s="1322">
        <v>0</v>
      </c>
      <c r="K158" s="1086">
        <v>0</v>
      </c>
      <c r="L158" s="1110"/>
      <c r="M158" s="1114"/>
      <c r="N158" s="1264"/>
    </row>
    <row r="159" spans="1:14" s="1206" customFormat="1" ht="12" customHeight="1" thickBot="1" x14ac:dyDescent="0.25">
      <c r="A159" s="1145"/>
      <c r="B159" s="1146"/>
      <c r="C159" s="1147"/>
      <c r="D159" s="1148" t="s">
        <v>354</v>
      </c>
      <c r="E159" s="1137">
        <f t="shared" ref="E159:K159" si="16">E158</f>
        <v>0</v>
      </c>
      <c r="F159" s="1137">
        <f t="shared" si="16"/>
        <v>300</v>
      </c>
      <c r="G159" s="1162">
        <f t="shared" si="16"/>
        <v>200</v>
      </c>
      <c r="H159" s="1139">
        <f t="shared" si="16"/>
        <v>200</v>
      </c>
      <c r="I159" s="1299">
        <f t="shared" si="16"/>
        <v>230</v>
      </c>
      <c r="J159" s="1299">
        <f t="shared" si="16"/>
        <v>0</v>
      </c>
      <c r="K159" s="1162">
        <f t="shared" si="16"/>
        <v>0</v>
      </c>
      <c r="L159" s="1152"/>
      <c r="M159" s="1163"/>
      <c r="N159" s="1266"/>
    </row>
    <row r="160" spans="1:14" ht="12" customHeight="1" thickBot="1" x14ac:dyDescent="0.25">
      <c r="A160" s="1101" t="s">
        <v>453</v>
      </c>
      <c r="B160" s="1102" t="s">
        <v>270</v>
      </c>
      <c r="C160" s="1103" t="s">
        <v>16</v>
      </c>
      <c r="D160" s="1176" t="s">
        <v>527</v>
      </c>
      <c r="E160" s="1177">
        <f t="shared" ref="E160:K160" si="17">SUM(E161:E172)</f>
        <v>185221</v>
      </c>
      <c r="F160" s="1177">
        <f t="shared" si="17"/>
        <v>189078</v>
      </c>
      <c r="G160" s="1178">
        <f t="shared" si="17"/>
        <v>202047</v>
      </c>
      <c r="H160" s="1179">
        <f t="shared" si="17"/>
        <v>211471</v>
      </c>
      <c r="I160" s="1300">
        <f t="shared" si="17"/>
        <v>210974</v>
      </c>
      <c r="J160" s="1300">
        <f t="shared" si="17"/>
        <v>215300</v>
      </c>
      <c r="K160" s="1178">
        <f t="shared" si="17"/>
        <v>238774</v>
      </c>
      <c r="L160" s="1181"/>
      <c r="M160" s="1180"/>
      <c r="N160" s="1281">
        <v>1</v>
      </c>
    </row>
    <row r="161" spans="1:14" ht="12" customHeight="1" x14ac:dyDescent="0.2">
      <c r="A161" s="1110">
        <f>A158+1</f>
        <v>116</v>
      </c>
      <c r="B161" s="1182" t="s">
        <v>270</v>
      </c>
      <c r="C161" s="1183" t="s">
        <v>454</v>
      </c>
      <c r="D161" s="1157" t="s">
        <v>666</v>
      </c>
      <c r="E161" s="1184"/>
      <c r="F161" s="1184"/>
      <c r="G161" s="1185"/>
      <c r="H161" s="1335"/>
      <c r="I161" s="1336"/>
      <c r="J161" s="1336"/>
      <c r="K161" s="1186"/>
      <c r="L161" s="1187"/>
      <c r="M161" s="1072"/>
      <c r="N161" s="1282"/>
    </row>
    <row r="162" spans="1:14" ht="12" customHeight="1" x14ac:dyDescent="0.2">
      <c r="A162" s="1188">
        <f>A161+1</f>
        <v>117</v>
      </c>
      <c r="B162" s="1182" t="s">
        <v>270</v>
      </c>
      <c r="C162" s="1141" t="s">
        <v>463</v>
      </c>
      <c r="D162" s="1157" t="s">
        <v>473</v>
      </c>
      <c r="E162" s="1184"/>
      <c r="F162" s="1184"/>
      <c r="G162" s="1185"/>
      <c r="H162" s="1335"/>
      <c r="I162" s="1336"/>
      <c r="J162" s="1336"/>
      <c r="K162" s="1186"/>
      <c r="L162" s="1187"/>
      <c r="M162" s="1072"/>
      <c r="N162" s="1282"/>
    </row>
    <row r="163" spans="1:14" ht="12" customHeight="1" x14ac:dyDescent="0.2">
      <c r="A163" s="1188">
        <f t="shared" ref="A163:A172" si="18">A162+1</f>
        <v>118</v>
      </c>
      <c r="B163" s="1182" t="s">
        <v>270</v>
      </c>
      <c r="C163" s="1141" t="s">
        <v>455</v>
      </c>
      <c r="D163" s="1157" t="s">
        <v>474</v>
      </c>
      <c r="E163" s="1184"/>
      <c r="F163" s="1184"/>
      <c r="G163" s="1185"/>
      <c r="H163" s="1335"/>
      <c r="I163" s="1336"/>
      <c r="J163" s="1336"/>
      <c r="K163" s="1186"/>
      <c r="L163" s="1187"/>
      <c r="M163" s="1072"/>
      <c r="N163" s="1282"/>
    </row>
    <row r="164" spans="1:14" ht="12" customHeight="1" x14ac:dyDescent="0.2">
      <c r="A164" s="1188">
        <f t="shared" si="18"/>
        <v>119</v>
      </c>
      <c r="B164" s="1189" t="s">
        <v>270</v>
      </c>
      <c r="C164" s="1166" t="s">
        <v>464</v>
      </c>
      <c r="D164" s="1115" t="s">
        <v>475</v>
      </c>
      <c r="E164" s="1190"/>
      <c r="F164" s="1190"/>
      <c r="G164" s="1191"/>
      <c r="H164" s="1073"/>
      <c r="I164" s="1321"/>
      <c r="J164" s="1321"/>
      <c r="K164" s="1192"/>
      <c r="L164" s="1193"/>
      <c r="M164" s="1072"/>
      <c r="N164" s="1282"/>
    </row>
    <row r="165" spans="1:14" ht="12" customHeight="1" x14ac:dyDescent="0.2">
      <c r="A165" s="1188">
        <f t="shared" si="18"/>
        <v>120</v>
      </c>
      <c r="B165" s="1189" t="s">
        <v>270</v>
      </c>
      <c r="C165" s="1194" t="s">
        <v>456</v>
      </c>
      <c r="D165" s="1115" t="s">
        <v>472</v>
      </c>
      <c r="E165" s="1076">
        <v>7340</v>
      </c>
      <c r="F165" s="1076">
        <v>8006</v>
      </c>
      <c r="G165" s="1077">
        <v>6700</v>
      </c>
      <c r="H165" s="1073">
        <v>6700</v>
      </c>
      <c r="I165" s="1321">
        <v>6700</v>
      </c>
      <c r="J165" s="1321">
        <v>4559</v>
      </c>
      <c r="K165" s="1071">
        <v>6500</v>
      </c>
      <c r="L165" s="1195"/>
      <c r="M165" s="1072"/>
      <c r="N165" s="1281">
        <f>I165/G165-1</f>
        <v>0</v>
      </c>
    </row>
    <row r="166" spans="1:14" ht="12" customHeight="1" x14ac:dyDescent="0.2">
      <c r="A166" s="1188">
        <f t="shared" si="18"/>
        <v>121</v>
      </c>
      <c r="B166" s="1189" t="s">
        <v>270</v>
      </c>
      <c r="C166" s="1141" t="s">
        <v>457</v>
      </c>
      <c r="D166" s="1115" t="s">
        <v>476</v>
      </c>
      <c r="E166" s="1076">
        <v>1687</v>
      </c>
      <c r="F166" s="1076">
        <v>1300</v>
      </c>
      <c r="G166" s="1070">
        <v>1300</v>
      </c>
      <c r="H166" s="1073">
        <v>3000</v>
      </c>
      <c r="I166" s="1321">
        <v>3000</v>
      </c>
      <c r="J166" s="1321">
        <v>3000</v>
      </c>
      <c r="K166" s="1071">
        <v>3000</v>
      </c>
      <c r="L166" s="1195"/>
      <c r="M166" s="1072"/>
      <c r="N166" s="1281">
        <f>I166/G166-1</f>
        <v>1.3076923076923075</v>
      </c>
    </row>
    <row r="167" spans="1:14" ht="12" customHeight="1" x14ac:dyDescent="0.2">
      <c r="A167" s="1188">
        <f t="shared" si="18"/>
        <v>122</v>
      </c>
      <c r="B167" s="1189" t="s">
        <v>270</v>
      </c>
      <c r="C167" s="1194" t="s">
        <v>458</v>
      </c>
      <c r="D167" s="1115" t="s">
        <v>477</v>
      </c>
      <c r="E167" s="1076"/>
      <c r="F167" s="1076"/>
      <c r="G167" s="1077"/>
      <c r="H167" s="1073"/>
      <c r="I167" s="1321"/>
      <c r="J167" s="1321"/>
      <c r="K167" s="1071"/>
      <c r="L167" s="1193"/>
      <c r="M167" s="1072"/>
      <c r="N167" s="1282"/>
    </row>
    <row r="168" spans="1:14" ht="12" customHeight="1" x14ac:dyDescent="0.2">
      <c r="A168" s="1188">
        <f t="shared" si="18"/>
        <v>123</v>
      </c>
      <c r="B168" s="1189" t="s">
        <v>270</v>
      </c>
      <c r="C168" s="1194" t="s">
        <v>459</v>
      </c>
      <c r="D168" s="1115" t="s">
        <v>478</v>
      </c>
      <c r="E168" s="1076">
        <v>2700</v>
      </c>
      <c r="F168" s="1076">
        <v>800</v>
      </c>
      <c r="G168" s="1077">
        <v>800</v>
      </c>
      <c r="H168" s="1073">
        <f>7724</f>
        <v>7724</v>
      </c>
      <c r="I168" s="1321">
        <f>7724</f>
        <v>7724</v>
      </c>
      <c r="J168" s="1321">
        <v>7724</v>
      </c>
      <c r="K168" s="1071">
        <v>8000</v>
      </c>
      <c r="L168" s="1193"/>
      <c r="M168" s="1072"/>
      <c r="N168" s="1281">
        <f>I168/G168-1</f>
        <v>8.6549999999999994</v>
      </c>
    </row>
    <row r="169" spans="1:14" ht="12" customHeight="1" x14ac:dyDescent="0.2">
      <c r="A169" s="1188">
        <f t="shared" si="18"/>
        <v>124</v>
      </c>
      <c r="B169" s="1189" t="s">
        <v>270</v>
      </c>
      <c r="C169" s="1141" t="s">
        <v>460</v>
      </c>
      <c r="D169" s="1115" t="s">
        <v>479</v>
      </c>
      <c r="E169" s="1076">
        <v>93350</v>
      </c>
      <c r="F169" s="1076">
        <v>96197</v>
      </c>
      <c r="G169" s="1070">
        <v>96197</v>
      </c>
      <c r="H169" s="1073">
        <v>96997</v>
      </c>
      <c r="I169" s="1321">
        <v>96500</v>
      </c>
      <c r="J169" s="1321">
        <v>96197</v>
      </c>
      <c r="K169" s="1071">
        <v>105817</v>
      </c>
      <c r="L169" s="1193"/>
      <c r="M169" s="1072"/>
      <c r="N169" s="1281">
        <f>I169/G169-1</f>
        <v>3.149786375874486E-3</v>
      </c>
    </row>
    <row r="170" spans="1:14" ht="12" customHeight="1" x14ac:dyDescent="0.2">
      <c r="A170" s="1188">
        <f t="shared" si="18"/>
        <v>125</v>
      </c>
      <c r="B170" s="1189" t="s">
        <v>270</v>
      </c>
      <c r="C170" s="1194" t="s">
        <v>461</v>
      </c>
      <c r="D170" s="1115" t="s">
        <v>480</v>
      </c>
      <c r="E170" s="1076"/>
      <c r="F170" s="1076"/>
      <c r="G170" s="1077"/>
      <c r="H170" s="1073"/>
      <c r="I170" s="1321"/>
      <c r="J170" s="1321"/>
      <c r="K170" s="1071"/>
      <c r="L170" s="1193"/>
      <c r="M170" s="1072"/>
      <c r="N170" s="1282"/>
    </row>
    <row r="171" spans="1:14" ht="12" customHeight="1" x14ac:dyDescent="0.2">
      <c r="A171" s="1188">
        <f t="shared" si="18"/>
        <v>126</v>
      </c>
      <c r="B171" s="1189" t="s">
        <v>270</v>
      </c>
      <c r="C171" s="1141" t="s">
        <v>462</v>
      </c>
      <c r="D171" s="1115" t="s">
        <v>481</v>
      </c>
      <c r="E171" s="1076">
        <v>7278</v>
      </c>
      <c r="F171" s="1076">
        <v>8000</v>
      </c>
      <c r="G171" s="1070">
        <v>9450</v>
      </c>
      <c r="H171" s="1073">
        <f>G171*$N$160</f>
        <v>9450</v>
      </c>
      <c r="I171" s="1321">
        <f>H171*$N$160</f>
        <v>9450</v>
      </c>
      <c r="J171" s="1321">
        <v>9450</v>
      </c>
      <c r="K171" s="1071">
        <v>11650</v>
      </c>
      <c r="L171" s="1195"/>
      <c r="M171" s="1072"/>
      <c r="N171" s="1281">
        <f>I171/G171-1</f>
        <v>0</v>
      </c>
    </row>
    <row r="172" spans="1:14" ht="12" customHeight="1" thickBot="1" x14ac:dyDescent="0.25">
      <c r="A172" s="1188">
        <f t="shared" si="18"/>
        <v>127</v>
      </c>
      <c r="B172" s="1197" t="s">
        <v>270</v>
      </c>
      <c r="C172" s="1198" t="s">
        <v>452</v>
      </c>
      <c r="D172" s="1199" t="s">
        <v>482</v>
      </c>
      <c r="E172" s="1200">
        <v>72866</v>
      </c>
      <c r="F172" s="1200">
        <v>74775</v>
      </c>
      <c r="G172" s="1201">
        <v>87600</v>
      </c>
      <c r="H172" s="1325">
        <f>G172*$N$160</f>
        <v>87600</v>
      </c>
      <c r="I172" s="1326">
        <v>87600</v>
      </c>
      <c r="J172" s="1326">
        <v>94370</v>
      </c>
      <c r="K172" s="1071">
        <v>103807.00000000001</v>
      </c>
      <c r="L172" s="1203"/>
      <c r="M172" s="1202"/>
      <c r="N172" s="1281">
        <f>I172/G172-1</f>
        <v>0</v>
      </c>
    </row>
    <row r="173" spans="1:14" ht="12" customHeight="1" thickBot="1" x14ac:dyDescent="0.25">
      <c r="A173" s="1208"/>
      <c r="B173" s="1208"/>
      <c r="C173" s="1209"/>
      <c r="D173" s="1210"/>
      <c r="E173" s="1211"/>
      <c r="F173" s="1211"/>
      <c r="G173" s="1211"/>
      <c r="H173" s="1211"/>
      <c r="I173" s="1211"/>
      <c r="J173" s="1211"/>
      <c r="K173" s="1211"/>
      <c r="L173" s="1212"/>
      <c r="M173" s="1213"/>
      <c r="N173" s="1196"/>
    </row>
    <row r="174" spans="1:14" ht="12" customHeight="1" thickBot="1" x14ac:dyDescent="0.25">
      <c r="A174" s="1271"/>
      <c r="B174" s="1272"/>
      <c r="C174" s="1273" t="s">
        <v>16</v>
      </c>
      <c r="D174" s="1273" t="s">
        <v>511</v>
      </c>
      <c r="E174" s="1256">
        <f t="shared" ref="E174:K174" si="19">E27+E6</f>
        <v>382602</v>
      </c>
      <c r="F174" s="1256">
        <f t="shared" si="19"/>
        <v>365803</v>
      </c>
      <c r="G174" s="1256">
        <f t="shared" si="19"/>
        <v>343940</v>
      </c>
      <c r="H174" s="1256">
        <f t="shared" si="19"/>
        <v>344243</v>
      </c>
      <c r="I174" s="1256">
        <f t="shared" si="19"/>
        <v>287888</v>
      </c>
      <c r="J174" s="1256">
        <f t="shared" si="19"/>
        <v>293158</v>
      </c>
      <c r="K174" s="1303">
        <f t="shared" si="19"/>
        <v>334062.25</v>
      </c>
      <c r="L174" s="1215"/>
      <c r="M174" s="1018"/>
      <c r="N174" s="1018"/>
    </row>
    <row r="175" spans="1:14" ht="12" customHeight="1" thickBot="1" x14ac:dyDescent="0.25">
      <c r="A175" s="1217"/>
      <c r="B175" s="1217"/>
      <c r="C175" s="1218"/>
      <c r="D175" s="1219"/>
      <c r="E175" s="1220"/>
      <c r="F175" s="1220"/>
      <c r="G175" s="1220"/>
      <c r="H175" s="1220"/>
      <c r="I175" s="1220"/>
      <c r="J175" s="1220"/>
      <c r="K175" s="1220"/>
      <c r="L175" s="1215"/>
      <c r="M175" s="1018"/>
      <c r="N175" s="1018"/>
    </row>
    <row r="176" spans="1:14" ht="12" customHeight="1" thickBot="1" x14ac:dyDescent="0.25">
      <c r="A176" s="1271"/>
      <c r="B176" s="1272"/>
      <c r="C176" s="1273" t="s">
        <v>16</v>
      </c>
      <c r="D176" s="1273" t="s">
        <v>185</v>
      </c>
      <c r="E176" s="1214">
        <f t="shared" ref="E176:K176" si="20">E160+E27</f>
        <v>322136</v>
      </c>
      <c r="F176" s="1214">
        <f t="shared" si="20"/>
        <v>345916</v>
      </c>
      <c r="G176" s="1214">
        <f t="shared" si="20"/>
        <v>360977</v>
      </c>
      <c r="H176" s="1214">
        <f t="shared" si="20"/>
        <v>402820</v>
      </c>
      <c r="I176" s="1256">
        <f t="shared" si="20"/>
        <v>403806</v>
      </c>
      <c r="J176" s="1256">
        <f t="shared" si="20"/>
        <v>417126</v>
      </c>
      <c r="K176" s="1303">
        <f t="shared" si="20"/>
        <v>449006.25</v>
      </c>
      <c r="L176" s="1215"/>
      <c r="M176" s="1018"/>
      <c r="N176" s="1018"/>
    </row>
    <row r="177" spans="1:14" ht="12" customHeight="1" thickBot="1" x14ac:dyDescent="0.25">
      <c r="A177" s="1217"/>
      <c r="B177" s="1217"/>
      <c r="C177" s="1218"/>
      <c r="D177" s="1219"/>
      <c r="E177" s="1220"/>
      <c r="F177" s="1220"/>
      <c r="G177" s="1220"/>
      <c r="H177" s="1220"/>
      <c r="I177" s="1220"/>
      <c r="J177" s="1220"/>
      <c r="K177" s="1220"/>
      <c r="L177" s="1215"/>
      <c r="M177" s="1018"/>
      <c r="N177" s="1018"/>
    </row>
    <row r="178" spans="1:14" ht="12" customHeight="1" thickBot="1" x14ac:dyDescent="0.25">
      <c r="A178" s="1271"/>
      <c r="B178" s="1272"/>
      <c r="C178" s="1273" t="s">
        <v>16</v>
      </c>
      <c r="D178" s="1273" t="s">
        <v>186</v>
      </c>
      <c r="E178" s="1214">
        <f t="shared" ref="E178:K178" si="21">E6+E27+E160</f>
        <v>567823</v>
      </c>
      <c r="F178" s="1214">
        <f t="shared" si="21"/>
        <v>554881</v>
      </c>
      <c r="G178" s="1214">
        <f t="shared" si="21"/>
        <v>545987</v>
      </c>
      <c r="H178" s="1214">
        <f t="shared" si="21"/>
        <v>555714</v>
      </c>
      <c r="I178" s="1256">
        <f t="shared" si="21"/>
        <v>498862</v>
      </c>
      <c r="J178" s="1256">
        <f t="shared" si="21"/>
        <v>508458</v>
      </c>
      <c r="K178" s="1303">
        <f t="shared" si="21"/>
        <v>572836.25</v>
      </c>
      <c r="L178" s="1215"/>
      <c r="M178" s="1018"/>
      <c r="N178" s="1018"/>
    </row>
    <row r="179" spans="1:14" ht="12" customHeight="1" x14ac:dyDescent="0.2">
      <c r="A179" s="1221"/>
      <c r="B179" s="1221"/>
      <c r="C179" s="1222"/>
      <c r="D179" s="1223" t="s">
        <v>449</v>
      </c>
      <c r="E179" s="1224"/>
      <c r="F179" s="1224">
        <f>F178/E178-100%</f>
        <v>-2.2792313802012298E-2</v>
      </c>
      <c r="G179" s="1224">
        <f>G178/F178-100%</f>
        <v>-1.6028662001402072E-2</v>
      </c>
      <c r="I179" s="1224">
        <f>I178/H178-100%</f>
        <v>-0.1023044227786235</v>
      </c>
      <c r="J179" s="1224">
        <f>J178/I178-100%</f>
        <v>1.923578063672915E-2</v>
      </c>
      <c r="K179" s="1224">
        <f>K178/I178-100%</f>
        <v>0.14828599893357275</v>
      </c>
      <c r="L179" s="1215"/>
      <c r="M179" s="1216"/>
    </row>
    <row r="180" spans="1:14" s="1031" customFormat="1" ht="12" customHeight="1" x14ac:dyDescent="0.2">
      <c r="A180" s="1221"/>
      <c r="B180" s="1221"/>
      <c r="C180" s="1222"/>
      <c r="D180" s="1226"/>
      <c r="E180" s="1227"/>
      <c r="F180" s="1227">
        <f>F178-E178</f>
        <v>-12942</v>
      </c>
      <c r="G180" s="1227">
        <f>G178-F178</f>
        <v>-8894</v>
      </c>
      <c r="H180" s="1228"/>
      <c r="I180" s="1227">
        <f>I178-H178</f>
        <v>-56852</v>
      </c>
      <c r="J180" s="1227">
        <f>J178-I178</f>
        <v>9596</v>
      </c>
      <c r="K180" s="1227">
        <f>K178-I178</f>
        <v>73974.25</v>
      </c>
      <c r="L180" s="1221"/>
      <c r="M180" s="1229"/>
      <c r="N180" s="1023"/>
    </row>
    <row r="181" spans="1:14" ht="12" customHeight="1" thickBot="1" x14ac:dyDescent="0.25">
      <c r="A181" s="1221"/>
      <c r="B181" s="1230" t="s">
        <v>499</v>
      </c>
      <c r="C181" s="1222"/>
      <c r="D181" s="1231"/>
      <c r="H181" s="1220"/>
      <c r="I181" s="1220"/>
      <c r="J181" s="1220"/>
      <c r="K181" s="1220"/>
      <c r="L181" s="1221"/>
      <c r="M181" s="1229"/>
    </row>
    <row r="182" spans="1:14" ht="12" customHeight="1" thickBot="1" x14ac:dyDescent="0.25">
      <c r="A182" s="1232"/>
      <c r="B182" s="1233"/>
      <c r="C182" s="1234"/>
      <c r="D182" s="1235" t="s">
        <v>485</v>
      </c>
      <c r="E182" s="1236">
        <f t="shared" ref="E182:K182" si="22">SUBTOTAL(9,E8:E11,E12,E14:E25)</f>
        <v>244687</v>
      </c>
      <c r="F182" s="1236">
        <f t="shared" si="22"/>
        <v>208965</v>
      </c>
      <c r="G182" s="1236">
        <f t="shared" si="22"/>
        <v>185010</v>
      </c>
      <c r="H182" s="1237">
        <f t="shared" si="22"/>
        <v>149294</v>
      </c>
      <c r="I182" s="1304">
        <f t="shared" si="22"/>
        <v>95056</v>
      </c>
      <c r="J182" s="1304">
        <f t="shared" ref="J182" si="23">SUBTOTAL(9,J8:J11,J12,J14:J25)</f>
        <v>91332</v>
      </c>
      <c r="K182" s="1238">
        <f t="shared" si="22"/>
        <v>123830</v>
      </c>
      <c r="L182" s="1215"/>
      <c r="M182" s="1216"/>
      <c r="N182" s="1196"/>
    </row>
    <row r="183" spans="1:14" ht="12" customHeight="1" thickBot="1" x14ac:dyDescent="0.25">
      <c r="A183" s="1232"/>
      <c r="B183" s="1233"/>
      <c r="C183" s="1234"/>
      <c r="D183" s="1235" t="s">
        <v>483</v>
      </c>
      <c r="E183" s="1236">
        <f t="shared" ref="E183:K183" si="24">SUBTOTAL(9,E28:E92,E94:E96,E98:E99,E101:E103,E105:E106,E108:E110,E112,E114:E115,E117:E118,E120,E122:E127,E129,E131,E133,E135:E156,E158)</f>
        <v>123532</v>
      </c>
      <c r="F183" s="1236">
        <f t="shared" si="24"/>
        <v>145472</v>
      </c>
      <c r="G183" s="1236">
        <f t="shared" si="24"/>
        <v>158930</v>
      </c>
      <c r="H183" s="1237">
        <f t="shared" si="24"/>
        <v>191349</v>
      </c>
      <c r="I183" s="1316">
        <f t="shared" si="24"/>
        <v>192832</v>
      </c>
      <c r="J183" s="1316">
        <f t="shared" ref="J183" si="25">SUBTOTAL(9,J28:J92,J94:J96,J98:J99,J101:J103,J105:J106,J108:J110,J112,J114:J115,J117:J118,J120,J122:J127,J129,J131,J133,J135:J156,J158)</f>
        <v>201826</v>
      </c>
      <c r="K183" s="1238">
        <f t="shared" si="24"/>
        <v>210232.25</v>
      </c>
      <c r="L183" s="1215"/>
      <c r="M183" s="1216"/>
      <c r="N183" s="1196"/>
    </row>
    <row r="184" spans="1:14" ht="12" customHeight="1" thickBot="1" x14ac:dyDescent="0.25">
      <c r="A184" s="1232"/>
      <c r="B184" s="1233"/>
      <c r="C184" s="1234"/>
      <c r="D184" s="1235" t="s">
        <v>484</v>
      </c>
      <c r="E184" s="1236">
        <f t="shared" ref="E184:K184" si="26">SUBTOTAL(9,E161:E172)</f>
        <v>185221</v>
      </c>
      <c r="F184" s="1236">
        <f t="shared" si="26"/>
        <v>189078</v>
      </c>
      <c r="G184" s="1236">
        <f t="shared" si="26"/>
        <v>202047</v>
      </c>
      <c r="H184" s="1237">
        <f t="shared" si="26"/>
        <v>211471</v>
      </c>
      <c r="I184" s="1304">
        <f t="shared" si="26"/>
        <v>210974</v>
      </c>
      <c r="J184" s="1304">
        <f t="shared" ref="J184" si="27">SUBTOTAL(9,J161:J172)</f>
        <v>215300</v>
      </c>
      <c r="K184" s="1238">
        <f t="shared" si="26"/>
        <v>238774</v>
      </c>
      <c r="L184" s="1215"/>
      <c r="M184" s="1216"/>
      <c r="N184" s="1196"/>
    </row>
    <row r="185" spans="1:14" ht="12" customHeight="1" thickBot="1" x14ac:dyDescent="0.25">
      <c r="A185" s="1239"/>
      <c r="B185" s="1240"/>
      <c r="C185" s="1241"/>
      <c r="D185" s="1242" t="s">
        <v>498</v>
      </c>
      <c r="E185" s="1243">
        <f t="shared" ref="E185:K185" si="28">E182+E183+E184</f>
        <v>553440</v>
      </c>
      <c r="F185" s="1243">
        <f t="shared" si="28"/>
        <v>543515</v>
      </c>
      <c r="G185" s="1243">
        <f t="shared" si="28"/>
        <v>545987</v>
      </c>
      <c r="H185" s="1244">
        <f t="shared" si="28"/>
        <v>552114</v>
      </c>
      <c r="I185" s="1305">
        <f t="shared" si="28"/>
        <v>498862</v>
      </c>
      <c r="J185" s="1305">
        <f t="shared" ref="J185" si="29">J182+J183+J184</f>
        <v>508458</v>
      </c>
      <c r="K185" s="1245">
        <f t="shared" si="28"/>
        <v>572836.25</v>
      </c>
      <c r="L185" s="1221"/>
      <c r="M185" s="1229"/>
    </row>
    <row r="186" spans="1:14" ht="12" customHeight="1" x14ac:dyDescent="0.2">
      <c r="A186" s="1221"/>
      <c r="B186" s="1221"/>
      <c r="C186" s="1222"/>
      <c r="E186" s="1246"/>
      <c r="F186" s="1246" t="s">
        <v>270</v>
      </c>
      <c r="G186" s="1220">
        <v>74775</v>
      </c>
      <c r="H186" s="1220">
        <v>74775</v>
      </c>
      <c r="I186" s="1220"/>
      <c r="J186" s="1220"/>
      <c r="K186" s="1220"/>
      <c r="L186" s="1221"/>
      <c r="M186" s="1229"/>
    </row>
    <row r="187" spans="1:14" ht="12" customHeight="1" x14ac:dyDescent="0.2">
      <c r="A187" s="1221"/>
      <c r="B187" s="1221"/>
      <c r="C187" s="1222"/>
      <c r="E187" s="1246"/>
      <c r="F187" s="1246" t="s">
        <v>358</v>
      </c>
      <c r="G187" s="1220">
        <v>12825</v>
      </c>
      <c r="H187" s="1220">
        <v>21100</v>
      </c>
      <c r="I187" s="1220"/>
      <c r="J187" s="1220"/>
      <c r="K187" s="1220"/>
      <c r="L187" s="1221"/>
      <c r="M187" s="1229"/>
    </row>
    <row r="188" spans="1:14" ht="12" customHeight="1" x14ac:dyDescent="0.2">
      <c r="A188" s="1221"/>
      <c r="B188" s="1221"/>
      <c r="C188" s="1222"/>
      <c r="D188" s="1231"/>
      <c r="E188" s="1231"/>
      <c r="F188" s="1231"/>
      <c r="G188" s="1248">
        <f>SUM(G186:G187)</f>
        <v>87600</v>
      </c>
      <c r="H188" s="1248">
        <f>SUM(H186:H187)</f>
        <v>95875</v>
      </c>
      <c r="I188" s="1220"/>
      <c r="J188" s="1220"/>
      <c r="K188" s="1220"/>
      <c r="L188" s="1221"/>
      <c r="M188" s="1229"/>
    </row>
    <row r="189" spans="1:14" ht="12" customHeight="1" x14ac:dyDescent="0.2">
      <c r="A189" s="1221"/>
      <c r="B189" s="1221"/>
      <c r="C189" s="1222"/>
      <c r="D189" s="1249"/>
      <c r="E189" s="1247"/>
      <c r="F189" s="1247"/>
      <c r="G189" s="1247"/>
      <c r="H189" s="1247"/>
      <c r="I189" s="1220"/>
      <c r="J189" s="1220"/>
      <c r="K189" s="1220"/>
      <c r="L189" s="1221"/>
      <c r="M189" s="1229"/>
    </row>
    <row r="190" spans="1:14" ht="12" customHeight="1" x14ac:dyDescent="0.2">
      <c r="A190" s="1221"/>
      <c r="B190" s="1221"/>
      <c r="C190" s="1222"/>
      <c r="D190" s="1231"/>
      <c r="E190" s="1247"/>
      <c r="F190" s="1247"/>
      <c r="G190" s="1247"/>
      <c r="H190" s="1247"/>
      <c r="I190" s="1247"/>
      <c r="J190" s="1247"/>
      <c r="K190" s="1247"/>
      <c r="L190" s="1221"/>
      <c r="M190" s="1229"/>
    </row>
    <row r="191" spans="1:14" ht="12" customHeight="1" x14ac:dyDescent="0.2">
      <c r="A191" s="1249"/>
      <c r="B191" s="1249"/>
      <c r="C191" s="1250"/>
      <c r="D191" s="1251"/>
      <c r="E191" s="1247"/>
      <c r="F191" s="1247"/>
      <c r="G191" s="1247"/>
      <c r="H191" s="1247"/>
      <c r="I191" s="1247"/>
      <c r="J191" s="1247"/>
      <c r="K191" s="1247"/>
      <c r="L191" s="1221"/>
      <c r="M191" s="1252"/>
    </row>
    <row r="192" spans="1:14" ht="12" customHeight="1" x14ac:dyDescent="0.2">
      <c r="A192" s="1221"/>
      <c r="B192" s="1221"/>
      <c r="C192" s="1222"/>
      <c r="D192" s="1231"/>
      <c r="E192" s="1247"/>
      <c r="F192" s="1247"/>
      <c r="G192" s="1247"/>
      <c r="H192" s="1247"/>
      <c r="I192" s="1247"/>
      <c r="J192" s="1247"/>
      <c r="K192" s="1247"/>
      <c r="L192" s="1221"/>
      <c r="M192" s="1229"/>
    </row>
    <row r="193" spans="1:14" ht="12" customHeight="1" x14ac:dyDescent="0.2">
      <c r="A193" s="1221"/>
      <c r="B193" s="1221"/>
      <c r="C193" s="1222"/>
      <c r="D193" s="1231"/>
      <c r="E193" s="1247"/>
      <c r="F193" s="1247"/>
      <c r="G193" s="1247"/>
      <c r="H193" s="1247"/>
      <c r="I193" s="1247"/>
      <c r="J193" s="1247"/>
      <c r="K193" s="1247"/>
      <c r="L193" s="1221"/>
      <c r="M193" s="1229"/>
    </row>
    <row r="194" spans="1:14" ht="12" customHeight="1" x14ac:dyDescent="0.2">
      <c r="A194" s="1221"/>
      <c r="B194" s="1221"/>
      <c r="C194" s="1222"/>
      <c r="D194" s="1231"/>
      <c r="E194" s="1247"/>
      <c r="F194" s="1247"/>
      <c r="G194" s="1247"/>
      <c r="H194" s="1247"/>
      <c r="I194" s="1247"/>
      <c r="J194" s="1247"/>
      <c r="K194" s="1247"/>
      <c r="L194" s="1221"/>
      <c r="M194" s="1229"/>
      <c r="N194" s="1253"/>
    </row>
    <row r="195" spans="1:14" ht="12" customHeight="1" x14ac:dyDescent="0.2">
      <c r="A195" s="1221"/>
      <c r="B195" s="1221"/>
      <c r="C195" s="1222"/>
      <c r="D195" s="1231"/>
      <c r="E195" s="1247"/>
      <c r="F195" s="1247"/>
      <c r="G195" s="1247"/>
      <c r="H195" s="1247"/>
      <c r="I195" s="1247"/>
      <c r="J195" s="1247"/>
      <c r="K195" s="1247"/>
      <c r="L195" s="1221"/>
      <c r="M195" s="1229"/>
      <c r="N195" s="1253"/>
    </row>
    <row r="196" spans="1:14" ht="12" customHeight="1" x14ac:dyDescent="0.2">
      <c r="E196" s="1254"/>
      <c r="F196" s="1254"/>
      <c r="G196" s="1254"/>
      <c r="H196" s="1254"/>
      <c r="I196" s="1254"/>
      <c r="J196" s="1254"/>
      <c r="K196" s="1254"/>
      <c r="N196" s="1253"/>
    </row>
    <row r="197" spans="1:14" ht="12" customHeight="1" x14ac:dyDescent="0.2">
      <c r="E197" s="1254"/>
      <c r="F197" s="1254"/>
      <c r="G197" s="1254"/>
      <c r="H197" s="1254"/>
      <c r="I197" s="1254"/>
      <c r="J197" s="1254"/>
      <c r="K197" s="1254"/>
      <c r="N197" s="1253"/>
    </row>
    <row r="198" spans="1:14" ht="12" customHeight="1" x14ac:dyDescent="0.2">
      <c r="E198" s="1254"/>
      <c r="F198" s="1254"/>
      <c r="G198" s="1254"/>
      <c r="H198" s="1254"/>
      <c r="I198" s="1254"/>
      <c r="J198" s="1254"/>
      <c r="K198" s="1254"/>
      <c r="N198" s="1253"/>
    </row>
    <row r="199" spans="1:14" s="1031" customFormat="1" ht="12" customHeight="1" x14ac:dyDescent="0.2">
      <c r="A199" s="1029"/>
      <c r="B199" s="1029"/>
      <c r="C199" s="1030"/>
      <c r="D199" s="1018"/>
      <c r="E199" s="1254"/>
      <c r="F199" s="1254"/>
      <c r="G199" s="1254"/>
      <c r="H199" s="1254"/>
      <c r="I199" s="1254"/>
      <c r="J199" s="1254"/>
      <c r="K199" s="1254"/>
      <c r="L199" s="1029"/>
      <c r="M199" s="1255"/>
      <c r="N199" s="1253"/>
    </row>
    <row r="200" spans="1:14" ht="12" customHeight="1" x14ac:dyDescent="0.2">
      <c r="N200" s="1253"/>
    </row>
    <row r="201" spans="1:14" ht="12" customHeight="1" x14ac:dyDescent="0.2">
      <c r="A201" s="1018"/>
      <c r="B201" s="1018"/>
      <c r="C201" s="1018"/>
      <c r="E201" s="1018"/>
      <c r="F201" s="1018"/>
      <c r="G201" s="1018"/>
      <c r="H201" s="1018"/>
      <c r="I201" s="1018"/>
      <c r="J201" s="1018"/>
      <c r="K201" s="1018"/>
      <c r="L201" s="1018"/>
      <c r="M201" s="1018"/>
      <c r="N201" s="1253"/>
    </row>
    <row r="202" spans="1:14" ht="12" customHeight="1" x14ac:dyDescent="0.2">
      <c r="A202" s="1018"/>
      <c r="B202" s="1018"/>
      <c r="C202" s="1018"/>
      <c r="E202" s="1018"/>
      <c r="F202" s="1018"/>
      <c r="G202" s="1018"/>
      <c r="H202" s="1018"/>
      <c r="I202" s="1018"/>
      <c r="J202" s="1018"/>
      <c r="K202" s="1018"/>
      <c r="L202" s="1018"/>
      <c r="M202" s="1018"/>
      <c r="N202" s="1253"/>
    </row>
    <row r="203" spans="1:14" ht="12" customHeight="1" x14ac:dyDescent="0.2">
      <c r="A203" s="1018"/>
      <c r="B203" s="1018"/>
      <c r="C203" s="1018"/>
      <c r="E203" s="1018"/>
      <c r="F203" s="1018"/>
      <c r="G203" s="1018"/>
      <c r="H203" s="1018"/>
      <c r="I203" s="1018"/>
      <c r="J203" s="1018"/>
      <c r="K203" s="1018"/>
      <c r="L203" s="1018"/>
      <c r="M203" s="1018"/>
      <c r="N203" s="1253"/>
    </row>
  </sheetData>
  <autoFilter ref="A5:M172"/>
  <dataConsolidate/>
  <phoneticPr fontId="2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21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L29"/>
  <sheetViews>
    <sheetView showGridLines="0" zoomScale="75" zoomScaleNormal="75" zoomScaleSheetLayoutView="75" workbookViewId="0"/>
  </sheetViews>
  <sheetFormatPr defaultColWidth="11.42578125" defaultRowHeight="33" customHeight="1" x14ac:dyDescent="0.25"/>
  <cols>
    <col min="1" max="1" width="4.5703125" style="1" customWidth="1"/>
    <col min="2" max="2" width="91.140625" style="777" customWidth="1"/>
    <col min="3" max="3" width="16.5703125" style="927" customWidth="1"/>
    <col min="4" max="12" width="11.42578125" style="2" customWidth="1"/>
    <col min="13" max="16384" width="11.42578125" style="1"/>
  </cols>
  <sheetData>
    <row r="1" spans="1:12" s="18" customFormat="1" ht="21.75" customHeight="1" x14ac:dyDescent="0.35">
      <c r="B1" s="766"/>
      <c r="C1" s="926"/>
    </row>
    <row r="2" spans="1:12" s="5" customFormat="1" ht="18.75" customHeight="1" x14ac:dyDescent="0.35">
      <c r="A2" s="10"/>
      <c r="B2" s="767"/>
      <c r="C2" s="926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27.75" customHeight="1" x14ac:dyDescent="0.35">
      <c r="A3" s="6"/>
      <c r="B3" s="768" t="s">
        <v>364</v>
      </c>
      <c r="C3" s="769">
        <v>2018</v>
      </c>
    </row>
    <row r="4" spans="1:12" s="8" customFormat="1" ht="23.25" customHeight="1" x14ac:dyDescent="0.2">
      <c r="A4" s="705"/>
      <c r="B4" s="770" t="s">
        <v>194</v>
      </c>
      <c r="C4" s="771">
        <f>SUM(C5,C18,C11,C16,C9,C13,C28)</f>
        <v>8000</v>
      </c>
      <c r="D4" s="3"/>
      <c r="E4" s="3"/>
      <c r="F4" s="3"/>
      <c r="G4" s="3"/>
      <c r="H4" s="3"/>
      <c r="I4" s="3"/>
      <c r="J4" s="3"/>
      <c r="K4" s="3"/>
      <c r="L4" s="3"/>
    </row>
    <row r="5" spans="1:12" ht="21" customHeight="1" x14ac:dyDescent="0.35">
      <c r="A5" s="707"/>
      <c r="B5" s="775" t="s">
        <v>10</v>
      </c>
      <c r="C5" s="772">
        <f>SUM(C6:C8)</f>
        <v>600</v>
      </c>
    </row>
    <row r="6" spans="1:12" ht="21" customHeight="1" x14ac:dyDescent="0.35">
      <c r="A6" s="707"/>
      <c r="B6" s="773" t="s">
        <v>646</v>
      </c>
      <c r="C6" s="774">
        <v>180</v>
      </c>
    </row>
    <row r="7" spans="1:12" ht="21" customHeight="1" x14ac:dyDescent="0.35">
      <c r="A7" s="707"/>
      <c r="B7" s="773" t="s">
        <v>647</v>
      </c>
      <c r="C7" s="774">
        <v>120</v>
      </c>
    </row>
    <row r="8" spans="1:12" ht="21" customHeight="1" x14ac:dyDescent="0.35">
      <c r="A8" s="707"/>
      <c r="B8" s="773" t="s">
        <v>648</v>
      </c>
      <c r="C8" s="774">
        <v>300</v>
      </c>
    </row>
    <row r="9" spans="1:12" ht="21" hidden="1" customHeight="1" x14ac:dyDescent="0.35">
      <c r="A9" s="707"/>
      <c r="B9" s="928" t="s">
        <v>11</v>
      </c>
      <c r="C9" s="772">
        <f>SUM(C10:C10)</f>
        <v>0</v>
      </c>
    </row>
    <row r="10" spans="1:12" ht="21" hidden="1" customHeight="1" x14ac:dyDescent="0.35">
      <c r="A10" s="707"/>
      <c r="B10" s="929" t="s">
        <v>434</v>
      </c>
      <c r="C10" s="774"/>
    </row>
    <row r="11" spans="1:12" ht="21" customHeight="1" x14ac:dyDescent="0.35">
      <c r="A11" s="707"/>
      <c r="B11" s="928" t="s">
        <v>13</v>
      </c>
      <c r="C11" s="772">
        <f>SUM(C12)</f>
        <v>2700</v>
      </c>
    </row>
    <row r="12" spans="1:12" ht="21" customHeight="1" x14ac:dyDescent="0.35">
      <c r="A12" s="707"/>
      <c r="B12" s="929" t="s">
        <v>649</v>
      </c>
      <c r="C12" s="774">
        <v>2700</v>
      </c>
    </row>
    <row r="13" spans="1:12" ht="21" customHeight="1" x14ac:dyDescent="0.35">
      <c r="A13" s="707"/>
      <c r="B13" s="775" t="s">
        <v>15</v>
      </c>
      <c r="C13" s="772">
        <f>SUM(C14:C15)</f>
        <v>280</v>
      </c>
    </row>
    <row r="14" spans="1:12" ht="21" hidden="1" customHeight="1" x14ac:dyDescent="0.35">
      <c r="A14" s="707"/>
      <c r="B14" s="773" t="s">
        <v>432</v>
      </c>
      <c r="C14" s="774"/>
    </row>
    <row r="15" spans="1:12" ht="21" customHeight="1" x14ac:dyDescent="0.35">
      <c r="A15" s="707"/>
      <c r="B15" s="929" t="s">
        <v>650</v>
      </c>
      <c r="C15" s="774">
        <v>280</v>
      </c>
    </row>
    <row r="16" spans="1:12" ht="21" hidden="1" customHeight="1" x14ac:dyDescent="0.35">
      <c r="A16" s="707"/>
      <c r="B16" s="928" t="s">
        <v>80</v>
      </c>
      <c r="C16" s="772">
        <f>SUM(C17)</f>
        <v>0</v>
      </c>
    </row>
    <row r="17" spans="1:12" ht="21" hidden="1" customHeight="1" x14ac:dyDescent="0.35">
      <c r="A17" s="707"/>
      <c r="B17" s="929" t="s">
        <v>433</v>
      </c>
      <c r="C17" s="774"/>
    </row>
    <row r="18" spans="1:12" ht="21" customHeight="1" x14ac:dyDescent="0.35">
      <c r="A18" s="707"/>
      <c r="B18" s="928" t="s">
        <v>18</v>
      </c>
      <c r="C18" s="772">
        <f>SUM(C19:C27)</f>
        <v>450</v>
      </c>
    </row>
    <row r="19" spans="1:12" s="9" customFormat="1" ht="21" hidden="1" customHeight="1" x14ac:dyDescent="0.35">
      <c r="A19" s="706"/>
      <c r="B19" s="929" t="s">
        <v>435</v>
      </c>
      <c r="C19" s="774"/>
      <c r="D19" s="4"/>
      <c r="E19" s="4"/>
      <c r="F19" s="4"/>
      <c r="G19" s="4"/>
      <c r="H19" s="4"/>
      <c r="I19" s="4"/>
      <c r="J19" s="4"/>
      <c r="K19" s="4"/>
      <c r="L19" s="4"/>
    </row>
    <row r="20" spans="1:12" s="9" customFormat="1" ht="21" hidden="1" customHeight="1" x14ac:dyDescent="0.35">
      <c r="A20" s="706"/>
      <c r="B20" s="929" t="s">
        <v>436</v>
      </c>
      <c r="C20" s="774"/>
      <c r="D20" s="4"/>
      <c r="E20" s="4"/>
      <c r="F20" s="4"/>
      <c r="G20" s="4"/>
      <c r="H20" s="4"/>
      <c r="I20" s="4"/>
      <c r="J20" s="4"/>
      <c r="K20" s="4"/>
      <c r="L20" s="4"/>
    </row>
    <row r="21" spans="1:12" s="9" customFormat="1" ht="21" hidden="1" customHeight="1" x14ac:dyDescent="0.35">
      <c r="A21" s="706"/>
      <c r="B21" s="930" t="s">
        <v>437</v>
      </c>
      <c r="C21" s="774"/>
      <c r="D21" s="4"/>
      <c r="E21" s="4"/>
      <c r="F21" s="4"/>
      <c r="G21" s="4"/>
      <c r="H21" s="4"/>
      <c r="I21" s="4"/>
      <c r="J21" s="4"/>
      <c r="K21" s="4"/>
      <c r="L21" s="4"/>
    </row>
    <row r="22" spans="1:12" s="9" customFormat="1" ht="21" hidden="1" customHeight="1" x14ac:dyDescent="0.35">
      <c r="A22" s="706"/>
      <c r="B22" s="930" t="s">
        <v>555</v>
      </c>
      <c r="C22" s="774"/>
      <c r="D22" s="4"/>
      <c r="E22" s="4"/>
      <c r="F22" s="4"/>
      <c r="G22" s="4"/>
      <c r="H22" s="4"/>
      <c r="I22" s="4"/>
      <c r="J22" s="4"/>
      <c r="K22" s="4"/>
      <c r="L22" s="4"/>
    </row>
    <row r="23" spans="1:12" s="9" customFormat="1" ht="21" hidden="1" customHeight="1" x14ac:dyDescent="0.35">
      <c r="A23" s="706"/>
      <c r="B23" s="930" t="s">
        <v>556</v>
      </c>
      <c r="C23" s="774"/>
      <c r="D23" s="4"/>
      <c r="E23" s="4"/>
      <c r="F23" s="4"/>
      <c r="G23" s="4"/>
      <c r="H23" s="4"/>
      <c r="I23" s="4"/>
      <c r="J23" s="4"/>
      <c r="K23" s="4"/>
      <c r="L23" s="4"/>
    </row>
    <row r="24" spans="1:12" s="9" customFormat="1" ht="21" hidden="1" customHeight="1" x14ac:dyDescent="0.35">
      <c r="A24" s="706"/>
      <c r="B24" s="930" t="s">
        <v>557</v>
      </c>
      <c r="C24" s="774"/>
      <c r="D24" s="4"/>
      <c r="E24" s="4"/>
      <c r="F24" s="4"/>
      <c r="G24" s="4"/>
      <c r="H24" s="4"/>
      <c r="I24" s="4"/>
      <c r="J24" s="4"/>
      <c r="K24" s="4"/>
      <c r="L24" s="4"/>
    </row>
    <row r="25" spans="1:12" s="9" customFormat="1" ht="21" customHeight="1" x14ac:dyDescent="0.35">
      <c r="A25" s="706"/>
      <c r="B25" s="929" t="s">
        <v>651</v>
      </c>
      <c r="C25" s="774">
        <v>450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s="9" customFormat="1" ht="21" hidden="1" customHeight="1" x14ac:dyDescent="0.35">
      <c r="A26" s="706"/>
      <c r="B26" s="930" t="s">
        <v>558</v>
      </c>
      <c r="C26" s="774"/>
      <c r="D26" s="4"/>
      <c r="E26" s="4"/>
      <c r="F26" s="4"/>
      <c r="G26" s="4"/>
      <c r="H26" s="4"/>
      <c r="I26" s="4"/>
      <c r="J26" s="4"/>
      <c r="K26" s="4"/>
      <c r="L26" s="4"/>
    </row>
    <row r="27" spans="1:12" s="9" customFormat="1" ht="21" hidden="1" customHeight="1" x14ac:dyDescent="0.35">
      <c r="A27" s="706"/>
      <c r="B27" s="929" t="s">
        <v>121</v>
      </c>
      <c r="C27" s="774"/>
      <c r="D27" s="4"/>
      <c r="E27" s="4"/>
      <c r="F27" s="4"/>
      <c r="G27" s="4"/>
      <c r="H27" s="4"/>
      <c r="I27" s="4"/>
      <c r="J27" s="4"/>
      <c r="K27" s="4"/>
      <c r="L27" s="4"/>
    </row>
    <row r="28" spans="1:12" ht="21" customHeight="1" x14ac:dyDescent="0.35">
      <c r="A28" s="707"/>
      <c r="B28" s="928" t="s">
        <v>573</v>
      </c>
      <c r="C28" s="772">
        <v>3970</v>
      </c>
    </row>
    <row r="29" spans="1:12" ht="23.25" customHeight="1" x14ac:dyDescent="0.25">
      <c r="B29" s="776"/>
    </row>
  </sheetData>
  <printOptions horizontalCentered="1"/>
  <pageMargins left="0.27559055118110237" right="0" top="0.19685039370078741" bottom="0.15748031496062992" header="0.47244094488188981" footer="0.15748031496062992"/>
  <pageSetup paperSize="9" scale="91" orientation="portrait" r:id="rId1"/>
  <headerFooter alignWithMargins="0">
    <oddFooter>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2018</vt:lpstr>
      <vt:lpstr>příl.2 - NEI pro INV</vt:lpstr>
      <vt:lpstr>příl.3 - Osnova NEI 2018</vt:lpstr>
      <vt:lpstr>Rozdělení IRP</vt:lpstr>
      <vt:lpstr>pom1 - Přerozdělení IP</vt:lpstr>
      <vt:lpstr>Plánované náklady z IP</vt:lpstr>
      <vt:lpstr>'příl.1 - cp 2018'!Názvy_tisku</vt:lpstr>
      <vt:lpstr>'příl.1 - cp 2018'!Oblast_tisku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Havranek</cp:lastModifiedBy>
  <cp:lastPrinted>2018-03-06T12:18:51Z</cp:lastPrinted>
  <dcterms:created xsi:type="dcterms:W3CDTF">2002-02-05T08:08:05Z</dcterms:created>
  <dcterms:modified xsi:type="dcterms:W3CDTF">2018-04-24T13:04:32Z</dcterms:modified>
</cp:coreProperties>
</file>