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OEF-FINANCOVANI\ROZPOCTY\ROZPOCET_MU\2020\04_Schváleno AS\zasláno na falukty\"/>
    </mc:Choice>
  </mc:AlternateContent>
  <bookViews>
    <workbookView xWindow="0" yWindow="0" windowWidth="28800" windowHeight="11700" tabRatio="835" activeTab="6"/>
  </bookViews>
  <sheets>
    <sheet name="str1" sheetId="1" r:id="rId1"/>
    <sheet name="str2" sheetId="32" r:id="rId2"/>
    <sheet name="str3" sheetId="39" r:id="rId3"/>
    <sheet name="str4" sheetId="37" r:id="rId4"/>
    <sheet name="str5" sheetId="7" r:id="rId5"/>
    <sheet name="rozpis pro rozpocet" sheetId="3" r:id="rId6"/>
    <sheet name=" rozpis pro HS" sheetId="48" r:id="rId7"/>
    <sheet name="příl.1 - cp 2020" sheetId="33" r:id="rId8"/>
    <sheet name="příl.2 - Velké opravy 2020" sheetId="59" r:id="rId9"/>
    <sheet name="příl.3 - Osnova NEI rozpočtu" sheetId="58" r:id="rId10"/>
    <sheet name="Rozdělení IRP" sheetId="60" r:id="rId11"/>
    <sheet name="pom1 - Přerozdělení DKRVO" sheetId="56" r:id="rId12"/>
    <sheet name="Plánované náklady z DKRVO" sheetId="57" r:id="rId13"/>
  </sheets>
  <externalReferences>
    <externalReference r:id="rId14"/>
    <externalReference r:id="rId15"/>
    <externalReference r:id="rId16"/>
    <externalReference r:id="rId17"/>
  </externalReferences>
  <definedNames>
    <definedName name="_xlnm._FilterDatabase" localSheetId="7" hidden="1">'příl.1 - cp 2020'!$A$5:$O$176</definedName>
    <definedName name="aa" localSheetId="8">#REF!</definedName>
    <definedName name="aa">#REF!</definedName>
    <definedName name="bbb" localSheetId="8">#REF!</definedName>
    <definedName name="bbb">#REF!</definedName>
    <definedName name="bcd" localSheetId="8">#REF!</definedName>
    <definedName name="bcd">#REF!</definedName>
    <definedName name="bla" localSheetId="12">#REF!</definedName>
    <definedName name="bla" localSheetId="7">#REF!</definedName>
    <definedName name="bla" localSheetId="8">#REF!</definedName>
    <definedName name="bla" localSheetId="9">#REF!</definedName>
    <definedName name="bla" localSheetId="10">#REF!</definedName>
    <definedName name="bla">#REF!</definedName>
    <definedName name="bnla" localSheetId="8">#REF!</definedName>
    <definedName name="bnla">#REF!</definedName>
    <definedName name="CP">'[1]rozevírací seznamy'!$A$2:$A$6</definedName>
    <definedName name="_xlnm.Database" localSheetId="12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DruhPožadavku">[2]List1!$A$2:$A$5</definedName>
    <definedName name="dsvs">[3]List1!$A$2:$A$6</definedName>
    <definedName name="Excel_BuiltIn__FilterDatabase_2" localSheetId="8">#REF!</definedName>
    <definedName name="Excel_BuiltIn__FilterDatabase_2">#REF!</definedName>
    <definedName name="Excel_BuiltIn_Database" localSheetId="8">#REF!</definedName>
    <definedName name="Excel_BuiltIn_Database">#REF!</definedName>
    <definedName name="HS">'[1]rozevírací seznamy'!$A$20:$A$39</definedName>
    <definedName name="_xlnm.Print_Titles" localSheetId="7">'příl.1 - cp 2020'!$4:$5</definedName>
    <definedName name="_xlnm.Print_Area" localSheetId="7">'příl.1 - cp 2020'!$A$1:$P$184</definedName>
    <definedName name="Osoba">[2]List1!$A$9:$A$18</definedName>
    <definedName name="progr2013" localSheetId="8">#REF!</definedName>
    <definedName name="progr2013">#REF!</definedName>
    <definedName name="test">[4]List1!$A$2:$A$5</definedName>
    <definedName name="xxx" localSheetId="8">#REF!</definedName>
    <definedName name="xxx">#REF!</definedName>
  </definedNames>
  <calcPr calcId="162913"/>
</workbook>
</file>

<file path=xl/calcChain.xml><?xml version="1.0" encoding="utf-8"?>
<calcChain xmlns="http://schemas.openxmlformats.org/spreadsheetml/2006/main">
  <c r="F31" i="48" l="1"/>
  <c r="D12" i="48"/>
  <c r="C31" i="48"/>
  <c r="P105" i="3"/>
  <c r="P93" i="3" l="1"/>
  <c r="D21" i="60"/>
  <c r="E19" i="60"/>
  <c r="E18" i="60"/>
  <c r="E20" i="60" s="1"/>
  <c r="E16" i="60"/>
  <c r="E15" i="60"/>
  <c r="E14" i="60"/>
  <c r="E13" i="60"/>
  <c r="E12" i="60"/>
  <c r="E11" i="60"/>
  <c r="E10" i="60"/>
  <c r="E9" i="60"/>
  <c r="E8" i="60"/>
  <c r="E17" i="60" s="1"/>
  <c r="E21" i="60" s="1"/>
  <c r="Q20" i="56" l="1"/>
  <c r="N37" i="56"/>
  <c r="J31" i="56"/>
  <c r="I52" i="37"/>
  <c r="D25" i="37" l="1"/>
  <c r="D22" i="37"/>
  <c r="D21" i="37"/>
  <c r="D20" i="37"/>
  <c r="D19" i="37"/>
  <c r="D18" i="37"/>
  <c r="D17" i="37"/>
  <c r="D16" i="37"/>
  <c r="D14" i="37"/>
  <c r="D13" i="37"/>
  <c r="D12" i="37"/>
  <c r="D11" i="37"/>
  <c r="D10" i="37"/>
  <c r="D9" i="37"/>
  <c r="D8" i="37"/>
  <c r="D7" i="37"/>
  <c r="D6" i="37"/>
  <c r="M187" i="33" l="1"/>
  <c r="M189" i="33" l="1"/>
  <c r="M161" i="33"/>
  <c r="J161" i="33"/>
  <c r="M93" i="33"/>
  <c r="J93" i="33"/>
  <c r="A157" i="33"/>
  <c r="A158" i="33" s="1"/>
  <c r="A159" i="33" s="1"/>
  <c r="A160" i="33" s="1"/>
  <c r="L188" i="33"/>
  <c r="L187" i="33"/>
  <c r="L189" i="33" s="1"/>
  <c r="L186" i="33"/>
  <c r="K186" i="33"/>
  <c r="L182" i="33"/>
  <c r="L180" i="33"/>
  <c r="L178" i="33"/>
  <c r="J41" i="59" l="1"/>
  <c r="F41" i="59"/>
  <c r="J38" i="59"/>
  <c r="I38" i="59"/>
  <c r="H38" i="59"/>
  <c r="G38" i="59"/>
  <c r="F38" i="59"/>
  <c r="I31" i="59"/>
  <c r="H31" i="59"/>
  <c r="G31" i="59"/>
  <c r="F31" i="59"/>
  <c r="H29" i="59"/>
  <c r="G27" i="59"/>
  <c r="F27" i="59"/>
  <c r="G25" i="59"/>
  <c r="H25" i="59" s="1"/>
  <c r="H27" i="59" s="1"/>
  <c r="I23" i="59"/>
  <c r="F23" i="59"/>
  <c r="H21" i="59"/>
  <c r="H23" i="59" s="1"/>
  <c r="G21" i="59"/>
  <c r="G23" i="59" s="1"/>
  <c r="I19" i="59"/>
  <c r="H19" i="59"/>
  <c r="G19" i="59"/>
  <c r="F19" i="59"/>
  <c r="I14" i="59"/>
  <c r="H14" i="59"/>
  <c r="G14" i="59"/>
  <c r="F14" i="59"/>
  <c r="H12" i="59"/>
  <c r="I9" i="59"/>
  <c r="I41" i="59" s="1"/>
  <c r="H9" i="59"/>
  <c r="G9" i="59"/>
  <c r="F9" i="59"/>
  <c r="H7" i="59"/>
  <c r="H41" i="59" l="1"/>
  <c r="G41" i="59"/>
  <c r="O28" i="58" l="1"/>
  <c r="N28" i="58"/>
  <c r="M28" i="58"/>
  <c r="L28" i="58"/>
  <c r="K28" i="58"/>
  <c r="J28" i="58"/>
  <c r="I28" i="58"/>
  <c r="H28" i="58"/>
  <c r="F5" i="58"/>
  <c r="F6" i="58" s="1"/>
  <c r="F7" i="58" s="1"/>
  <c r="F8" i="58" s="1"/>
  <c r="F9" i="58" s="1"/>
  <c r="F10" i="58" s="1"/>
  <c r="F11" i="58" s="1"/>
  <c r="F12" i="58" s="1"/>
  <c r="F13" i="58" s="1"/>
  <c r="F14" i="58" s="1"/>
  <c r="F15" i="58" s="1"/>
  <c r="F18" i="58" s="1"/>
  <c r="F19" i="58" s="1"/>
  <c r="F20" i="58" s="1"/>
  <c r="F21" i="58" s="1"/>
  <c r="F22" i="58" s="1"/>
  <c r="F23" i="58" s="1"/>
  <c r="F24" i="58" s="1"/>
  <c r="F25" i="58" s="1"/>
  <c r="F26" i="58" s="1"/>
  <c r="F27" i="58" s="1"/>
  <c r="F28" i="58" s="1"/>
  <c r="F29" i="58" s="1"/>
  <c r="F30" i="58" s="1"/>
  <c r="F31" i="58" s="1"/>
  <c r="F32" i="58" s="1"/>
  <c r="F33" i="58" s="1"/>
  <c r="F34" i="58" s="1"/>
  <c r="F35" i="58" s="1"/>
  <c r="F36" i="58" s="1"/>
  <c r="F37" i="58" s="1"/>
  <c r="F38" i="58" s="1"/>
  <c r="F39" i="58" s="1"/>
  <c r="F40" i="58" s="1"/>
  <c r="F41" i="58" s="1"/>
  <c r="F42" i="58" s="1"/>
  <c r="F43" i="58" s="1"/>
  <c r="F44" i="58" s="1"/>
  <c r="F45" i="58" s="1"/>
  <c r="O4" i="58"/>
  <c r="O44" i="58" s="1"/>
  <c r="N4" i="58"/>
  <c r="N3" i="58" s="1"/>
  <c r="M4" i="58"/>
  <c r="L4" i="58"/>
  <c r="L3" i="58" s="1"/>
  <c r="K4" i="58"/>
  <c r="J4" i="58"/>
  <c r="J3" i="58" s="1"/>
  <c r="I4" i="58"/>
  <c r="H4" i="58"/>
  <c r="H3" i="58" s="1"/>
  <c r="F4" i="58"/>
  <c r="O3" i="58"/>
  <c r="O45" i="58" s="1"/>
  <c r="M3" i="58"/>
  <c r="M45" i="58" s="1"/>
  <c r="K3" i="58"/>
  <c r="K45" i="58" s="1"/>
  <c r="I3" i="58"/>
  <c r="I45" i="58" s="1"/>
  <c r="H45" i="58" l="1"/>
  <c r="L45" i="58"/>
  <c r="J45" i="58"/>
  <c r="N45" i="58"/>
  <c r="H44" i="58"/>
  <c r="I32" i="48" l="1"/>
  <c r="J32" i="48"/>
  <c r="K32" i="48"/>
  <c r="L32" i="48"/>
  <c r="M107" i="3" l="1"/>
  <c r="H84" i="3"/>
  <c r="E94" i="3"/>
  <c r="M106" i="3"/>
  <c r="L106" i="3"/>
  <c r="N106" i="3"/>
  <c r="N108" i="3" s="1"/>
  <c r="K104" i="3"/>
  <c r="K103" i="3"/>
  <c r="K102" i="3"/>
  <c r="K101" i="3"/>
  <c r="K100" i="3"/>
  <c r="K99" i="3"/>
  <c r="K98" i="3"/>
  <c r="K97" i="3"/>
  <c r="K96" i="3"/>
  <c r="K95" i="3"/>
  <c r="K94" i="3"/>
  <c r="M93" i="3"/>
  <c r="L93" i="3"/>
  <c r="J93" i="3"/>
  <c r="I93" i="3"/>
  <c r="K92" i="3"/>
  <c r="K91" i="3"/>
  <c r="K90" i="3"/>
  <c r="K89" i="3"/>
  <c r="K88" i="3"/>
  <c r="K87" i="3"/>
  <c r="K86" i="3"/>
  <c r="K85" i="3"/>
  <c r="K84" i="3"/>
  <c r="I26" i="56"/>
  <c r="L26" i="56" s="1"/>
  <c r="I22" i="56"/>
  <c r="M22" i="56" s="1"/>
  <c r="H96" i="3" s="1"/>
  <c r="I12" i="56"/>
  <c r="M12" i="56" s="1"/>
  <c r="H86" i="3" s="1"/>
  <c r="I18" i="56"/>
  <c r="I10" i="56"/>
  <c r="M10" i="56" s="1"/>
  <c r="C24" i="57"/>
  <c r="C18" i="57"/>
  <c r="C10" i="57"/>
  <c r="O37" i="56"/>
  <c r="O34" i="56"/>
  <c r="P34" i="56" s="1"/>
  <c r="D31" i="56"/>
  <c r="O30" i="56"/>
  <c r="O29" i="56"/>
  <c r="O28" i="56"/>
  <c r="J27" i="56"/>
  <c r="D27" i="56"/>
  <c r="O26" i="56"/>
  <c r="O25" i="56"/>
  <c r="O24" i="56"/>
  <c r="O23" i="56"/>
  <c r="O22" i="56"/>
  <c r="J21" i="56"/>
  <c r="J19" i="56"/>
  <c r="D19" i="56"/>
  <c r="D33" i="56" s="1"/>
  <c r="J32" i="56" l="1"/>
  <c r="K20" i="56" s="1"/>
  <c r="O27" i="56"/>
  <c r="L22" i="56"/>
  <c r="L108" i="3"/>
  <c r="K93" i="3"/>
  <c r="M108" i="3"/>
  <c r="K105" i="3"/>
  <c r="K106" i="3" s="1"/>
  <c r="M26" i="56"/>
  <c r="N22" i="56"/>
  <c r="D32" i="56"/>
  <c r="C4" i="57"/>
  <c r="M18" i="56"/>
  <c r="H92" i="3" s="1"/>
  <c r="J36" i="56"/>
  <c r="O21" i="56"/>
  <c r="O31" i="56"/>
  <c r="J33" i="56"/>
  <c r="N26" i="56" l="1"/>
  <c r="H100" i="3"/>
  <c r="L109" i="3"/>
  <c r="D36" i="56"/>
  <c r="G20" i="56"/>
  <c r="G32" i="56" l="1"/>
  <c r="O11" i="56"/>
  <c r="O18" i="56"/>
  <c r="G19" i="56"/>
  <c r="O14" i="56"/>
  <c r="O13" i="56"/>
  <c r="L12" i="56"/>
  <c r="N12" i="56" s="1"/>
  <c r="O12" i="56"/>
  <c r="O17" i="56"/>
  <c r="K32" i="56"/>
  <c r="O20" i="56"/>
  <c r="K19" i="56"/>
  <c r="L10" i="56"/>
  <c r="O15" i="56"/>
  <c r="O16" i="56"/>
  <c r="O10" i="56"/>
  <c r="G36" i="56" l="1"/>
  <c r="G33" i="56"/>
  <c r="N10" i="56"/>
  <c r="K36" i="56"/>
  <c r="K33" i="56"/>
  <c r="O32" i="56"/>
  <c r="O19" i="56"/>
  <c r="O36" i="56" l="1"/>
  <c r="O33" i="56"/>
  <c r="C32" i="48" l="1"/>
  <c r="H34" i="48" l="1"/>
  <c r="H38" i="48" s="1"/>
  <c r="H32" i="48"/>
  <c r="K188" i="33" l="1"/>
  <c r="K187" i="33"/>
  <c r="K182" i="33"/>
  <c r="K180" i="33"/>
  <c r="K178" i="33"/>
  <c r="L183" i="33" l="1"/>
  <c r="L184" i="33"/>
  <c r="K189" i="33"/>
  <c r="G26" i="1" l="1"/>
  <c r="G27" i="1"/>
  <c r="F28" i="1"/>
  <c r="J186" i="33" l="1"/>
  <c r="J187" i="33"/>
  <c r="J188" i="33"/>
  <c r="J164" i="33"/>
  <c r="J163" i="33"/>
  <c r="J134" i="33"/>
  <c r="J132" i="33"/>
  <c r="J130" i="33"/>
  <c r="J128" i="33"/>
  <c r="J121" i="33"/>
  <c r="J119" i="33"/>
  <c r="J116" i="33"/>
  <c r="J113" i="33"/>
  <c r="J111" i="33"/>
  <c r="J107" i="33"/>
  <c r="J104" i="33"/>
  <c r="J100" i="33"/>
  <c r="J97" i="33"/>
  <c r="J189" i="33" l="1"/>
  <c r="J27" i="33"/>
  <c r="J182" i="33" l="1"/>
  <c r="J178" i="33"/>
  <c r="J180" i="33"/>
  <c r="K184" i="33" l="1"/>
  <c r="K183" i="33"/>
  <c r="R1" i="32"/>
  <c r="S18" i="32"/>
  <c r="T7" i="32" l="1"/>
  <c r="T11" i="32"/>
  <c r="T6" i="32"/>
  <c r="T13" i="32"/>
  <c r="T8" i="32"/>
  <c r="T12" i="32"/>
  <c r="T14" i="32"/>
  <c r="T9" i="32"/>
  <c r="T10" i="32"/>
  <c r="G34" i="48" l="1"/>
  <c r="E26" i="7"/>
  <c r="F9" i="7" s="1"/>
  <c r="G9" i="7" s="1"/>
  <c r="B26" i="7"/>
  <c r="I34" i="37"/>
  <c r="I32" i="37"/>
  <c r="E32" i="48"/>
  <c r="C5" i="48" s="1"/>
  <c r="H67" i="3"/>
  <c r="I29" i="56" s="1"/>
  <c r="I69" i="3"/>
  <c r="I35" i="56" s="1"/>
  <c r="F33" i="3"/>
  <c r="D33" i="3" s="1"/>
  <c r="F28" i="3"/>
  <c r="D28" i="3" s="1"/>
  <c r="F26" i="3"/>
  <c r="G66" i="3" s="1"/>
  <c r="C28" i="56" s="1"/>
  <c r="H28" i="56" s="1"/>
  <c r="F25" i="3"/>
  <c r="F23" i="3"/>
  <c r="G63" i="3" s="1"/>
  <c r="C25" i="56" s="1"/>
  <c r="H25" i="56" s="1"/>
  <c r="F22" i="3"/>
  <c r="G62" i="3" s="1"/>
  <c r="C24" i="56" s="1"/>
  <c r="G38" i="7"/>
  <c r="O13" i="7"/>
  <c r="O11" i="7"/>
  <c r="I39" i="37"/>
  <c r="F32" i="48"/>
  <c r="E28" i="1"/>
  <c r="AE18" i="32"/>
  <c r="AF8" i="32" s="1"/>
  <c r="AG8" i="32" s="1"/>
  <c r="N6" i="32"/>
  <c r="Y18" i="32"/>
  <c r="Z13" i="32" s="1"/>
  <c r="F18" i="32"/>
  <c r="G7" i="32" s="1"/>
  <c r="I18" i="32"/>
  <c r="J9" i="32" s="1"/>
  <c r="K9" i="32" s="1"/>
  <c r="C18" i="32"/>
  <c r="M188" i="33"/>
  <c r="E187" i="33"/>
  <c r="F187" i="33"/>
  <c r="G187" i="33"/>
  <c r="H187" i="33"/>
  <c r="I187" i="33"/>
  <c r="I119" i="33"/>
  <c r="M119" i="33"/>
  <c r="H59" i="3" s="1"/>
  <c r="I21" i="56" s="1"/>
  <c r="M97" i="33"/>
  <c r="H49" i="3" s="1"/>
  <c r="I11" i="56" s="1"/>
  <c r="I97" i="33"/>
  <c r="I93" i="33"/>
  <c r="M7" i="33"/>
  <c r="I31" i="37" s="1"/>
  <c r="M13" i="33"/>
  <c r="O10" i="7" s="1"/>
  <c r="M100" i="33"/>
  <c r="H51" i="3" s="1"/>
  <c r="M104" i="33"/>
  <c r="H52" i="3" s="1"/>
  <c r="I14" i="56" s="1"/>
  <c r="M107" i="33"/>
  <c r="H53" i="3" s="1"/>
  <c r="M111" i="33"/>
  <c r="H54" i="3" s="1"/>
  <c r="M113" i="33"/>
  <c r="M116" i="33"/>
  <c r="H58" i="3" s="1"/>
  <c r="M121" i="33"/>
  <c r="M128" i="33"/>
  <c r="H61" i="3" s="1"/>
  <c r="I23" i="56" s="1"/>
  <c r="M130" i="33"/>
  <c r="M132" i="33"/>
  <c r="H63" i="3" s="1"/>
  <c r="I25" i="56" s="1"/>
  <c r="M134" i="33"/>
  <c r="H65" i="3" s="1"/>
  <c r="I27" i="56" s="1"/>
  <c r="M163" i="33"/>
  <c r="H68" i="3" s="1"/>
  <c r="I30" i="56" s="1"/>
  <c r="H66" i="3"/>
  <c r="I28" i="56" s="1"/>
  <c r="M164" i="33"/>
  <c r="M186" i="33"/>
  <c r="I186" i="33"/>
  <c r="F38" i="48"/>
  <c r="F34" i="48" s="1"/>
  <c r="I23" i="37"/>
  <c r="P106" i="3"/>
  <c r="K59" i="3"/>
  <c r="P176" i="33"/>
  <c r="H175" i="33"/>
  <c r="I175" i="33" s="1"/>
  <c r="P173" i="33"/>
  <c r="P170" i="33"/>
  <c r="P169" i="33"/>
  <c r="I7" i="33"/>
  <c r="C38" i="32"/>
  <c r="E38" i="32" s="1"/>
  <c r="C35" i="32"/>
  <c r="C34" i="32"/>
  <c r="E34" i="32" s="1"/>
  <c r="C28" i="32"/>
  <c r="E28" i="32" s="1"/>
  <c r="H7" i="1"/>
  <c r="D11" i="7"/>
  <c r="C28" i="1"/>
  <c r="E36" i="3"/>
  <c r="F36" i="3"/>
  <c r="E93" i="33"/>
  <c r="F161" i="33"/>
  <c r="E130" i="33"/>
  <c r="E132" i="33"/>
  <c r="E134" i="33"/>
  <c r="E113" i="33"/>
  <c r="E116" i="33"/>
  <c r="F116" i="33"/>
  <c r="H116" i="33"/>
  <c r="G116" i="33"/>
  <c r="E121" i="33"/>
  <c r="F121" i="33"/>
  <c r="G121" i="33"/>
  <c r="E119" i="33"/>
  <c r="F119" i="33"/>
  <c r="G119" i="33"/>
  <c r="I100" i="33"/>
  <c r="H100" i="33"/>
  <c r="G100" i="33"/>
  <c r="F100" i="33"/>
  <c r="E100" i="33"/>
  <c r="E107" i="33"/>
  <c r="E188" i="33"/>
  <c r="E186" i="33"/>
  <c r="E164" i="33"/>
  <c r="E163" i="33"/>
  <c r="E111" i="33"/>
  <c r="E104" i="33"/>
  <c r="E97" i="33"/>
  <c r="E13" i="33"/>
  <c r="E7" i="33"/>
  <c r="G59" i="3"/>
  <c r="C21" i="56" s="1"/>
  <c r="H21" i="56" s="1"/>
  <c r="G60" i="3"/>
  <c r="C22" i="56" s="1"/>
  <c r="H22" i="56" s="1"/>
  <c r="G96" i="3" s="1"/>
  <c r="F96" i="3" s="1"/>
  <c r="G61" i="3"/>
  <c r="C23" i="56" s="1"/>
  <c r="H23" i="56" s="1"/>
  <c r="E68" i="3"/>
  <c r="E30" i="56" s="1"/>
  <c r="P30" i="56" s="1"/>
  <c r="Q30" i="56" s="1"/>
  <c r="E104" i="3" s="1"/>
  <c r="E62" i="3"/>
  <c r="E24" i="56" s="1"/>
  <c r="P24" i="56" s="1"/>
  <c r="Q24" i="56" s="1"/>
  <c r="E98" i="3" s="1"/>
  <c r="E61" i="3"/>
  <c r="E23" i="56" s="1"/>
  <c r="P23" i="56" s="1"/>
  <c r="Q23" i="56" s="1"/>
  <c r="E97" i="3" s="1"/>
  <c r="E60" i="3"/>
  <c r="E22" i="56" s="1"/>
  <c r="P22" i="56" s="1"/>
  <c r="Q22" i="56" s="1"/>
  <c r="E96" i="3" s="1"/>
  <c r="E59" i="3"/>
  <c r="M18" i="32"/>
  <c r="H192" i="33"/>
  <c r="G186" i="33"/>
  <c r="H186" i="33"/>
  <c r="H176" i="33"/>
  <c r="G188" i="33"/>
  <c r="F188" i="33"/>
  <c r="F186" i="33"/>
  <c r="I172" i="33"/>
  <c r="P172" i="33" s="1"/>
  <c r="I132" i="33"/>
  <c r="I163" i="33"/>
  <c r="I130" i="33"/>
  <c r="H62" i="3" s="1"/>
  <c r="I24" i="56" s="1"/>
  <c r="I116" i="33"/>
  <c r="I121" i="33"/>
  <c r="I128" i="33"/>
  <c r="I113" i="33"/>
  <c r="I161" i="33"/>
  <c r="I104" i="33"/>
  <c r="I111" i="33"/>
  <c r="I134" i="33"/>
  <c r="I13" i="33"/>
  <c r="H172" i="33"/>
  <c r="G192" i="33"/>
  <c r="H121" i="33"/>
  <c r="H132" i="33"/>
  <c r="F97" i="33"/>
  <c r="H97" i="33"/>
  <c r="G97" i="33"/>
  <c r="A29" i="33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H128" i="33"/>
  <c r="H119" i="33"/>
  <c r="H130" i="33"/>
  <c r="H163" i="33"/>
  <c r="H161" i="33"/>
  <c r="H113" i="33"/>
  <c r="H107" i="33"/>
  <c r="H104" i="33"/>
  <c r="H111" i="33"/>
  <c r="H134" i="33"/>
  <c r="H93" i="33"/>
  <c r="H13" i="33"/>
  <c r="H7" i="33"/>
  <c r="G32" i="48"/>
  <c r="E38" i="48"/>
  <c r="E34" i="48" s="1"/>
  <c r="B38" i="48"/>
  <c r="B34" i="48" s="1"/>
  <c r="F164" i="33"/>
  <c r="F163" i="33"/>
  <c r="F107" i="33"/>
  <c r="F104" i="33"/>
  <c r="F93" i="33"/>
  <c r="F132" i="33"/>
  <c r="F130" i="33"/>
  <c r="F113" i="33"/>
  <c r="F111" i="33"/>
  <c r="F134" i="33"/>
  <c r="F13" i="33"/>
  <c r="F7" i="33"/>
  <c r="Q106" i="3"/>
  <c r="Q108" i="3" s="1"/>
  <c r="D24" i="7"/>
  <c r="D25" i="7"/>
  <c r="G31" i="7"/>
  <c r="G58" i="3"/>
  <c r="C20" i="56" s="1"/>
  <c r="H20" i="56" s="1"/>
  <c r="F27" i="3"/>
  <c r="G67" i="3" s="1"/>
  <c r="C29" i="56" s="1"/>
  <c r="H29" i="56" s="1"/>
  <c r="G17" i="3"/>
  <c r="G34" i="3"/>
  <c r="E34" i="3"/>
  <c r="I57" i="3"/>
  <c r="J57" i="3"/>
  <c r="N70" i="3"/>
  <c r="N72" i="3" s="1"/>
  <c r="K71" i="3"/>
  <c r="K107" i="3" s="1"/>
  <c r="K108" i="3" s="1"/>
  <c r="K60" i="3"/>
  <c r="K61" i="3"/>
  <c r="K62" i="3"/>
  <c r="K63" i="3"/>
  <c r="K64" i="3"/>
  <c r="K65" i="3"/>
  <c r="K66" i="3"/>
  <c r="K67" i="3"/>
  <c r="K68" i="3"/>
  <c r="K69" i="3"/>
  <c r="K58" i="3"/>
  <c r="K49" i="3"/>
  <c r="K50" i="3"/>
  <c r="K51" i="3"/>
  <c r="K52" i="3"/>
  <c r="K53" i="3"/>
  <c r="K54" i="3"/>
  <c r="K55" i="3"/>
  <c r="K56" i="3"/>
  <c r="K48" i="3"/>
  <c r="M57" i="3"/>
  <c r="M72" i="3" s="1"/>
  <c r="L57" i="3"/>
  <c r="D20" i="3"/>
  <c r="D21" i="3"/>
  <c r="K34" i="3"/>
  <c r="I34" i="3"/>
  <c r="J34" i="3"/>
  <c r="H9" i="3"/>
  <c r="H10" i="3"/>
  <c r="H11" i="3"/>
  <c r="H12" i="3"/>
  <c r="H13" i="3"/>
  <c r="H14" i="3"/>
  <c r="H15" i="3"/>
  <c r="H16" i="3"/>
  <c r="H8" i="3"/>
  <c r="J17" i="3"/>
  <c r="I17" i="3"/>
  <c r="K30" i="3"/>
  <c r="H32" i="3"/>
  <c r="H33" i="3"/>
  <c r="H31" i="3"/>
  <c r="H20" i="3"/>
  <c r="H21" i="3"/>
  <c r="H22" i="3"/>
  <c r="H23" i="3"/>
  <c r="H24" i="3"/>
  <c r="H25" i="3"/>
  <c r="H26" i="3"/>
  <c r="H27" i="3"/>
  <c r="H28" i="3"/>
  <c r="H29" i="3"/>
  <c r="H18" i="3"/>
  <c r="I30" i="3"/>
  <c r="J30" i="3"/>
  <c r="G107" i="33"/>
  <c r="G164" i="33"/>
  <c r="G132" i="33"/>
  <c r="G163" i="33"/>
  <c r="G130" i="33"/>
  <c r="G128" i="33"/>
  <c r="G113" i="33"/>
  <c r="G161" i="33"/>
  <c r="G104" i="33"/>
  <c r="G111" i="33"/>
  <c r="G134" i="33"/>
  <c r="G13" i="33"/>
  <c r="G7" i="33"/>
  <c r="E15" i="37"/>
  <c r="N7" i="32"/>
  <c r="N8" i="32"/>
  <c r="N9" i="32"/>
  <c r="N10" i="32"/>
  <c r="N11" i="32"/>
  <c r="N12" i="32"/>
  <c r="N13" i="32"/>
  <c r="N14" i="32"/>
  <c r="N15" i="32"/>
  <c r="N16" i="32"/>
  <c r="N17" i="32"/>
  <c r="AB18" i="32"/>
  <c r="AC6" i="32" s="1"/>
  <c r="P18" i="32"/>
  <c r="L18" i="32"/>
  <c r="N1" i="32"/>
  <c r="C36" i="32"/>
  <c r="E36" i="32" s="1"/>
  <c r="C37" i="32"/>
  <c r="E37" i="32"/>
  <c r="J8" i="1"/>
  <c r="J7" i="1"/>
  <c r="I8" i="1"/>
  <c r="G7" i="1"/>
  <c r="F9" i="1"/>
  <c r="J26" i="7"/>
  <c r="C26" i="7"/>
  <c r="D18" i="7"/>
  <c r="D19" i="7"/>
  <c r="D22" i="7"/>
  <c r="L39" i="32"/>
  <c r="H24" i="7"/>
  <c r="H18" i="7"/>
  <c r="H19" i="7"/>
  <c r="G93" i="33"/>
  <c r="C33" i="32"/>
  <c r="E33" i="32" s="1"/>
  <c r="C29" i="32"/>
  <c r="E29" i="32" s="1"/>
  <c r="F24" i="7"/>
  <c r="G24" i="7" s="1"/>
  <c r="C32" i="32"/>
  <c r="E32" i="32" s="1"/>
  <c r="C30" i="32"/>
  <c r="E30" i="32" s="1"/>
  <c r="C31" i="32"/>
  <c r="E31" i="32" s="1"/>
  <c r="D20" i="7"/>
  <c r="D17" i="7"/>
  <c r="D16" i="7"/>
  <c r="D21" i="7"/>
  <c r="D12" i="7"/>
  <c r="D14" i="7"/>
  <c r="D10" i="7"/>
  <c r="D15" i="7"/>
  <c r="D13" i="7"/>
  <c r="D23" i="7"/>
  <c r="D9" i="7"/>
  <c r="C27" i="32"/>
  <c r="C39" i="32" s="1"/>
  <c r="I107" i="33"/>
  <c r="E35" i="32"/>
  <c r="H25" i="7"/>
  <c r="AC7" i="32"/>
  <c r="AD7" i="32" s="1"/>
  <c r="AC14" i="32"/>
  <c r="AD14" i="32" s="1"/>
  <c r="F14" i="7"/>
  <c r="G14" i="7" s="1"/>
  <c r="H14" i="7" s="1"/>
  <c r="D6" i="32"/>
  <c r="E6" i="32" s="1"/>
  <c r="C22" i="32"/>
  <c r="Z11" i="32"/>
  <c r="D11" i="32"/>
  <c r="E11" i="32" s="1"/>
  <c r="Z8" i="32"/>
  <c r="AA8" i="32" s="1"/>
  <c r="Z10" i="32"/>
  <c r="AA10" i="32" s="1"/>
  <c r="Z9" i="32"/>
  <c r="AA9" i="32" s="1"/>
  <c r="Z12" i="32"/>
  <c r="AA12" i="32" s="1"/>
  <c r="Z6" i="32"/>
  <c r="AA6" i="32" s="1"/>
  <c r="Z7" i="32"/>
  <c r="AA7" i="32" s="1"/>
  <c r="Z14" i="32"/>
  <c r="AA14" i="32" s="1"/>
  <c r="Q7" i="32"/>
  <c r="R7" i="32" s="1"/>
  <c r="AC11" i="32"/>
  <c r="AD11" i="32" s="1"/>
  <c r="Q12" i="32"/>
  <c r="R12" i="32" s="1"/>
  <c r="Q9" i="32"/>
  <c r="R9" i="32" s="1"/>
  <c r="Q8" i="32"/>
  <c r="R8" i="32" s="1"/>
  <c r="AC13" i="32"/>
  <c r="AD13" i="32" s="1"/>
  <c r="AC12" i="32"/>
  <c r="AD12" i="32" s="1"/>
  <c r="Q13" i="32"/>
  <c r="R13" i="32" s="1"/>
  <c r="Q11" i="32"/>
  <c r="R11" i="32" s="1"/>
  <c r="AC8" i="32"/>
  <c r="AD8" i="32" s="1"/>
  <c r="AC9" i="32"/>
  <c r="AD9" i="32" s="1"/>
  <c r="AC10" i="32"/>
  <c r="AD10" i="32" s="1"/>
  <c r="Q16" i="32"/>
  <c r="R16" i="32" s="1"/>
  <c r="D14" i="32"/>
  <c r="E14" i="32" s="1"/>
  <c r="D10" i="32"/>
  <c r="E10" i="32" s="1"/>
  <c r="O9" i="7"/>
  <c r="V18" i="32"/>
  <c r="AD15" i="32"/>
  <c r="AG16" i="32"/>
  <c r="AG15" i="32"/>
  <c r="Q10" i="32"/>
  <c r="R10" i="32" s="1"/>
  <c r="AD17" i="32"/>
  <c r="AG17" i="32"/>
  <c r="Q14" i="32"/>
  <c r="R14" i="32" s="1"/>
  <c r="Q15" i="32"/>
  <c r="R15" i="32" s="1"/>
  <c r="AD16" i="32"/>
  <c r="G38" i="48"/>
  <c r="H55" i="3"/>
  <c r="D13" i="32"/>
  <c r="E13" i="32" s="1"/>
  <c r="D8" i="32"/>
  <c r="E8" i="32" s="1"/>
  <c r="D9" i="32"/>
  <c r="E9" i="32" s="1"/>
  <c r="D15" i="32"/>
  <c r="E15" i="32" s="1"/>
  <c r="D17" i="32"/>
  <c r="E17" i="32" s="1"/>
  <c r="D12" i="32"/>
  <c r="E12" i="32" s="1"/>
  <c r="D7" i="32"/>
  <c r="E7" i="32" s="1"/>
  <c r="D16" i="32"/>
  <c r="E16" i="32" s="1"/>
  <c r="G17" i="1"/>
  <c r="H17" i="1" s="1"/>
  <c r="C7" i="37" s="1"/>
  <c r="AF13" i="32" l="1"/>
  <c r="AG13" i="32" s="1"/>
  <c r="G12" i="32"/>
  <c r="H12" i="32" s="1"/>
  <c r="G11" i="32"/>
  <c r="H11" i="32" s="1"/>
  <c r="F60" i="3"/>
  <c r="D96" i="3"/>
  <c r="E21" i="56"/>
  <c r="P21" i="56" s="1"/>
  <c r="Q21" i="56" s="1"/>
  <c r="E95" i="3" s="1"/>
  <c r="D22" i="3"/>
  <c r="G68" i="3"/>
  <c r="C30" i="56" s="1"/>
  <c r="H30" i="56" s="1"/>
  <c r="M27" i="56"/>
  <c r="H101" i="3" s="1"/>
  <c r="L27" i="56"/>
  <c r="M11" i="56"/>
  <c r="H85" i="3" s="1"/>
  <c r="L11" i="56"/>
  <c r="M24" i="56"/>
  <c r="H98" i="3" s="1"/>
  <c r="L24" i="56"/>
  <c r="L25" i="56"/>
  <c r="M25" i="56"/>
  <c r="H99" i="3" s="1"/>
  <c r="I20" i="56"/>
  <c r="M14" i="56"/>
  <c r="H88" i="3" s="1"/>
  <c r="L14" i="56"/>
  <c r="L21" i="56"/>
  <c r="M21" i="56"/>
  <c r="H95" i="3" s="1"/>
  <c r="L29" i="56"/>
  <c r="M29" i="56"/>
  <c r="H103" i="3" s="1"/>
  <c r="L35" i="56"/>
  <c r="M35" i="56" s="1"/>
  <c r="I17" i="56"/>
  <c r="M28" i="56"/>
  <c r="H102" i="3" s="1"/>
  <c r="L28" i="56"/>
  <c r="I13" i="56"/>
  <c r="H24" i="56"/>
  <c r="I15" i="56"/>
  <c r="L30" i="56"/>
  <c r="M30" i="56"/>
  <c r="H104" i="3" s="1"/>
  <c r="M23" i="56"/>
  <c r="H97" i="3" s="1"/>
  <c r="L23" i="56"/>
  <c r="I16" i="56"/>
  <c r="C4" i="48"/>
  <c r="K35" i="3"/>
  <c r="D60" i="3"/>
  <c r="I70" i="3"/>
  <c r="I72" i="3" s="1"/>
  <c r="A47" i="33"/>
  <c r="A48" i="33" s="1"/>
  <c r="A49" i="33" s="1"/>
  <c r="A50" i="33" s="1"/>
  <c r="A51" i="33" s="1"/>
  <c r="A52" i="33" s="1"/>
  <c r="A53" i="33" s="1"/>
  <c r="A54" i="33" s="1"/>
  <c r="A55" i="33" s="1"/>
  <c r="I6" i="33"/>
  <c r="I33" i="37"/>
  <c r="I35" i="37" s="1"/>
  <c r="I9" i="7"/>
  <c r="I24" i="7"/>
  <c r="K24" i="7" s="1"/>
  <c r="L24" i="7" s="1"/>
  <c r="I14" i="7"/>
  <c r="K14" i="7" s="1"/>
  <c r="L14" i="7" s="1"/>
  <c r="F13" i="3" s="1"/>
  <c r="G53" i="3" s="1"/>
  <c r="C15" i="56" s="1"/>
  <c r="H15" i="56" s="1"/>
  <c r="F10" i="7"/>
  <c r="G10" i="7" s="1"/>
  <c r="H10" i="7" s="1"/>
  <c r="F11" i="7"/>
  <c r="G11" i="7" s="1"/>
  <c r="H11" i="7" s="1"/>
  <c r="H164" i="33"/>
  <c r="G32" i="7"/>
  <c r="G33" i="7" s="1"/>
  <c r="AF7" i="32"/>
  <c r="AG7" i="32" s="1"/>
  <c r="F20" i="7"/>
  <c r="G20" i="7" s="1"/>
  <c r="I20" i="7" s="1"/>
  <c r="K20" i="7" s="1"/>
  <c r="L20" i="7" s="1"/>
  <c r="F17" i="7"/>
  <c r="G17" i="7" s="1"/>
  <c r="H17" i="7" s="1"/>
  <c r="F12" i="7"/>
  <c r="G12" i="7" s="1"/>
  <c r="I12" i="7" s="1"/>
  <c r="H188" i="33"/>
  <c r="H189" i="33" s="1"/>
  <c r="H71" i="3"/>
  <c r="AF11" i="32"/>
  <c r="AG11" i="32" s="1"/>
  <c r="AF10" i="32"/>
  <c r="AG10" i="32" s="1"/>
  <c r="AF9" i="32"/>
  <c r="AG9" i="32" s="1"/>
  <c r="F15" i="7"/>
  <c r="G15" i="7" s="1"/>
  <c r="I15" i="7" s="1"/>
  <c r="F19" i="7"/>
  <c r="G19" i="7" s="1"/>
  <c r="F21" i="7"/>
  <c r="G21" i="7" s="1"/>
  <c r="I21" i="7" s="1"/>
  <c r="K21" i="7" s="1"/>
  <c r="L21" i="7" s="1"/>
  <c r="F25" i="7"/>
  <c r="G25" i="7" s="1"/>
  <c r="F13" i="7"/>
  <c r="G13" i="7" s="1"/>
  <c r="I13" i="7" s="1"/>
  <c r="W8" i="32"/>
  <c r="X8" i="32" s="1"/>
  <c r="W12" i="32"/>
  <c r="W16" i="32"/>
  <c r="W15" i="32"/>
  <c r="W9" i="32"/>
  <c r="X9" i="32" s="1"/>
  <c r="W13" i="32"/>
  <c r="X13" i="32" s="1"/>
  <c r="W17" i="32"/>
  <c r="W7" i="32"/>
  <c r="X7" i="32" s="1"/>
  <c r="W11" i="32"/>
  <c r="X11" i="32" s="1"/>
  <c r="W10" i="32"/>
  <c r="X10" i="32" s="1"/>
  <c r="W14" i="32"/>
  <c r="X14" i="32" s="1"/>
  <c r="W6" i="32"/>
  <c r="X6" i="32" s="1"/>
  <c r="I188" i="33"/>
  <c r="I189" i="33" s="1"/>
  <c r="AF6" i="32"/>
  <c r="AG6" i="32" s="1"/>
  <c r="AF12" i="32"/>
  <c r="AG12" i="32" s="1"/>
  <c r="AF14" i="32"/>
  <c r="AG14" i="32" s="1"/>
  <c r="F16" i="7"/>
  <c r="G16" i="7" s="1"/>
  <c r="F18" i="7"/>
  <c r="G18" i="7" s="1"/>
  <c r="F23" i="7"/>
  <c r="G23" i="7" s="1"/>
  <c r="H23" i="7" s="1"/>
  <c r="F22" i="7"/>
  <c r="G22" i="7" s="1"/>
  <c r="I22" i="7" s="1"/>
  <c r="U6" i="32"/>
  <c r="U9" i="32"/>
  <c r="U7" i="32"/>
  <c r="U14" i="32"/>
  <c r="U13" i="32"/>
  <c r="U12" i="32"/>
  <c r="U10" i="32"/>
  <c r="U11" i="32"/>
  <c r="U8" i="32"/>
  <c r="G6" i="33"/>
  <c r="F59" i="3"/>
  <c r="D59" i="3" s="1"/>
  <c r="G189" i="33"/>
  <c r="E189" i="33"/>
  <c r="F6" i="33"/>
  <c r="F27" i="33"/>
  <c r="F180" i="33" s="1"/>
  <c r="H6" i="33"/>
  <c r="F58" i="3"/>
  <c r="M6" i="33"/>
  <c r="F31" i="3" s="1"/>
  <c r="D31" i="3" s="1"/>
  <c r="G65" i="3"/>
  <c r="C27" i="56" s="1"/>
  <c r="H27" i="56" s="1"/>
  <c r="M27" i="33"/>
  <c r="M182" i="33" s="1"/>
  <c r="O14" i="7"/>
  <c r="I41" i="37"/>
  <c r="H69" i="3"/>
  <c r="I31" i="56" s="1"/>
  <c r="H9" i="7"/>
  <c r="X16" i="32"/>
  <c r="T17" i="32"/>
  <c r="U17" i="32" s="1"/>
  <c r="T16" i="32"/>
  <c r="U16" i="32" s="1"/>
  <c r="T15" i="32"/>
  <c r="N18" i="32"/>
  <c r="O7" i="32" s="1"/>
  <c r="J6" i="32"/>
  <c r="K6" i="32" s="1"/>
  <c r="J13" i="32"/>
  <c r="K13" i="32" s="1"/>
  <c r="J7" i="32"/>
  <c r="K7" i="32" s="1"/>
  <c r="J16" i="32"/>
  <c r="K16" i="32" s="1"/>
  <c r="J10" i="32"/>
  <c r="K10" i="32" s="1"/>
  <c r="J11" i="32"/>
  <c r="K11" i="32" s="1"/>
  <c r="J8" i="32"/>
  <c r="K8" i="32" s="1"/>
  <c r="J17" i="32"/>
  <c r="K17" i="32" s="1"/>
  <c r="J14" i="32"/>
  <c r="K14" i="32" s="1"/>
  <c r="J12" i="32"/>
  <c r="K12" i="32" s="1"/>
  <c r="J15" i="32"/>
  <c r="K15" i="32" s="1"/>
  <c r="X12" i="32"/>
  <c r="AA13" i="32"/>
  <c r="G18" i="32"/>
  <c r="H7" i="32"/>
  <c r="H18" i="32" s="1"/>
  <c r="Z18" i="32"/>
  <c r="J35" i="3"/>
  <c r="F63" i="3"/>
  <c r="H30" i="3"/>
  <c r="I35" i="3"/>
  <c r="K57" i="3"/>
  <c r="H34" i="3"/>
  <c r="F61" i="3"/>
  <c r="D61" i="3" s="1"/>
  <c r="H17" i="3"/>
  <c r="H21" i="7"/>
  <c r="F67" i="3"/>
  <c r="H57" i="3"/>
  <c r="AA11" i="32"/>
  <c r="AD6" i="32"/>
  <c r="AD18" i="32" s="1"/>
  <c r="F189" i="33"/>
  <c r="E6" i="33"/>
  <c r="H27" i="33"/>
  <c r="H180" i="33" s="1"/>
  <c r="E27" i="32"/>
  <c r="E39" i="32" s="1"/>
  <c r="K70" i="3"/>
  <c r="AC18" i="32"/>
  <c r="P108" i="3"/>
  <c r="L72" i="3"/>
  <c r="L73" i="3" s="1"/>
  <c r="D26" i="7"/>
  <c r="G19" i="1"/>
  <c r="H19" i="1" s="1"/>
  <c r="C9" i="37" s="1"/>
  <c r="E18" i="32"/>
  <c r="J9" i="1"/>
  <c r="E38" i="3"/>
  <c r="D18" i="32"/>
  <c r="X17" i="32"/>
  <c r="Q17" i="32"/>
  <c r="R17" i="32" s="1"/>
  <c r="Q6" i="32"/>
  <c r="P175" i="33"/>
  <c r="I164" i="33"/>
  <c r="D28" i="1"/>
  <c r="G27" i="33"/>
  <c r="G182" i="33" s="1"/>
  <c r="F62" i="3"/>
  <c r="I27" i="33"/>
  <c r="E27" i="33"/>
  <c r="F66" i="3"/>
  <c r="O16" i="32" l="1"/>
  <c r="I34" i="56"/>
  <c r="L34" i="56" s="1"/>
  <c r="M34" i="56" s="1"/>
  <c r="N34" i="56" s="1"/>
  <c r="H107" i="3"/>
  <c r="F107" i="3" s="1"/>
  <c r="D107" i="3" s="1"/>
  <c r="N35" i="56"/>
  <c r="I105" i="3"/>
  <c r="I106" i="3" s="1"/>
  <c r="I108" i="3" s="1"/>
  <c r="F68" i="3"/>
  <c r="D68" i="3" s="1"/>
  <c r="N24" i="56"/>
  <c r="G98" i="3" s="1"/>
  <c r="F98" i="3" s="1"/>
  <c r="D98" i="3" s="1"/>
  <c r="N27" i="56"/>
  <c r="G101" i="3" s="1"/>
  <c r="F101" i="3" s="1"/>
  <c r="I19" i="56"/>
  <c r="I33" i="56" s="1"/>
  <c r="N29" i="56"/>
  <c r="G103" i="3" s="1"/>
  <c r="F103" i="3" s="1"/>
  <c r="N25" i="56"/>
  <c r="G99" i="3" s="1"/>
  <c r="F99" i="3" s="1"/>
  <c r="N28" i="56"/>
  <c r="G102" i="3" s="1"/>
  <c r="F102" i="3" s="1"/>
  <c r="M16" i="56"/>
  <c r="H90" i="3" s="1"/>
  <c r="L16" i="56"/>
  <c r="M20" i="56"/>
  <c r="H94" i="3" s="1"/>
  <c r="I32" i="56"/>
  <c r="L20" i="56"/>
  <c r="N30" i="56"/>
  <c r="G104" i="3" s="1"/>
  <c r="F104" i="3" s="1"/>
  <c r="D104" i="3" s="1"/>
  <c r="N21" i="56"/>
  <c r="G95" i="3" s="1"/>
  <c r="F95" i="3" s="1"/>
  <c r="D95" i="3" s="1"/>
  <c r="M31" i="56"/>
  <c r="H105" i="3" s="1"/>
  <c r="L31" i="56"/>
  <c r="N23" i="56"/>
  <c r="G97" i="3" s="1"/>
  <c r="F97" i="3" s="1"/>
  <c r="D97" i="3" s="1"/>
  <c r="M15" i="56"/>
  <c r="H89" i="3" s="1"/>
  <c r="L15" i="56"/>
  <c r="M13" i="56"/>
  <c r="H87" i="3" s="1"/>
  <c r="L13" i="56"/>
  <c r="M17" i="56"/>
  <c r="H91" i="3" s="1"/>
  <c r="L17" i="56"/>
  <c r="N14" i="56"/>
  <c r="N11" i="56"/>
  <c r="A56" i="33"/>
  <c r="F178" i="33"/>
  <c r="F182" i="33"/>
  <c r="G183" i="33" s="1"/>
  <c r="F71" i="3"/>
  <c r="D71" i="3" s="1"/>
  <c r="H20" i="7"/>
  <c r="I23" i="7"/>
  <c r="K23" i="7" s="1"/>
  <c r="L23" i="7" s="1"/>
  <c r="I17" i="7"/>
  <c r="K17" i="7" s="1"/>
  <c r="L17" i="7" s="1"/>
  <c r="F16" i="3" s="1"/>
  <c r="G56" i="3" s="1"/>
  <c r="I18" i="7"/>
  <c r="K18" i="7" s="1"/>
  <c r="L18" i="7" s="1"/>
  <c r="I10" i="7"/>
  <c r="K10" i="7" s="1"/>
  <c r="L10" i="7" s="1"/>
  <c r="F9" i="3" s="1"/>
  <c r="G49" i="3" s="1"/>
  <c r="C11" i="56" s="1"/>
  <c r="H11" i="56" s="1"/>
  <c r="I19" i="7"/>
  <c r="K19" i="7" s="1"/>
  <c r="L19" i="7" s="1"/>
  <c r="K13" i="7"/>
  <c r="L13" i="7" s="1"/>
  <c r="F12" i="3" s="1"/>
  <c r="G52" i="3" s="1"/>
  <c r="C14" i="56" s="1"/>
  <c r="H14" i="56" s="1"/>
  <c r="K15" i="7"/>
  <c r="L15" i="7" s="1"/>
  <c r="F14" i="3" s="1"/>
  <c r="G54" i="3" s="1"/>
  <c r="C16" i="56" s="1"/>
  <c r="H16" i="56" s="1"/>
  <c r="I25" i="7"/>
  <c r="K25" i="7" s="1"/>
  <c r="L25" i="7" s="1"/>
  <c r="I11" i="7"/>
  <c r="K11" i="7" s="1"/>
  <c r="L11" i="7" s="1"/>
  <c r="F10" i="3" s="1"/>
  <c r="G50" i="3" s="1"/>
  <c r="C12" i="56" s="1"/>
  <c r="H12" i="56" s="1"/>
  <c r="G86" i="3" s="1"/>
  <c r="F86" i="3" s="1"/>
  <c r="I16" i="7"/>
  <c r="K16" i="7" s="1"/>
  <c r="L16" i="7" s="1"/>
  <c r="H16" i="7"/>
  <c r="G26" i="7"/>
  <c r="O11" i="32"/>
  <c r="AH11" i="32" s="1"/>
  <c r="D32" i="32" s="1"/>
  <c r="O8" i="32"/>
  <c r="AH8" i="32" s="1"/>
  <c r="D29" i="32" s="1"/>
  <c r="AF18" i="32"/>
  <c r="E12" i="3"/>
  <c r="E52" i="3" s="1"/>
  <c r="E14" i="56" s="1"/>
  <c r="H12" i="7"/>
  <c r="H15" i="7"/>
  <c r="H13" i="7"/>
  <c r="O17" i="32"/>
  <c r="AH17" i="32" s="1"/>
  <c r="D38" i="32" s="1"/>
  <c r="O10" i="32"/>
  <c r="AH10" i="32" s="1"/>
  <c r="D31" i="32" s="1"/>
  <c r="AH16" i="32"/>
  <c r="D37" i="32" s="1"/>
  <c r="O14" i="32"/>
  <c r="AH14" i="32" s="1"/>
  <c r="D35" i="32" s="1"/>
  <c r="O13" i="32"/>
  <c r="AH13" i="32" s="1"/>
  <c r="D34" i="32" s="1"/>
  <c r="K12" i="7"/>
  <c r="L12" i="7" s="1"/>
  <c r="F11" i="3" s="1"/>
  <c r="G51" i="3" s="1"/>
  <c r="O9" i="32"/>
  <c r="AH9" i="32" s="1"/>
  <c r="D30" i="32" s="1"/>
  <c r="H22" i="7"/>
  <c r="K22" i="7"/>
  <c r="L22" i="7" s="1"/>
  <c r="O15" i="32"/>
  <c r="O6" i="32"/>
  <c r="F26" i="7"/>
  <c r="O12" i="32"/>
  <c r="AH12" i="32" s="1"/>
  <c r="AH7" i="32"/>
  <c r="D28" i="32" s="1"/>
  <c r="H182" i="33"/>
  <c r="I180" i="33"/>
  <c r="H178" i="33"/>
  <c r="F65" i="3"/>
  <c r="H70" i="3"/>
  <c r="O12" i="7"/>
  <c r="O19" i="7" s="1"/>
  <c r="F32" i="3"/>
  <c r="M178" i="33"/>
  <c r="I38" i="37"/>
  <c r="I40" i="37" s="1"/>
  <c r="I42" i="37" s="1"/>
  <c r="I43" i="37" s="1"/>
  <c r="M180" i="33"/>
  <c r="F53" i="3"/>
  <c r="AA18" i="32"/>
  <c r="U15" i="32"/>
  <c r="T18" i="32"/>
  <c r="J18" i="32"/>
  <c r="G22" i="1"/>
  <c r="H22" i="1" s="1"/>
  <c r="C12" i="37" s="1"/>
  <c r="U18" i="32"/>
  <c r="AG18" i="32"/>
  <c r="K72" i="3"/>
  <c r="H35" i="3"/>
  <c r="I40" i="3"/>
  <c r="J39" i="3"/>
  <c r="E9" i="3"/>
  <c r="E21" i="37"/>
  <c r="E16" i="3"/>
  <c r="E56" i="3" s="1"/>
  <c r="E18" i="56" s="1"/>
  <c r="E17" i="37"/>
  <c r="E11" i="3"/>
  <c r="E51" i="3" s="1"/>
  <c r="E13" i="56" s="1"/>
  <c r="E18" i="3"/>
  <c r="E58" i="3" s="1"/>
  <c r="E20" i="56" s="1"/>
  <c r="E13" i="3"/>
  <c r="E53" i="3" s="1"/>
  <c r="E15" i="56" s="1"/>
  <c r="E26" i="3"/>
  <c r="D26" i="3" s="1"/>
  <c r="E10" i="3"/>
  <c r="E15" i="3"/>
  <c r="G23" i="1"/>
  <c r="H23" i="1" s="1"/>
  <c r="C13" i="37" s="1"/>
  <c r="H27" i="1"/>
  <c r="C20" i="37" s="1"/>
  <c r="H26" i="1"/>
  <c r="C18" i="37" s="1"/>
  <c r="F24" i="3" s="1"/>
  <c r="G64" i="3" s="1"/>
  <c r="G18" i="1"/>
  <c r="H18" i="1" s="1"/>
  <c r="C8" i="37" s="1"/>
  <c r="G20" i="1"/>
  <c r="H20" i="1" s="1"/>
  <c r="C10" i="37" s="1"/>
  <c r="E10" i="37" s="1"/>
  <c r="E182" i="33"/>
  <c r="E178" i="33"/>
  <c r="E180" i="33"/>
  <c r="K9" i="7"/>
  <c r="G21" i="1"/>
  <c r="H21" i="1" s="1"/>
  <c r="C11" i="37" s="1"/>
  <c r="G178" i="33"/>
  <c r="G180" i="33"/>
  <c r="Q18" i="32"/>
  <c r="R6" i="32"/>
  <c r="R18" i="32" s="1"/>
  <c r="K18" i="32"/>
  <c r="D62" i="3"/>
  <c r="G24" i="1"/>
  <c r="H24" i="1" s="1"/>
  <c r="C14" i="37" s="1"/>
  <c r="I178" i="33"/>
  <c r="I182" i="33"/>
  <c r="X15" i="32"/>
  <c r="X18" i="32" s="1"/>
  <c r="W18" i="32"/>
  <c r="I26" i="7" l="1"/>
  <c r="G184" i="33"/>
  <c r="F184" i="33"/>
  <c r="G88" i="3"/>
  <c r="F88" i="3" s="1"/>
  <c r="H93" i="3"/>
  <c r="G85" i="3"/>
  <c r="F85" i="3" s="1"/>
  <c r="H106" i="3"/>
  <c r="H72" i="3"/>
  <c r="H75" i="3" s="1"/>
  <c r="N13" i="56"/>
  <c r="I36" i="56"/>
  <c r="N17" i="56"/>
  <c r="N15" i="56"/>
  <c r="G89" i="3" s="1"/>
  <c r="F89" i="3" s="1"/>
  <c r="N16" i="56"/>
  <c r="G90" i="3" s="1"/>
  <c r="F90" i="3" s="1"/>
  <c r="D9" i="3"/>
  <c r="M19" i="56"/>
  <c r="M33" i="56" s="1"/>
  <c r="N31" i="56"/>
  <c r="P13" i="56"/>
  <c r="Q13" i="56" s="1"/>
  <c r="E87" i="3" s="1"/>
  <c r="P20" i="56"/>
  <c r="P18" i="56"/>
  <c r="Q18" i="56" s="1"/>
  <c r="E92" i="3" s="1"/>
  <c r="P15" i="56"/>
  <c r="Q15" i="56" s="1"/>
  <c r="E89" i="3" s="1"/>
  <c r="F51" i="3"/>
  <c r="C13" i="56"/>
  <c r="H13" i="56" s="1"/>
  <c r="F56" i="3"/>
  <c r="C18" i="56"/>
  <c r="H18" i="56" s="1"/>
  <c r="N20" i="56"/>
  <c r="G94" i="3" s="1"/>
  <c r="L32" i="56"/>
  <c r="P14" i="56"/>
  <c r="Q14" i="56" s="1"/>
  <c r="E88" i="3" s="1"/>
  <c r="C26" i="56"/>
  <c r="M32" i="56"/>
  <c r="F54" i="3"/>
  <c r="D12" i="3"/>
  <c r="F52" i="3"/>
  <c r="A57" i="33"/>
  <c r="A58" i="33" s="1"/>
  <c r="A59" i="33" s="1"/>
  <c r="M184" i="33"/>
  <c r="M183" i="33"/>
  <c r="F49" i="3"/>
  <c r="F15" i="3"/>
  <c r="G55" i="3" s="1"/>
  <c r="F50" i="3"/>
  <c r="D10" i="3"/>
  <c r="H26" i="7"/>
  <c r="G36" i="7"/>
  <c r="AH6" i="32"/>
  <c r="D27" i="32" s="1"/>
  <c r="E25" i="3"/>
  <c r="E19" i="37"/>
  <c r="O18" i="32"/>
  <c r="F64" i="3"/>
  <c r="AH15" i="32"/>
  <c r="J183" i="33"/>
  <c r="J184" i="33"/>
  <c r="D32" i="3"/>
  <c r="D34" i="3" s="1"/>
  <c r="F37" i="3"/>
  <c r="F34" i="3"/>
  <c r="D33" i="32"/>
  <c r="E11" i="37"/>
  <c r="D18" i="3"/>
  <c r="E14" i="37"/>
  <c r="D53" i="3"/>
  <c r="E27" i="3"/>
  <c r="D13" i="3"/>
  <c r="E49" i="3"/>
  <c r="E66" i="3"/>
  <c r="E28" i="56" s="1"/>
  <c r="P28" i="56" s="1"/>
  <c r="Q28" i="56" s="1"/>
  <c r="E102" i="3" s="1"/>
  <c r="D102" i="3" s="1"/>
  <c r="D16" i="3"/>
  <c r="E50" i="3"/>
  <c r="E12" i="56" s="1"/>
  <c r="F183" i="33"/>
  <c r="E8" i="37"/>
  <c r="E20" i="37"/>
  <c r="E7" i="37"/>
  <c r="E23" i="3"/>
  <c r="E63" i="3" s="1"/>
  <c r="E29" i="3"/>
  <c r="E69" i="3" s="1"/>
  <c r="E31" i="56" s="1"/>
  <c r="P31" i="56" s="1"/>
  <c r="Q31" i="56" s="1"/>
  <c r="E105" i="3" s="1"/>
  <c r="E22" i="37"/>
  <c r="D51" i="3"/>
  <c r="E55" i="3"/>
  <c r="E9" i="37"/>
  <c r="D11" i="3"/>
  <c r="E13" i="37"/>
  <c r="D58" i="3"/>
  <c r="D56" i="3"/>
  <c r="I184" i="33"/>
  <c r="I183" i="33"/>
  <c r="L9" i="7"/>
  <c r="G34" i="7" s="1"/>
  <c r="K26" i="7"/>
  <c r="D52" i="3"/>
  <c r="E8" i="3"/>
  <c r="D88" i="3" l="1"/>
  <c r="E14" i="3"/>
  <c r="E12" i="37"/>
  <c r="H110" i="3"/>
  <c r="I37" i="56"/>
  <c r="D89" i="3"/>
  <c r="G87" i="3"/>
  <c r="F87" i="3" s="1"/>
  <c r="D87" i="3" s="1"/>
  <c r="F94" i="3"/>
  <c r="H108" i="3"/>
  <c r="M36" i="56"/>
  <c r="N32" i="56"/>
  <c r="D55" i="3"/>
  <c r="E17" i="56"/>
  <c r="D49" i="3"/>
  <c r="E11" i="56"/>
  <c r="D63" i="3"/>
  <c r="E25" i="56"/>
  <c r="P12" i="56"/>
  <c r="Q12" i="56" s="1"/>
  <c r="E86" i="3" s="1"/>
  <c r="D86" i="3" s="1"/>
  <c r="F55" i="3"/>
  <c r="C17" i="56"/>
  <c r="H17" i="56" s="1"/>
  <c r="G91" i="3" s="1"/>
  <c r="F91" i="3" s="1"/>
  <c r="H26" i="56"/>
  <c r="G100" i="3" s="1"/>
  <c r="A60" i="33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D15" i="3"/>
  <c r="E24" i="3"/>
  <c r="E18" i="37"/>
  <c r="D23" i="37"/>
  <c r="D35" i="48"/>
  <c r="D38" i="48" s="1"/>
  <c r="D34" i="48" s="1"/>
  <c r="E65" i="3"/>
  <c r="E27" i="56" s="1"/>
  <c r="P27" i="56" s="1"/>
  <c r="Q27" i="56" s="1"/>
  <c r="E101" i="3" s="1"/>
  <c r="D101" i="3" s="1"/>
  <c r="D25" i="3"/>
  <c r="D66" i="3"/>
  <c r="E67" i="3"/>
  <c r="E29" i="56" s="1"/>
  <c r="P29" i="56" s="1"/>
  <c r="Q29" i="56" s="1"/>
  <c r="E103" i="3" s="1"/>
  <c r="D103" i="3" s="1"/>
  <c r="D27" i="3"/>
  <c r="D50" i="3"/>
  <c r="D23" i="3"/>
  <c r="AH18" i="32"/>
  <c r="G25" i="1"/>
  <c r="H25" i="1" s="1"/>
  <c r="C16" i="37" s="1"/>
  <c r="E16" i="37" s="1"/>
  <c r="D36" i="32"/>
  <c r="D39" i="32" s="1"/>
  <c r="G16" i="1"/>
  <c r="E48" i="3"/>
  <c r="E10" i="56" s="1"/>
  <c r="E17" i="3"/>
  <c r="G35" i="7"/>
  <c r="G37" i="7" s="1"/>
  <c r="G40" i="7" s="1"/>
  <c r="L26" i="7"/>
  <c r="F8" i="3"/>
  <c r="E54" i="3" l="1"/>
  <c r="D14" i="3"/>
  <c r="F100" i="3"/>
  <c r="D94" i="3"/>
  <c r="P11" i="56"/>
  <c r="Q11" i="56" s="1"/>
  <c r="E85" i="3" s="1"/>
  <c r="D85" i="3" s="1"/>
  <c r="P25" i="56"/>
  <c r="P17" i="56"/>
  <c r="Q17" i="56" s="1"/>
  <c r="E91" i="3" s="1"/>
  <c r="D91" i="3" s="1"/>
  <c r="P10" i="56"/>
  <c r="D65" i="3"/>
  <c r="D24" i="3"/>
  <c r="E64" i="3"/>
  <c r="E30" i="3"/>
  <c r="E35" i="3" s="1"/>
  <c r="A84" i="33"/>
  <c r="A85" i="33" s="1"/>
  <c r="A86" i="33" s="1"/>
  <c r="A87" i="33" s="1"/>
  <c r="D67" i="3"/>
  <c r="F17" i="3"/>
  <c r="G48" i="3"/>
  <c r="C10" i="56" s="1"/>
  <c r="G39" i="7"/>
  <c r="H16" i="1"/>
  <c r="G28" i="1"/>
  <c r="E57" i="3"/>
  <c r="D8" i="3"/>
  <c r="D17" i="3" l="1"/>
  <c r="E16" i="56"/>
  <c r="D54" i="3"/>
  <c r="N18" i="56"/>
  <c r="L19" i="56"/>
  <c r="Q10" i="56"/>
  <c r="Q25" i="56"/>
  <c r="E99" i="3" s="1"/>
  <c r="E26" i="56"/>
  <c r="C19" i="56"/>
  <c r="H10" i="56"/>
  <c r="D64" i="3"/>
  <c r="E70" i="3"/>
  <c r="E72" i="3" s="1"/>
  <c r="E37" i="56" s="1"/>
  <c r="P37" i="56" s="1"/>
  <c r="A88" i="33"/>
  <c r="A89" i="33" s="1"/>
  <c r="F48" i="3"/>
  <c r="F57" i="3" s="1"/>
  <c r="G57" i="3"/>
  <c r="D48" i="3"/>
  <c r="H28" i="1"/>
  <c r="C6" i="37"/>
  <c r="G29" i="3"/>
  <c r="F29" i="3"/>
  <c r="D57" i="3" l="1"/>
  <c r="P16" i="56"/>
  <c r="F10" i="56"/>
  <c r="F20" i="56"/>
  <c r="F32" i="56" s="1"/>
  <c r="F11" i="56"/>
  <c r="F12" i="56"/>
  <c r="F17" i="56"/>
  <c r="F18" i="56"/>
  <c r="L18" i="56" s="1"/>
  <c r="F13" i="56"/>
  <c r="F16" i="56"/>
  <c r="F15" i="56"/>
  <c r="E19" i="56"/>
  <c r="E33" i="56" s="1"/>
  <c r="F14" i="56"/>
  <c r="A91" i="33"/>
  <c r="A92" i="33" s="1"/>
  <c r="A94" i="33" s="1"/>
  <c r="A95" i="33" s="1"/>
  <c r="A96" i="33" s="1"/>
  <c r="A98" i="33" s="1"/>
  <c r="A99" i="33" s="1"/>
  <c r="A101" i="33" s="1"/>
  <c r="A102" i="33" s="1"/>
  <c r="A103" i="33" s="1"/>
  <c r="A105" i="33" s="1"/>
  <c r="A106" i="33" s="1"/>
  <c r="A108" i="33" s="1"/>
  <c r="A109" i="33" s="1"/>
  <c r="A110" i="33" s="1"/>
  <c r="A112" i="33" s="1"/>
  <c r="A114" i="33" s="1"/>
  <c r="A115" i="33" s="1"/>
  <c r="A117" i="33" s="1"/>
  <c r="A118" i="33" s="1"/>
  <c r="A120" i="33" s="1"/>
  <c r="A122" i="33" s="1"/>
  <c r="A123" i="33" s="1"/>
  <c r="A124" i="33" s="1"/>
  <c r="A125" i="33" s="1"/>
  <c r="A126" i="33" s="1"/>
  <c r="A127" i="33" s="1"/>
  <c r="A129" i="33" s="1"/>
  <c r="A131" i="33" s="1"/>
  <c r="A133" i="33" s="1"/>
  <c r="A135" i="33" s="1"/>
  <c r="A136" i="33" s="1"/>
  <c r="A137" i="33" s="1"/>
  <c r="A138" i="33" s="1"/>
  <c r="A139" i="33" s="1"/>
  <c r="A140" i="33" s="1"/>
  <c r="A141" i="33" s="1"/>
  <c r="A142" i="33" s="1"/>
  <c r="A143" i="33" s="1"/>
  <c r="A144" i="33" s="1"/>
  <c r="A145" i="33" s="1"/>
  <c r="A146" i="33" s="1"/>
  <c r="A147" i="33" s="1"/>
  <c r="A148" i="33" s="1"/>
  <c r="A149" i="33" s="1"/>
  <c r="A150" i="33" s="1"/>
  <c r="A151" i="33" s="1"/>
  <c r="A152" i="33" s="1"/>
  <c r="A153" i="33" s="1"/>
  <c r="A90" i="33"/>
  <c r="H19" i="56"/>
  <c r="H33" i="56" s="1"/>
  <c r="G84" i="3"/>
  <c r="B12" i="48" s="1"/>
  <c r="E84" i="3"/>
  <c r="N19" i="56"/>
  <c r="N36" i="56" s="1"/>
  <c r="G92" i="3"/>
  <c r="F92" i="3" s="1"/>
  <c r="D92" i="3" s="1"/>
  <c r="D99" i="3"/>
  <c r="C33" i="56"/>
  <c r="L36" i="56"/>
  <c r="L33" i="56"/>
  <c r="N33" i="56" s="1"/>
  <c r="P26" i="56"/>
  <c r="E32" i="56"/>
  <c r="F30" i="3"/>
  <c r="F35" i="3" s="1"/>
  <c r="G69" i="3"/>
  <c r="C31" i="56" s="1"/>
  <c r="D29" i="3"/>
  <c r="D30" i="3" s="1"/>
  <c r="D35" i="3" s="1"/>
  <c r="C23" i="37"/>
  <c r="E6" i="37"/>
  <c r="E23" i="37" s="1"/>
  <c r="G30" i="3"/>
  <c r="G35" i="3" s="1"/>
  <c r="J69" i="3"/>
  <c r="J105" i="3" s="1"/>
  <c r="J106" i="3" s="1"/>
  <c r="J108" i="3" s="1"/>
  <c r="F19" i="56" l="1"/>
  <c r="E36" i="56"/>
  <c r="Q16" i="56"/>
  <c r="P19" i="56"/>
  <c r="P33" i="56" s="1"/>
  <c r="A154" i="33"/>
  <c r="A155" i="33" s="1"/>
  <c r="A156" i="33" s="1"/>
  <c r="A165" i="33" s="1"/>
  <c r="A166" i="33" s="1"/>
  <c r="A167" i="33" s="1"/>
  <c r="A168" i="33" s="1"/>
  <c r="A169" i="33" s="1"/>
  <c r="A170" i="33" s="1"/>
  <c r="A171" i="33" s="1"/>
  <c r="A172" i="33" s="1"/>
  <c r="A173" i="33" s="1"/>
  <c r="A174" i="33" s="1"/>
  <c r="A175" i="33" s="1"/>
  <c r="A176" i="33" s="1"/>
  <c r="F84" i="3"/>
  <c r="F93" i="3" s="1"/>
  <c r="G93" i="3"/>
  <c r="H31" i="56"/>
  <c r="C32" i="56"/>
  <c r="C36" i="56" s="1"/>
  <c r="Q26" i="56"/>
  <c r="P32" i="56"/>
  <c r="C38" i="48"/>
  <c r="C34" i="48" s="1"/>
  <c r="J70" i="3"/>
  <c r="J72" i="3" s="1"/>
  <c r="F69" i="3"/>
  <c r="G70" i="3"/>
  <c r="G72" i="3" s="1"/>
  <c r="C37" i="56" s="1"/>
  <c r="I38" i="56" s="1"/>
  <c r="E40" i="3"/>
  <c r="G40" i="3" s="1"/>
  <c r="F39" i="3"/>
  <c r="D84" i="3" l="1"/>
  <c r="E90" i="3"/>
  <c r="Q19" i="56"/>
  <c r="Q33" i="56" s="1"/>
  <c r="P36" i="56"/>
  <c r="F33" i="56"/>
  <c r="F36" i="56"/>
  <c r="Q32" i="56"/>
  <c r="Q36" i="56" s="1"/>
  <c r="E100" i="3"/>
  <c r="D32" i="48" s="1"/>
  <c r="C6" i="48" s="1"/>
  <c r="H32" i="56"/>
  <c r="H36" i="56" s="1"/>
  <c r="G105" i="3"/>
  <c r="D69" i="3"/>
  <c r="D70" i="3" s="1"/>
  <c r="D72" i="3" s="1"/>
  <c r="D74" i="3" s="1"/>
  <c r="F70" i="3"/>
  <c r="F72" i="3" s="1"/>
  <c r="E73" i="3" s="1"/>
  <c r="G73" i="3"/>
  <c r="E74" i="3"/>
  <c r="D90" i="3" l="1"/>
  <c r="D93" i="3" s="1"/>
  <c r="E93" i="3"/>
  <c r="D100" i="3"/>
  <c r="E106" i="3"/>
  <c r="F105" i="3"/>
  <c r="G106" i="3"/>
  <c r="E108" i="3" l="1"/>
  <c r="I110" i="3"/>
  <c r="J110" i="3" s="1"/>
  <c r="G108" i="3"/>
  <c r="D105" i="3"/>
  <c r="D106" i="3" s="1"/>
  <c r="D108" i="3" s="1"/>
  <c r="F106" i="3"/>
  <c r="G109" i="3" l="1"/>
  <c r="F108" i="3"/>
  <c r="E109" i="3" s="1"/>
  <c r="B32" i="48"/>
  <c r="C1" i="48" s="1"/>
</calcChain>
</file>

<file path=xl/comments1.xml><?xml version="1.0" encoding="utf-8"?>
<comments xmlns="http://schemas.openxmlformats.org/spreadsheetml/2006/main">
  <authors>
    <author>Věra Benžová</author>
  </authors>
  <commentList>
    <comment ref="H4" authorId="0" shapeId="0">
      <text>
        <r>
          <rPr>
            <b/>
            <sz val="9"/>
            <color indexed="81"/>
            <rFont val="Tahoma"/>
            <family val="2"/>
            <charset val="238"/>
          </rPr>
          <t>Věra Benžová:</t>
        </r>
        <r>
          <rPr>
            <sz val="9"/>
            <color indexed="81"/>
            <rFont val="Tahoma"/>
            <family val="2"/>
            <charset val="238"/>
          </rPr>
          <t xml:space="preserve">
činnost bude upřesněna
do 2018 - 1112, 2019 - 4769, 
2020-?</t>
        </r>
      </text>
    </comment>
  </commentList>
</comments>
</file>

<file path=xl/sharedStrings.xml><?xml version="1.0" encoding="utf-8"?>
<sst xmlns="http://schemas.openxmlformats.org/spreadsheetml/2006/main" count="1433" uniqueCount="707">
  <si>
    <t>Příspěvek celkem</t>
  </si>
  <si>
    <t>SUKB</t>
  </si>
  <si>
    <t>index</t>
  </si>
  <si>
    <t>ř.</t>
  </si>
  <si>
    <t xml:space="preserve">   Činnost</t>
  </si>
  <si>
    <t xml:space="preserve">   C e l k e m</t>
  </si>
  <si>
    <t>Fakulta</t>
  </si>
  <si>
    <t>LF</t>
  </si>
  <si>
    <t>FF</t>
  </si>
  <si>
    <t>PrF</t>
  </si>
  <si>
    <t>FSS</t>
  </si>
  <si>
    <t>PřF</t>
  </si>
  <si>
    <t>FI</t>
  </si>
  <si>
    <t>PdF</t>
  </si>
  <si>
    <t>FSpS</t>
  </si>
  <si>
    <t>ESF</t>
  </si>
  <si>
    <t>celkem</t>
  </si>
  <si>
    <t>ÚVT</t>
  </si>
  <si>
    <t>RMU</t>
  </si>
  <si>
    <t>vzděl.č.</t>
  </si>
  <si>
    <t>ostatní</t>
  </si>
  <si>
    <t>podíl</t>
  </si>
  <si>
    <t>odpisy</t>
  </si>
  <si>
    <t>CJV</t>
  </si>
  <si>
    <t>CZS</t>
  </si>
  <si>
    <t>plán</t>
  </si>
  <si>
    <t>č.</t>
  </si>
  <si>
    <t>akce</t>
  </si>
  <si>
    <t xml:space="preserve"> celkem účtováno přes rektorát</t>
  </si>
  <si>
    <t xml:space="preserve"> celkem účtováno přes FI</t>
  </si>
  <si>
    <t>z toho</t>
  </si>
  <si>
    <t>bez CA</t>
  </si>
  <si>
    <t>RR</t>
  </si>
  <si>
    <t>č.ř.</t>
  </si>
  <si>
    <t>činnost</t>
  </si>
  <si>
    <t xml:space="preserve">Hospodářské </t>
  </si>
  <si>
    <t>středisko</t>
  </si>
  <si>
    <t>fakulty celkem</t>
  </si>
  <si>
    <t>Seznam příloh:</t>
  </si>
  <si>
    <t xml:space="preserve">příloha 1 - </t>
  </si>
  <si>
    <t>Plán</t>
  </si>
  <si>
    <t>Skutečnost</t>
  </si>
  <si>
    <t xml:space="preserve">   z toho:</t>
  </si>
  <si>
    <t xml:space="preserve">v tom - </t>
  </si>
  <si>
    <t>mzdy</t>
  </si>
  <si>
    <t>OON</t>
  </si>
  <si>
    <t>energie</t>
  </si>
  <si>
    <t>opravy, údržba</t>
  </si>
  <si>
    <t>materiál</t>
  </si>
  <si>
    <t>služby</t>
  </si>
  <si>
    <t>cestovné</t>
  </si>
  <si>
    <t>stipendia</t>
  </si>
  <si>
    <t>C-doktorská stipendia</t>
  </si>
  <si>
    <t>112*</t>
  </si>
  <si>
    <t>D-zahr.st.,CEEPUS,AKTION,Socrates</t>
  </si>
  <si>
    <t>113*</t>
  </si>
  <si>
    <t>F-vzdělávací projekty, I-rozvojové programy, J,M,H,E</t>
  </si>
  <si>
    <t>Ostatní dotace ze SR a od úz.celků bez VaV</t>
  </si>
  <si>
    <t>151*,161*</t>
  </si>
  <si>
    <t>Projekty VaV ze SR a od úz.celků</t>
  </si>
  <si>
    <t>Doplňková činnost</t>
  </si>
  <si>
    <t>8*</t>
  </si>
  <si>
    <t>111*</t>
  </si>
  <si>
    <t>Čerpání fondů</t>
  </si>
  <si>
    <t>na vzděl.č.</t>
  </si>
  <si>
    <t>z toho vzdělávací č.</t>
  </si>
  <si>
    <t>Cesnet - poplatky</t>
  </si>
  <si>
    <t>Celkem MU</t>
  </si>
  <si>
    <t>SKM</t>
  </si>
  <si>
    <t xml:space="preserve">příloha 3 -  </t>
  </si>
  <si>
    <t>Celkem</t>
  </si>
  <si>
    <t>RS</t>
  </si>
  <si>
    <t>Schváleno v AS fakulty dne:</t>
  </si>
  <si>
    <t>Podpis:</t>
  </si>
  <si>
    <t>energetický management</t>
  </si>
  <si>
    <t>audit vč.účet. a daň.poradenství, služby INTRASTAT</t>
  </si>
  <si>
    <t xml:space="preserve"> celkem nové náklady - účtováno přes ÚVT</t>
  </si>
  <si>
    <t>bez</t>
  </si>
  <si>
    <t>SPSSN</t>
  </si>
  <si>
    <t>UCT</t>
  </si>
  <si>
    <t xml:space="preserve">   financování nedotačních odpisů režijních pracovišť</t>
  </si>
  <si>
    <t xml:space="preserve">RMU </t>
  </si>
  <si>
    <t xml:space="preserve">pojištění zahr.cest </t>
  </si>
  <si>
    <t>pojištění majetku MU a studentů</t>
  </si>
  <si>
    <t>interní vzdělávání</t>
  </si>
  <si>
    <t>právní poradenství</t>
  </si>
  <si>
    <t>ediční činnost</t>
  </si>
  <si>
    <t>Universitas</t>
  </si>
  <si>
    <t>daň z nemovitostí</t>
  </si>
  <si>
    <t xml:space="preserve"> celkem účtováno přes FSpS</t>
  </si>
  <si>
    <t xml:space="preserve">   příspěvek na vzdělávací činnost</t>
  </si>
  <si>
    <t xml:space="preserve">  na Program</t>
  </si>
  <si>
    <t xml:space="preserve">Financování nedotačních odpisů fakult </t>
  </si>
  <si>
    <t xml:space="preserve">U3V </t>
  </si>
  <si>
    <t xml:space="preserve">Poradenské centrum </t>
  </si>
  <si>
    <t>studentské projekty (program rektora)</t>
  </si>
  <si>
    <t>nájem Šumavská</t>
  </si>
  <si>
    <t xml:space="preserve"> celkem účtováno přes SPSSN</t>
  </si>
  <si>
    <t>IBA</t>
  </si>
  <si>
    <t>provozní pasport (technologický pasport budov )</t>
  </si>
  <si>
    <t>časopis muni.cz vč.fotobanky</t>
  </si>
  <si>
    <t>Převody z fondů/použití fondů</t>
  </si>
  <si>
    <t>fondů</t>
  </si>
  <si>
    <t>FPP</t>
  </si>
  <si>
    <t>FÚUP</t>
  </si>
  <si>
    <t>FO</t>
  </si>
  <si>
    <t>Fstip</t>
  </si>
  <si>
    <t xml:space="preserve"> A-vzděl.č.,specif.VaV,SKM,vlastní,fondy:</t>
  </si>
  <si>
    <t>13* bez 139*,14*</t>
  </si>
  <si>
    <t>119*, 139*</t>
  </si>
  <si>
    <t xml:space="preserve">Účelové příspěvky  na VaV </t>
  </si>
  <si>
    <t>251*</t>
  </si>
  <si>
    <t>A-příspěvek na vzdělávací činnost</t>
  </si>
  <si>
    <t>Dotace na SKM, přísp.na ubytovací a soc.stip.</t>
  </si>
  <si>
    <t>Účelové příspěvky bez VaV</t>
  </si>
  <si>
    <t>VaV - ze SR a od úz.celků</t>
  </si>
  <si>
    <t>Vlastní zdroje (hl.č.za úplatu)</t>
  </si>
  <si>
    <t>Komentář:</t>
  </si>
  <si>
    <t>Výměnu NEI příspěvku za příspěvek na kapitálové výdaje plánujte v nákladech do ř.13 a plánovanou částku uveďte zde:</t>
  </si>
  <si>
    <t xml:space="preserve">Příspěvek do centralizovaných zdrojů celkem </t>
  </si>
  <si>
    <t xml:space="preserve">Účelové příspěvky bez VaV </t>
  </si>
  <si>
    <t xml:space="preserve">Účelové příspěvky na VaV </t>
  </si>
  <si>
    <t>odvody</t>
  </si>
  <si>
    <t>Centrum pro radiační,chem.a biol.bezpečnost</t>
  </si>
  <si>
    <t>výroční zprávy</t>
  </si>
  <si>
    <t>Mendel muzeum</t>
  </si>
  <si>
    <t>CTT</t>
  </si>
  <si>
    <t>celkem účtováno přes CTT</t>
  </si>
  <si>
    <t>Schválil:</t>
  </si>
  <si>
    <t>Příkazce operace:</t>
  </si>
  <si>
    <t>Správce rozpočtu:</t>
  </si>
  <si>
    <t>datum a podpis</t>
  </si>
  <si>
    <t>přidělené</t>
  </si>
  <si>
    <t>prostředky</t>
  </si>
  <si>
    <t>Fsoc</t>
  </si>
  <si>
    <t>velké opravy a údržba</t>
  </si>
  <si>
    <t>veletrhy (Gaudeamus a zahr.)</t>
  </si>
  <si>
    <t xml:space="preserve">provoz auly </t>
  </si>
  <si>
    <t>1a</t>
  </si>
  <si>
    <t>1b</t>
  </si>
  <si>
    <t>organizační zajištění projektů RMU</t>
  </si>
  <si>
    <t>nájem archiv</t>
  </si>
  <si>
    <t xml:space="preserve">akademické soutěže studentů </t>
  </si>
  <si>
    <t xml:space="preserve">   institucionální podpora VaV</t>
  </si>
  <si>
    <t xml:space="preserve">výměna NIV/INV </t>
  </si>
  <si>
    <t xml:space="preserve">  na spolufin.VaVpI</t>
  </si>
  <si>
    <t>1c</t>
  </si>
  <si>
    <t>1d</t>
  </si>
  <si>
    <t>VaV - institucionální podpora</t>
  </si>
  <si>
    <t>z toho vnitro - ú.549 ?</t>
  </si>
  <si>
    <t>Botanická zahrada</t>
  </si>
  <si>
    <t>4* bez FÚUP z dotací</t>
  </si>
  <si>
    <t>Příspěvek 1. Mandatorní výdaje</t>
  </si>
  <si>
    <t>Příspěvek 2. Celouniverzitní aktivity a celouniverzitní součásti</t>
  </si>
  <si>
    <t xml:space="preserve">   režijní pracoviště bez instit.podpory (CP 2)</t>
  </si>
  <si>
    <t xml:space="preserve">   součet CA (CP1)</t>
  </si>
  <si>
    <t>MV Finanční činnosti (ř. 1+2+3+4)</t>
  </si>
  <si>
    <t>CA bez RR</t>
  </si>
  <si>
    <t xml:space="preserve">   centralizované aktivity bez RR</t>
  </si>
  <si>
    <t xml:space="preserve">   rezerva rektora - RR </t>
  </si>
  <si>
    <t>% z přínosu</t>
  </si>
  <si>
    <t xml:space="preserve">Plán financování centralizovaných oprav </t>
  </si>
  <si>
    <t>celkem účtováno přes PdF</t>
  </si>
  <si>
    <t>celkem účtováno přes PřF</t>
  </si>
  <si>
    <t xml:space="preserve">            SPN (režie) - ú.547*</t>
  </si>
  <si>
    <t>propagační akce VaV (Festival vědy, …)</t>
  </si>
  <si>
    <t>Antarktická stanice</t>
  </si>
  <si>
    <t>I. Normativní prostředky z MŠMT v tis. Kč</t>
  </si>
  <si>
    <t>NIV pro INV akce</t>
  </si>
  <si>
    <t>z toho rozpis ze SR</t>
  </si>
  <si>
    <t>z toho ze SR</t>
  </si>
  <si>
    <t>Projekty VaV z dotací ze zahr. a OP VaV</t>
  </si>
  <si>
    <t>152*,153*,157*,159*,167*,169*,19*,257*,259*,267*,269*</t>
  </si>
  <si>
    <t>Příspěvek 2. Celkem (CP1+CP2)</t>
  </si>
  <si>
    <t xml:space="preserve">příloha 2 - </t>
  </si>
  <si>
    <t xml:space="preserve">CP1 + CP2 </t>
  </si>
  <si>
    <t>MV + CP1 + CP2</t>
  </si>
  <si>
    <t>Náklady na tvorbu sociálního fondu ve výši 1 % z mezd (z ř.3) plánujte na ř. 5, tj. plán celkových odvodů bude 34+1=35 % resp. u dotačních projektů na řádky odpovídající příslušnému zdroji financování</t>
  </si>
  <si>
    <t xml:space="preserve">   Přínos na vzdělavací č. a instit.podpora celkem (ř.3)</t>
  </si>
  <si>
    <t xml:space="preserve">   Příspěvek. Celkem (ř.8+ř.13)</t>
  </si>
  <si>
    <t xml:space="preserve">   NEI související s INV </t>
  </si>
  <si>
    <t>CUS</t>
  </si>
  <si>
    <t>UKAZATEL</t>
  </si>
  <si>
    <t>Index</t>
  </si>
  <si>
    <t>CELKEM</t>
  </si>
  <si>
    <t>A+K</t>
  </si>
  <si>
    <t>Ceitec</t>
  </si>
  <si>
    <t>Snížené</t>
  </si>
  <si>
    <t>NEI</t>
  </si>
  <si>
    <t>z</t>
  </si>
  <si>
    <t>%</t>
  </si>
  <si>
    <t>výnosů</t>
  </si>
  <si>
    <t>výnosy*</t>
  </si>
  <si>
    <t>A + K</t>
  </si>
  <si>
    <t xml:space="preserve">  za INV příspěvek na centraliz.akce (zejm.stavby)</t>
  </si>
  <si>
    <t>ProvO</t>
  </si>
  <si>
    <t>IO</t>
  </si>
  <si>
    <t>OVVM</t>
  </si>
  <si>
    <t>NMU</t>
  </si>
  <si>
    <t>Nakladatelství</t>
  </si>
  <si>
    <t>x</t>
  </si>
  <si>
    <t>MM</t>
  </si>
  <si>
    <t xml:space="preserve">Komenského nám. </t>
  </si>
  <si>
    <t>nájem pro FI</t>
  </si>
  <si>
    <t>studentské aktivity</t>
  </si>
  <si>
    <t xml:space="preserve"> celkem účtováno přes UCT</t>
  </si>
  <si>
    <t>CEITEC CŘS</t>
  </si>
  <si>
    <t xml:space="preserve">   Institucionální podpora pro Ceitec, ÚVT a IBA</t>
  </si>
  <si>
    <t xml:space="preserve">dokrytí </t>
  </si>
  <si>
    <t>Přiděleno po výměně</t>
  </si>
  <si>
    <t>k.č.</t>
  </si>
  <si>
    <t>FSpS vč. CUS</t>
  </si>
  <si>
    <t>č.činosti</t>
  </si>
  <si>
    <t>Financování odpisů režijních součástí (nedotačních) č.činnosti 1112</t>
  </si>
  <si>
    <t>NIV pro INV č.činnosti 1112</t>
  </si>
  <si>
    <t>Celkem fak.</t>
  </si>
  <si>
    <t>po zaokr.</t>
  </si>
  <si>
    <t>Prof. prům. přep. stav</t>
  </si>
  <si>
    <t>Doc. prům. přep. stav</t>
  </si>
  <si>
    <t>Započítané body RIV v tis. Kč</t>
  </si>
  <si>
    <t>1</t>
  </si>
  <si>
    <t>2</t>
  </si>
  <si>
    <t>3</t>
  </si>
  <si>
    <t>4</t>
  </si>
  <si>
    <t>5</t>
  </si>
  <si>
    <t>6</t>
  </si>
  <si>
    <t>7</t>
  </si>
  <si>
    <t>8</t>
  </si>
  <si>
    <t>K (VKM)</t>
  </si>
  <si>
    <t>Příspěvek 1 + 2 (MV+CP)</t>
  </si>
  <si>
    <t>MV + CP</t>
  </si>
  <si>
    <t>CELKEM MV + CP</t>
  </si>
  <si>
    <t>Rekapitulace:</t>
  </si>
  <si>
    <t>z toho RMU 1111 v CP</t>
  </si>
  <si>
    <t>zbývá na CP (ř.3-4)</t>
  </si>
  <si>
    <t>rozdíl = chybí (ř.5-6)</t>
  </si>
  <si>
    <t>dofinancovat RMU z FPP (ř.8-9=ř.7)</t>
  </si>
  <si>
    <t>MV</t>
  </si>
  <si>
    <t>CP1 bez RR</t>
  </si>
  <si>
    <t>Nedot.odpisy rež.souč.</t>
  </si>
  <si>
    <t>A</t>
  </si>
  <si>
    <t>dokrytí</t>
  </si>
  <si>
    <t xml:space="preserve">FPP </t>
  </si>
  <si>
    <t>z centraliz.</t>
  </si>
  <si>
    <t>celkem + FPP</t>
  </si>
  <si>
    <t>Kooper.kredity</t>
  </si>
  <si>
    <t>Výkon podle</t>
  </si>
  <si>
    <t>koop.kreditů</t>
  </si>
  <si>
    <t>Příspěvek</t>
  </si>
  <si>
    <t>RMU*</t>
  </si>
  <si>
    <t>* podle pravidel pro sestavování rozpočtu</t>
  </si>
  <si>
    <t>CEITEC</t>
  </si>
  <si>
    <t>Ceitec CŘS</t>
  </si>
  <si>
    <t>CP2</t>
  </si>
  <si>
    <t xml:space="preserve">  splátky NFV</t>
  </si>
  <si>
    <t>Kariérní centrum</t>
  </si>
  <si>
    <t>organizační zajištění projektů RMU - OVaV</t>
  </si>
  <si>
    <t>nájem FF (Veveří)</t>
  </si>
  <si>
    <t>kino Scala</t>
  </si>
  <si>
    <t>Antiviry - celouniverzitní licence</t>
  </si>
  <si>
    <t>VMWare roční podpora (virtuální servery)</t>
  </si>
  <si>
    <t>Statistica celouniverzitní licence</t>
  </si>
  <si>
    <t>SPSS univerzitní licence</t>
  </si>
  <si>
    <t>obnova PC vybavení CPS/UPC - nákup cca 150 ks PC</t>
  </si>
  <si>
    <t>Elektronické informační zdroje, knihovní systém Aleph</t>
  </si>
  <si>
    <t>roční podpora EIS Magion, INET, Oracle</t>
  </si>
  <si>
    <t>pozáruční servis hlasové sítě</t>
  </si>
  <si>
    <t>CPS - provoz, energie, opravy, údržba, úklid, ostraha</t>
  </si>
  <si>
    <t>MS Campus licence</t>
  </si>
  <si>
    <t>servisní podpora zařízení páteřní sítě (Cisco)</t>
  </si>
  <si>
    <t>licence ESRI, budovy/BMS, GIS, Archibus</t>
  </si>
  <si>
    <t>inteligentní budovy,BMS,podpora dostavby UKB, technol.pasport apod.</t>
  </si>
  <si>
    <t xml:space="preserve"> celkem účtováno přes SUKB</t>
  </si>
  <si>
    <t>Přiděleno 1</t>
  </si>
  <si>
    <t>3 = 1 + 2</t>
  </si>
  <si>
    <t>Přiděleno 2</t>
  </si>
  <si>
    <t>pův.</t>
  </si>
  <si>
    <t>navýšení příspěvku</t>
  </si>
  <si>
    <t>snížení příspěvku</t>
  </si>
  <si>
    <t>CP1</t>
  </si>
  <si>
    <t>pův</t>
  </si>
  <si>
    <t>výměny NEI / INV</t>
  </si>
  <si>
    <t>poměr</t>
  </si>
  <si>
    <t>6= 1+2+5</t>
  </si>
  <si>
    <t>10 = 7+8+9</t>
  </si>
  <si>
    <t>11= -2 -5 -8 -9</t>
  </si>
  <si>
    <t>č.1112</t>
  </si>
  <si>
    <t>10a</t>
  </si>
  <si>
    <t>10b</t>
  </si>
  <si>
    <t>dle pom. tab.3</t>
  </si>
  <si>
    <r>
      <t>IV. Výpočet přínosu - normativní prostředky celkem</t>
    </r>
    <r>
      <rPr>
        <sz val="12"/>
        <rFont val="Calibri"/>
        <family val="2"/>
        <charset val="238"/>
      </rPr>
      <t xml:space="preserve"> </t>
    </r>
  </si>
  <si>
    <r>
      <t xml:space="preserve">V. Financování celouniverzitních aktivit a režijních pracovišť </t>
    </r>
    <r>
      <rPr>
        <sz val="10"/>
        <rFont val="Calibri"/>
        <family val="2"/>
      </rPr>
      <t>(v tis. Kč)</t>
    </r>
  </si>
  <si>
    <r>
      <t xml:space="preserve">   </t>
    </r>
    <r>
      <rPr>
        <sz val="8"/>
        <rFont val="Calibri"/>
        <family val="2"/>
      </rPr>
      <t>výměna NEI příspěvku za příspěvek na kapitálové výdaje+spoluf. OP VaVpI PO4</t>
    </r>
  </si>
  <si>
    <r>
      <t xml:space="preserve">   financování nedotačních odpisů fakult </t>
    </r>
    <r>
      <rPr>
        <sz val="9"/>
        <rFont val="Calibri"/>
        <family val="2"/>
      </rPr>
      <t>(odpisy majetku, který nebyl pořízen z dotace)</t>
    </r>
  </si>
  <si>
    <r>
      <t xml:space="preserve">Příspěvek 1. Celkem  MV1 </t>
    </r>
    <r>
      <rPr>
        <sz val="10"/>
        <rFont val="Calibri"/>
        <family val="2"/>
      </rPr>
      <t>(Příloha 1)</t>
    </r>
  </si>
  <si>
    <r>
      <t xml:space="preserve">   K rozdělení fakultám včetně CUS + CJV</t>
    </r>
    <r>
      <rPr>
        <sz val="10"/>
        <rFont val="Calibri"/>
        <family val="2"/>
      </rPr>
      <t>(ř.14-ř.15-ř.16)</t>
    </r>
  </si>
  <si>
    <r>
      <t xml:space="preserve">CA </t>
    </r>
    <r>
      <rPr>
        <i/>
        <vertAlign val="superscript"/>
        <sz val="10"/>
        <rFont val="Calibri"/>
        <family val="2"/>
      </rPr>
      <t>*)</t>
    </r>
  </si>
  <si>
    <t>zaokr.</t>
  </si>
  <si>
    <t>Prof. + doc. v tis. Kč</t>
  </si>
  <si>
    <t>10</t>
  </si>
  <si>
    <t>č. 1111</t>
  </si>
  <si>
    <r>
      <t>č.</t>
    </r>
    <r>
      <rPr>
        <sz val="9"/>
        <color indexed="10"/>
        <rFont val="Calibri"/>
        <family val="2"/>
      </rPr>
      <t xml:space="preserve">1112 </t>
    </r>
    <r>
      <rPr>
        <sz val="9"/>
        <rFont val="Calibri"/>
        <family val="2"/>
      </rPr>
      <t>/ 1111</t>
    </r>
  </si>
  <si>
    <t>č.1111</t>
  </si>
  <si>
    <t>*včetně nedot.odpisů</t>
  </si>
  <si>
    <t>Fakulty celkem</t>
  </si>
  <si>
    <t>Režijní prac.</t>
  </si>
  <si>
    <r>
      <t xml:space="preserve">rež.prac. </t>
    </r>
    <r>
      <rPr>
        <i/>
        <sz val="10"/>
        <rFont val="Calibri"/>
        <family val="2"/>
      </rPr>
      <t>bez CA (CP2)</t>
    </r>
  </si>
  <si>
    <t>kontrola:</t>
  </si>
  <si>
    <t>K          celkem  v tis. Kč (sl.1+2+3+4+5+6+7+8+9+10)</t>
  </si>
  <si>
    <t>nájem FF (Údolní 53)</t>
  </si>
  <si>
    <t>studie, oceňování nemovitostí</t>
  </si>
  <si>
    <t>ASPI + Občanský zákoník</t>
  </si>
  <si>
    <t>ochrana duševního vlastnictví (vč.udržovacích popl.)</t>
  </si>
  <si>
    <t>galerijní pedagogika</t>
  </si>
  <si>
    <t>plošné snížení nákladů ÚVT</t>
  </si>
  <si>
    <t>licence budovy / BMS - roční údržba</t>
  </si>
  <si>
    <t>podpora dostavby UKB a souvis. Náklady</t>
  </si>
  <si>
    <t>rozvoj koncepce  Facility mangementu</t>
  </si>
  <si>
    <t>vybavení a provoz. Laboratoří BMS</t>
  </si>
  <si>
    <t xml:space="preserve"> celkem účtováno přes CEITEC CŘS</t>
  </si>
  <si>
    <t>kurzy češtiny</t>
  </si>
  <si>
    <t xml:space="preserve"> celkem účtováno přes CZS</t>
  </si>
  <si>
    <t xml:space="preserve"> celkem účtováno přes FF</t>
  </si>
  <si>
    <t>rozdělovaná částka</t>
  </si>
  <si>
    <t xml:space="preserve"> Ceitec CŘS</t>
  </si>
  <si>
    <t>IRP</t>
  </si>
  <si>
    <t>MV - výměna NEI na INV a dotaci na OP VaVpI</t>
  </si>
  <si>
    <t>PŘÍSPĚVEK CELKEM</t>
  </si>
  <si>
    <t>Přerozdělení IRP</t>
  </si>
  <si>
    <t>č.č. 1111</t>
  </si>
  <si>
    <t>č.č. 1182</t>
  </si>
  <si>
    <t>č.č. 1112</t>
  </si>
  <si>
    <t>č.č. 2112</t>
  </si>
  <si>
    <t>z toho RMU</t>
  </si>
  <si>
    <t>3a</t>
  </si>
  <si>
    <t>3b</t>
  </si>
  <si>
    <t>3c</t>
  </si>
  <si>
    <t>3d</t>
  </si>
  <si>
    <t>3e</t>
  </si>
  <si>
    <t>3f</t>
  </si>
  <si>
    <t>3g</t>
  </si>
  <si>
    <t>3h</t>
  </si>
  <si>
    <t>3i</t>
  </si>
  <si>
    <t>3j</t>
  </si>
  <si>
    <t>3k</t>
  </si>
  <si>
    <t>3l</t>
  </si>
  <si>
    <t>FAKULTY CELKEM</t>
  </si>
  <si>
    <t>FR MU</t>
  </si>
  <si>
    <t>č.č. 1183</t>
  </si>
  <si>
    <t>FR MU (odbor rozvoje)</t>
  </si>
  <si>
    <t>Příspěvek 111*</t>
  </si>
  <si>
    <t>IRP*</t>
  </si>
  <si>
    <t>1008</t>
  </si>
  <si>
    <t>1009</t>
  </si>
  <si>
    <t>1012</t>
  </si>
  <si>
    <t>1014</t>
  </si>
  <si>
    <t>1015</t>
  </si>
  <si>
    <t>1016</t>
  </si>
  <si>
    <t>1017</t>
  </si>
  <si>
    <t>1019</t>
  </si>
  <si>
    <t>1020</t>
  </si>
  <si>
    <t>1021</t>
  </si>
  <si>
    <t>1023</t>
  </si>
  <si>
    <t>1024</t>
  </si>
  <si>
    <t>1025</t>
  </si>
  <si>
    <t>1026</t>
  </si>
  <si>
    <t>1028</t>
  </si>
  <si>
    <t>1027</t>
  </si>
  <si>
    <t>1029</t>
  </si>
  <si>
    <t>1037</t>
  </si>
  <si>
    <t>1040</t>
  </si>
  <si>
    <t>1052</t>
  </si>
  <si>
    <t>1053</t>
  </si>
  <si>
    <t>1060</t>
  </si>
  <si>
    <t>1061</t>
  </si>
  <si>
    <t>1063</t>
  </si>
  <si>
    <t>1064</t>
  </si>
  <si>
    <t>1074</t>
  </si>
  <si>
    <t>1075</t>
  </si>
  <si>
    <t>1078</t>
  </si>
  <si>
    <t>1081</t>
  </si>
  <si>
    <t>1084</t>
  </si>
  <si>
    <t>1085</t>
  </si>
  <si>
    <t>1086</t>
  </si>
  <si>
    <t>1088</t>
  </si>
  <si>
    <t>1105</t>
  </si>
  <si>
    <t>1403</t>
  </si>
  <si>
    <t>1054</t>
  </si>
  <si>
    <t xml:space="preserve"> celkem účtováno přes FSS</t>
  </si>
  <si>
    <t>poplatek INTERGRAM - Rádio R</t>
  </si>
  <si>
    <t>ERA CHAIR</t>
  </si>
  <si>
    <t>skupina dr. Říhy</t>
  </si>
  <si>
    <t xml:space="preserve"> celkem účtováno přes SKM</t>
  </si>
  <si>
    <t>114*, 115*, 118*,</t>
  </si>
  <si>
    <t>114*, 115*, 118*</t>
  </si>
  <si>
    <t>117*, 12*</t>
  </si>
  <si>
    <t>zakázka</t>
  </si>
  <si>
    <t>KQ</t>
  </si>
  <si>
    <t>StudO</t>
  </si>
  <si>
    <t>OPR</t>
  </si>
  <si>
    <t>OAZ</t>
  </si>
  <si>
    <t>personální poradenství (překlady, inzerce, poradenství apod.)</t>
  </si>
  <si>
    <t>TO</t>
  </si>
  <si>
    <t>Odbor</t>
  </si>
  <si>
    <t>meziroční srovnání</t>
  </si>
  <si>
    <t>Typ</t>
  </si>
  <si>
    <t>HS</t>
  </si>
  <si>
    <t>99 RMU</t>
  </si>
  <si>
    <t>∑</t>
  </si>
  <si>
    <t>71 CEITEC</t>
  </si>
  <si>
    <t>81 SKM</t>
  </si>
  <si>
    <t>83 UCT</t>
  </si>
  <si>
    <t>84 SPSSN</t>
  </si>
  <si>
    <t>85 IBA</t>
  </si>
  <si>
    <t>87 CTT</t>
  </si>
  <si>
    <t>92 ÚVT</t>
  </si>
  <si>
    <t>96 CJV</t>
  </si>
  <si>
    <t>97 CZS</t>
  </si>
  <si>
    <t>79 CŘS</t>
  </si>
  <si>
    <t>82 SUKB</t>
  </si>
  <si>
    <t>41 PdF</t>
  </si>
  <si>
    <t>23 FSS</t>
  </si>
  <si>
    <t>31 PřF</t>
  </si>
  <si>
    <t>33 FI</t>
  </si>
  <si>
    <t>51 FSpS</t>
  </si>
  <si>
    <t>21 FF</t>
  </si>
  <si>
    <t xml:space="preserve">Financování odpisů </t>
  </si>
  <si>
    <t>provoz UCT</t>
  </si>
  <si>
    <t>provoz CEITEC CŘS</t>
  </si>
  <si>
    <t>provoz SKM</t>
  </si>
  <si>
    <t>provoz SUKB</t>
  </si>
  <si>
    <t>provoz SPSSN</t>
  </si>
  <si>
    <t>provoz IBA</t>
  </si>
  <si>
    <t>provoz CTT</t>
  </si>
  <si>
    <t>provoz ÚVT</t>
  </si>
  <si>
    <t>provoz CJV</t>
  </si>
  <si>
    <t>provoz CZS</t>
  </si>
  <si>
    <t>provoz RMU</t>
  </si>
  <si>
    <t>mezisoučet CP1</t>
  </si>
  <si>
    <t>mezisoučet CP2</t>
  </si>
  <si>
    <t>mezisoučet MV</t>
  </si>
  <si>
    <r>
      <t xml:space="preserve">Hosp.středisko: </t>
    </r>
    <r>
      <rPr>
        <sz val="10"/>
        <color indexed="12"/>
        <rFont val="Calibri"/>
        <family val="2"/>
      </rPr>
      <t/>
    </r>
  </si>
  <si>
    <t>Náklady celkem (ř.2+14až23)</t>
  </si>
  <si>
    <t>13a</t>
  </si>
  <si>
    <t>13b</t>
  </si>
  <si>
    <t>Strukturální fondy aj.proj.spoluf.EU</t>
  </si>
  <si>
    <t>Výnosy celkem (ř.25 až 39)</t>
  </si>
  <si>
    <t>Hospodářský výsledek dílčí (ř.25+29+33+37+38+39-2-23)</t>
  </si>
  <si>
    <t>Hospodářský výsledek (ř.24-1)</t>
  </si>
  <si>
    <t>Příspěvek na nedotační odpisy plánujte ve výnosech na ř. 25 (výnos je součástí rozpisu rozdělení příspěvku na HS, č.č.1112), náklad je součástí celkových nákladů na účetní odpisy na ř.11)</t>
  </si>
  <si>
    <t>Náklady na dotační odpisy plánujte na ř. 11, odpovídající částku účtovanou dle vyhl.504 do výnosů plánujte na ř. 37.</t>
  </si>
  <si>
    <t>Prostředky získané ze SR jako spolupříjemci (partneři) dotačních projektů plánujte - projekty VaV na ř. 22 a 36, ostatní na ř. 19 a 32.</t>
  </si>
  <si>
    <t>Akademický senát</t>
  </si>
  <si>
    <t>mezisoučet MV+CP1+CP2</t>
  </si>
  <si>
    <t>mezisoučty pro podrobnosti pracovišť</t>
  </si>
  <si>
    <t xml:space="preserve">               RMU - odvod</t>
  </si>
  <si>
    <t>správa budov Tvrdého 14</t>
  </si>
  <si>
    <t>1087</t>
  </si>
  <si>
    <t>1091</t>
  </si>
  <si>
    <t>tis. Kč</t>
  </si>
  <si>
    <t>součet ř.24  až 26</t>
  </si>
  <si>
    <t>režijní prac.(ř.39 až 50)</t>
  </si>
  <si>
    <t>režijní prac.(ř.64 až 75)</t>
  </si>
  <si>
    <t>1005</t>
  </si>
  <si>
    <t>1006</t>
  </si>
  <si>
    <t xml:space="preserve">MV + CP1 </t>
  </si>
  <si>
    <t>přiděleno</t>
  </si>
  <si>
    <t>přiděleno bez CP1</t>
  </si>
  <si>
    <t xml:space="preserve">nové </t>
  </si>
  <si>
    <t xml:space="preserve"> nové</t>
  </si>
  <si>
    <t xml:space="preserve"> CP1 *</t>
  </si>
  <si>
    <t>CP1*</t>
  </si>
  <si>
    <t>12 = 3 + 11</t>
  </si>
  <si>
    <t>podíl na odvodech</t>
  </si>
  <si>
    <t>ÚSTAVY CELKEM</t>
  </si>
  <si>
    <t>1182+1183</t>
  </si>
  <si>
    <t>č.č. 4769</t>
  </si>
  <si>
    <t>RR (rezerva rektora)</t>
  </si>
  <si>
    <r>
      <t>CP1</t>
    </r>
    <r>
      <rPr>
        <sz val="8"/>
        <color indexed="9"/>
        <rFont val="Calibri"/>
        <family val="2"/>
        <charset val="238"/>
      </rPr>
      <t xml:space="preserve"> (č.č.1112)</t>
    </r>
  </si>
  <si>
    <r>
      <t xml:space="preserve">CP2 Centralizovaná střediska </t>
    </r>
    <r>
      <rPr>
        <sz val="8"/>
        <color indexed="9"/>
        <rFont val="Calibri"/>
        <family val="2"/>
        <charset val="238"/>
      </rPr>
      <t>(č.č. 1111)</t>
    </r>
  </si>
  <si>
    <t>zajištění udržitelnosti projektu COV</t>
  </si>
  <si>
    <t>rezerva (1% z příspěvku na ukazatel A)</t>
  </si>
  <si>
    <r>
      <t xml:space="preserve">rezerva rektora </t>
    </r>
    <r>
      <rPr>
        <sz val="8"/>
        <rFont val="Calibri"/>
        <family val="2"/>
        <charset val="238"/>
      </rPr>
      <t>(1% z příspěvku MŠMT)</t>
    </r>
  </si>
  <si>
    <t>výměna NEI/INV+ program</t>
  </si>
  <si>
    <t>11</t>
  </si>
  <si>
    <t>1065</t>
  </si>
  <si>
    <t>příprava projektu OP VVV (v r. 2015 Grant Office)</t>
  </si>
  <si>
    <t>1095</t>
  </si>
  <si>
    <t>CPP</t>
  </si>
  <si>
    <t>1096</t>
  </si>
  <si>
    <t>1089</t>
  </si>
  <si>
    <t>Ceny rektora (dřive součástí GA MU)</t>
  </si>
  <si>
    <t>1123</t>
  </si>
  <si>
    <t>93 ÚVT</t>
  </si>
  <si>
    <t>94 ÚVT</t>
  </si>
  <si>
    <t>95 ÚVT</t>
  </si>
  <si>
    <t>96 ÚVT</t>
  </si>
  <si>
    <t>služby pro rekonstrukci webu</t>
  </si>
  <si>
    <t>maple upgrade</t>
  </si>
  <si>
    <t>rozšiřování pokrytí bezdrátové sítě</t>
  </si>
  <si>
    <t>Odvod dle výnosů</t>
  </si>
  <si>
    <t>Odvod dle
 výnosů</t>
  </si>
  <si>
    <t>Podpora zájmové činnosti dětí</t>
  </si>
  <si>
    <t xml:space="preserve">Nájem FF Gorkého </t>
  </si>
  <si>
    <t>Symfonický orchestr</t>
  </si>
  <si>
    <t>Provozní náklady - dofinancování NPÚ II</t>
  </si>
  <si>
    <t>věcná břemena / od roku 2017 pronájem kolektorů</t>
  </si>
  <si>
    <t>&lt;doplnit č.HS a název&gt;</t>
  </si>
  <si>
    <t>2195, 2196, 261*</t>
  </si>
  <si>
    <t>RVH MU</t>
  </si>
  <si>
    <t>Externí příjmy</t>
  </si>
  <si>
    <t>Započítané body RUV v tis. Kč</t>
  </si>
  <si>
    <t xml:space="preserve"> body RUV</t>
  </si>
  <si>
    <t>Cizojazyčné práce</t>
  </si>
  <si>
    <t>Externí příjmy v tis. Kč</t>
  </si>
  <si>
    <t>Zaměst. absolventi</t>
  </si>
  <si>
    <t>Zaměst. absolventů v tis. Kč</t>
  </si>
  <si>
    <t>Cizojazyčné práce v tis. Kč</t>
  </si>
  <si>
    <t>Vyslaní a přijatí studentodní</t>
  </si>
  <si>
    <t>Vyslaní a přijatí v rámci mobilitních programů v tis. Kč</t>
  </si>
  <si>
    <t>Koordinace strategických projektů</t>
  </si>
  <si>
    <t>fixní část</t>
  </si>
  <si>
    <t>výkonová část</t>
  </si>
  <si>
    <t>Fixní část</t>
  </si>
  <si>
    <t>Výkonová část</t>
  </si>
  <si>
    <t>K dokrytí z CP FPP</t>
  </si>
  <si>
    <t xml:space="preserve"> </t>
  </si>
  <si>
    <t xml:space="preserve"> body RIV (2016)</t>
  </si>
  <si>
    <t>Cizinci zaměstnanci počet</t>
  </si>
  <si>
    <t>Cizinci studenti počet</t>
  </si>
  <si>
    <t>Cizinci studenti v tis. Kč</t>
  </si>
  <si>
    <t>Cizinci zaměstnanci v tis. Kč</t>
  </si>
  <si>
    <t>Graduation rate</t>
  </si>
  <si>
    <t>Graduation rate v Kč</t>
  </si>
  <si>
    <t>9</t>
  </si>
  <si>
    <t xml:space="preserve">Ukazatel K </t>
  </si>
  <si>
    <t>AS</t>
  </si>
  <si>
    <t>1098</t>
  </si>
  <si>
    <t>OpK</t>
  </si>
  <si>
    <t>1097</t>
  </si>
  <si>
    <t>1066</t>
  </si>
  <si>
    <t>SPOLUFIN OP VVV</t>
  </si>
  <si>
    <t>OV</t>
  </si>
  <si>
    <t>Dofinancování MUNI 4.0</t>
  </si>
  <si>
    <t>1661</t>
  </si>
  <si>
    <t>SPOLUFIN strategický projekt MUNI 4.0</t>
  </si>
  <si>
    <t>1196</t>
  </si>
  <si>
    <t>Implementace GDPR</t>
  </si>
  <si>
    <t>PO</t>
  </si>
  <si>
    <t>Údržba pozemků UKB</t>
  </si>
  <si>
    <t>Pasportizace nemovistostí</t>
  </si>
  <si>
    <t>1122</t>
  </si>
  <si>
    <t>Odměny senátorům</t>
  </si>
  <si>
    <t>Stipendia studentské komory</t>
  </si>
  <si>
    <t>EO</t>
  </si>
  <si>
    <t>OPŘ</t>
  </si>
  <si>
    <t>Přiděleno fak. + CJV+CUS+IBA</t>
  </si>
  <si>
    <t>(v souladu s podmínkami poskytnutí dotace, dle Pravidel sestavování rozpočtu - čl. 7, odst. 5)</t>
  </si>
  <si>
    <t>Celkem:</t>
  </si>
  <si>
    <t>Částka v tis. Kč</t>
  </si>
  <si>
    <t>KR</t>
  </si>
  <si>
    <t>79 Ceitec - CŘS</t>
  </si>
  <si>
    <t>Činnost</t>
  </si>
  <si>
    <t>CP FPP</t>
  </si>
  <si>
    <t>Přínos podle počtu kredito-studentů</t>
  </si>
  <si>
    <t xml:space="preserve"> celkem účtováno přes CEITEC</t>
  </si>
  <si>
    <t>provoz CEITEC</t>
  </si>
  <si>
    <t>Fakulty + Ceitec</t>
  </si>
  <si>
    <t>podíl na celku</t>
  </si>
  <si>
    <r>
      <t xml:space="preserve">Celkem </t>
    </r>
    <r>
      <rPr>
        <i/>
        <sz val="10"/>
        <rFont val="Calibri"/>
        <family val="2"/>
      </rPr>
      <t>(ř.10+23+27)</t>
    </r>
  </si>
  <si>
    <t>periodické prohlídky zaměstnanců</t>
  </si>
  <si>
    <t>poplatky, spojené s členstvím univerzity v zahr.org.+RVŠ</t>
  </si>
  <si>
    <t>www stránky univerzity (překlady,digitalizace ...)</t>
  </si>
  <si>
    <t xml:space="preserve">Nájem pozemky </t>
  </si>
  <si>
    <t>Evaluace VaV na univerzitě</t>
  </si>
  <si>
    <t>zapojení publikací univerzity do světové distrib.sítě</t>
  </si>
  <si>
    <t xml:space="preserve">Služby CrossRef, koordinace DOI </t>
  </si>
  <si>
    <t>odborná školení (BOZP)</t>
  </si>
  <si>
    <t>Energetické audity</t>
  </si>
  <si>
    <t>Management Masarykovy univerzity</t>
  </si>
  <si>
    <t>Dokument ČT o Masarykově univerzitě</t>
  </si>
  <si>
    <t>100 let dějin Masarykovy univerzity</t>
  </si>
  <si>
    <t>Jazyková příprava zahraničích studentů</t>
  </si>
  <si>
    <t xml:space="preserve">IS Masarykovy univerzity (inf.systém) </t>
  </si>
  <si>
    <t>pěvecký sbor</t>
  </si>
  <si>
    <t>závazek vůči FMN - tvorba fondu na opravy (1% z FMN ročně)-Telč</t>
  </si>
  <si>
    <t>WebLogic - weby Masarykovy univerzity</t>
  </si>
  <si>
    <t>obnova staré generace AP v budovách</t>
  </si>
  <si>
    <t>pronájem licence EES</t>
  </si>
  <si>
    <t>rok 2019</t>
  </si>
  <si>
    <t>2019/18</t>
  </si>
  <si>
    <t>Přerozdělení části IRP na fakulty 2019</t>
  </si>
  <si>
    <r>
      <t xml:space="preserve">111*,117*,12*,152*,153*,157*,159*,167*,169*,19*,211* (bez 2114, </t>
    </r>
    <r>
      <rPr>
        <sz val="8"/>
        <rFont val="Calibri"/>
        <family val="2"/>
        <charset val="238"/>
        <scheme val="minor"/>
      </rPr>
      <t>2115, 2116, 2117)</t>
    </r>
    <r>
      <rPr>
        <sz val="8"/>
        <rFont val="Calibri"/>
        <family val="2"/>
        <charset val="238"/>
      </rPr>
      <t>,</t>
    </r>
    <r>
      <rPr>
        <sz val="8"/>
        <rFont val="Calibri"/>
        <family val="2"/>
      </rPr>
      <t xml:space="preserve"> 257*, 259*,267*,269*,4*</t>
    </r>
  </si>
  <si>
    <t>8 = 3 - 6</t>
  </si>
  <si>
    <t>10 = 8 + 9</t>
  </si>
  <si>
    <t>potřeba CP bez výměny (odvod sl.6 - ř.2)</t>
  </si>
  <si>
    <t>Číslo</t>
  </si>
  <si>
    <t>zak/ podzak</t>
  </si>
  <si>
    <t xml:space="preserve">Název akce </t>
  </si>
  <si>
    <t>Místo</t>
  </si>
  <si>
    <t>Akceptace</t>
  </si>
  <si>
    <t>Neinvestice RMU</t>
  </si>
  <si>
    <t>Dofinancování fakultami a středisky</t>
  </si>
  <si>
    <t>Poříčí 7</t>
  </si>
  <si>
    <t>Vinařská</t>
  </si>
  <si>
    <t>UKB</t>
  </si>
  <si>
    <t>Lipová</t>
  </si>
  <si>
    <t>Prostavěno</t>
  </si>
  <si>
    <t>1071</t>
  </si>
  <si>
    <t>1072</t>
  </si>
  <si>
    <t>1041</t>
  </si>
  <si>
    <t>1042</t>
  </si>
  <si>
    <t>MUNI 100</t>
  </si>
  <si>
    <t>1001</t>
  </si>
  <si>
    <t>Bioskop, středoškolská činnost</t>
  </si>
  <si>
    <t>* včetně rozdělení 54 346 tis. na fakulty a ústavy, viz list "Rozdělení IRP"</t>
  </si>
  <si>
    <t>výměna NEI/INV</t>
  </si>
  <si>
    <t>CA *)</t>
  </si>
  <si>
    <t>FRIM</t>
  </si>
  <si>
    <t>Podíl na centralizovaných inv. akcích a opravách **</t>
  </si>
  <si>
    <t xml:space="preserve">**stanovení zdroje pro úhradu podílu na centrálně zajišťovaných investičních akcích a opravách dle článku 9, ods.3 pravidel sestavování rozpočtu </t>
  </si>
  <si>
    <t>Sloupec č.</t>
  </si>
  <si>
    <t>PVČ</t>
  </si>
  <si>
    <t>Ostatní:…..…..***</t>
  </si>
  <si>
    <t>*** ostatní zdroje pouze se souhlasem kvestora, konkrétní zdroj uveďte do záhlaví sloupce L</t>
  </si>
  <si>
    <r>
      <t>Způsob rozdělení vychází z Pravidel sestavování rozpočtu Masarykovy univerzity pro rok 2020 (Směrnice Masarykovy univerzity č.</t>
    </r>
    <r>
      <rPr>
        <sz val="10"/>
        <rFont val="Calibri"/>
        <family val="2"/>
      </rPr>
      <t xml:space="preserve"> 3/2019)</t>
    </r>
  </si>
  <si>
    <t>Mandatorní výdaje a financování celouniverzitních aktivit v roce 2020</t>
  </si>
  <si>
    <r>
      <t>Rozpočet 2020</t>
    </r>
    <r>
      <rPr>
        <b/>
        <sz val="12"/>
        <color indexed="10"/>
        <rFont val="Calibri"/>
        <family val="2"/>
      </rPr>
      <t xml:space="preserve"> (v tis.Kč)</t>
    </r>
  </si>
  <si>
    <t>2114, 2115, 2116, 2117, 2125, 2126, 213*, 214*, 2151, 22*,2397, 24*</t>
  </si>
  <si>
    <r>
      <t xml:space="preserve">2114, 2115, 2116, 2117, </t>
    </r>
    <r>
      <rPr>
        <sz val="8"/>
        <rFont val="Calibri"/>
        <family val="2"/>
      </rPr>
      <t>2125, 2126, 213*, 214*, 2151, 22*,2397 , 24*</t>
    </r>
  </si>
  <si>
    <t>Přehled neinvestičních požadavků  - tzv. velkých oprav - pro rok 2020</t>
  </si>
  <si>
    <t>Přidělení zdroje financování</t>
  </si>
  <si>
    <t>Požadavek HS</t>
  </si>
  <si>
    <t>FRIM RMU</t>
  </si>
  <si>
    <t>dlažba a čistící zona před vstupem A1</t>
  </si>
  <si>
    <t>A 1</t>
  </si>
  <si>
    <t>oprava výměnou - podlah.krytina a skříňky</t>
  </si>
  <si>
    <t>architektonická studie sportovního areálu</t>
  </si>
  <si>
    <t>projektová dokumentace (dva stupně)výměny rozvodů vody a kanalizace</t>
  </si>
  <si>
    <t>Výměna kastl.oken + doměření ( vnitrodvorní fasáda chybí v pasportu)</t>
  </si>
  <si>
    <t>Poříčí 31</t>
  </si>
  <si>
    <t>oprava a nátěr části uliční fasády</t>
  </si>
  <si>
    <t>Gorkého 7</t>
  </si>
  <si>
    <t>výměna nouzových svítidel</t>
  </si>
  <si>
    <t>oprava venk. dlažby před vstupem</t>
  </si>
  <si>
    <t>oprava vstupní  rampy,dveří a zázemí</t>
  </si>
  <si>
    <t xml:space="preserve">bří Žůrků </t>
  </si>
  <si>
    <t>oprava oplocení II.etapa</t>
  </si>
  <si>
    <t xml:space="preserve">Klácelova </t>
  </si>
  <si>
    <t>oprava fasády</t>
  </si>
  <si>
    <t>Tvrdého</t>
  </si>
  <si>
    <t>oprava terasy menzy</t>
  </si>
  <si>
    <t>rezerva</t>
  </si>
  <si>
    <t>IO RMU - 11.11.2019</t>
  </si>
  <si>
    <t>Kalkulace plánovaných nákladů, které mohou být uhrazeny z DKRVO</t>
  </si>
  <si>
    <t>xxxx podpora univerzitního sportu</t>
  </si>
  <si>
    <t>CRP Brněnské univerzity</t>
  </si>
  <si>
    <t>1801</t>
  </si>
  <si>
    <t>Cerpek</t>
  </si>
  <si>
    <t>1106</t>
  </si>
  <si>
    <t>provoz Cerpek</t>
  </si>
  <si>
    <t>nový vizuál INETu (JVS)</t>
  </si>
  <si>
    <t>Vyhledávací služba EIZ discovery</t>
  </si>
  <si>
    <t>Opravy klimatizačních jednotek</t>
  </si>
  <si>
    <t>Stěhování Bo68a-Šumavská</t>
  </si>
  <si>
    <t>rok 2020</t>
  </si>
  <si>
    <t>II. Výpočet přínosu fakult na výši příspěvku MŠMT na vzdělávací činnost pro Masarykovu univerzitu na rok 2020</t>
  </si>
  <si>
    <t>Pom. tab.1  - Výpočet výkonové části na rok 2020</t>
  </si>
  <si>
    <t>III. Výpočet přínosu na DKRVO pro Masarykovu univerzitu na rok 2020</t>
  </si>
  <si>
    <t>DKRVO 2020</t>
  </si>
  <si>
    <t>Růst</t>
  </si>
  <si>
    <t>Motivační s.</t>
  </si>
  <si>
    <t>Fixní složka</t>
  </si>
  <si>
    <t>Účelová složka</t>
  </si>
  <si>
    <t>Výkonová složka</t>
  </si>
  <si>
    <t>Motivační složka</t>
  </si>
  <si>
    <t>RMU (*)</t>
  </si>
  <si>
    <t>MU celkem</t>
  </si>
  <si>
    <t>DKRVO</t>
  </si>
  <si>
    <t>r o k   2 0 20</t>
  </si>
  <si>
    <t>r o k   2 0 1 9</t>
  </si>
  <si>
    <t>VI. Příspěvek fakult do centralizovaných zdrojů pro účetní období kalendářního roku 2020</t>
  </si>
  <si>
    <t>k výměně za DKRVO</t>
  </si>
  <si>
    <t xml:space="preserve"> = snížení DKRVO</t>
  </si>
  <si>
    <t>změny DKRVO</t>
  </si>
  <si>
    <t>nové</t>
  </si>
  <si>
    <r>
      <rPr>
        <sz val="10"/>
        <rFont val="Calibri"/>
        <family val="2"/>
      </rPr>
      <t>Pom.tab.3 -</t>
    </r>
    <r>
      <rPr>
        <b/>
        <sz val="10"/>
        <rFont val="Calibri"/>
        <family val="2"/>
      </rPr>
      <t xml:space="preserve"> Podklady pro přerozdělení DKRVO a příspěvku mezi Ceitec a součástmi CTT, ÚVT, CŘS a RMU</t>
    </r>
  </si>
  <si>
    <t>původní</t>
  </si>
  <si>
    <t>Osnova rozpočtu na rok 2020</t>
  </si>
  <si>
    <t>Přerozdělení části IRP na fakulty 2020</t>
  </si>
  <si>
    <t>Ceitec MU</t>
  </si>
  <si>
    <t>bez Centralizace DKRVO, FR MU a RR</t>
  </si>
  <si>
    <t>Centralizace DKRVO (OV)</t>
  </si>
  <si>
    <t>*DKRVO - centralizace</t>
  </si>
  <si>
    <t xml:space="preserve">(*) Centralizace DKRVO: GAMU + náklady na centralizované aktivity (EIZ, Etická komise, InCites, Seminar series,  studentské projekty, motivační složka 2020) </t>
  </si>
  <si>
    <r>
      <t>Rozdělení příspěvku</t>
    </r>
    <r>
      <rPr>
        <b/>
        <vertAlign val="superscript"/>
        <sz val="18"/>
        <rFont val="Calibri"/>
        <family val="2"/>
      </rPr>
      <t xml:space="preserve"> </t>
    </r>
    <r>
      <rPr>
        <b/>
        <sz val="18"/>
        <rFont val="Calibri"/>
        <family val="2"/>
      </rPr>
      <t xml:space="preserve"> MŠMT a podpory na DKRVO na rok 2020 v rámci Masarykovy univerzity</t>
    </r>
  </si>
  <si>
    <t xml:space="preserve">VII. Rozpis příspěvku a podpory na DKRVO na jednotlivá hospodářská střediska </t>
  </si>
  <si>
    <r>
      <t xml:space="preserve">a) Rozpis příspěvku a podpory na DKRVO na příslušná hosp.střediska (HS) </t>
    </r>
    <r>
      <rPr>
        <sz val="10"/>
        <rFont val="Calibri"/>
        <family val="2"/>
      </rPr>
      <t>- bez rozpisu centralizovaných prostředků (CP)</t>
    </r>
  </si>
  <si>
    <r>
      <t xml:space="preserve">b) Rozpis příspěvku a podpory na DKRVO - </t>
    </r>
    <r>
      <rPr>
        <sz val="10"/>
        <rFont val="Calibri"/>
        <family val="2"/>
      </rPr>
      <t>včetně rozpisu centralizovaných prostředků na příslušná HS</t>
    </r>
  </si>
  <si>
    <r>
      <t xml:space="preserve">c) Rozpis příspěvku a podpory na DKRVO </t>
    </r>
    <r>
      <rPr>
        <b/>
        <sz val="10"/>
        <color rgb="FFFF0000"/>
        <rFont val="Calibri"/>
        <family val="2"/>
        <charset val="238"/>
        <scheme val="minor"/>
      </rPr>
      <t>konečný</t>
    </r>
    <r>
      <rPr>
        <b/>
        <sz val="10"/>
        <rFont val="Calibri"/>
        <family val="2"/>
        <scheme val="minor"/>
      </rPr>
      <t xml:space="preserve"> - po přerozdělení mezi Ceitec a součástmi CTT, ÚVT, CŘS a RMU</t>
    </r>
  </si>
  <si>
    <r>
      <t>(</t>
    </r>
    <r>
      <rPr>
        <sz val="10"/>
        <rFont val="Calibri"/>
        <family val="2"/>
        <charset val="238"/>
      </rPr>
      <t>z příspěvku MŠMT na ukazatel A+K a z podpory na DKRVO) - v tis. Kč</t>
    </r>
  </si>
  <si>
    <t>Účel složka</t>
  </si>
  <si>
    <t>Výkon.složka</t>
  </si>
  <si>
    <t>Přínos 2020</t>
  </si>
  <si>
    <t>Přínos po úpravě</t>
  </si>
  <si>
    <t>Převod
CJV + CUS</t>
  </si>
  <si>
    <t>V Brně 25. 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</si>
</sst>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K_č_-;\-* #,##0.00\ _K_č_-;_-* &quot;-&quot;??\ _K_č_-;_-@_-"/>
    <numFmt numFmtId="165" formatCode="#,##0.0"/>
    <numFmt numFmtId="166" formatCode="0.000"/>
    <numFmt numFmtId="167" formatCode="#,##0.000"/>
    <numFmt numFmtId="168" formatCode="0.0%"/>
    <numFmt numFmtId="169" formatCode="0.00000"/>
    <numFmt numFmtId="170" formatCode="0.0000"/>
    <numFmt numFmtId="171" formatCode="_-* #,##0\ _K_č_-;\-* #,##0\ _K_č_-;_-* &quot;-&quot;??\ _K_č_-;_-@_-"/>
  </numFmts>
  <fonts count="187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b/>
      <sz val="12"/>
      <name val="Calibri"/>
      <family val="2"/>
      <charset val="238"/>
    </font>
    <font>
      <b/>
      <sz val="18"/>
      <name val="Calibri"/>
      <family val="2"/>
    </font>
    <font>
      <b/>
      <vertAlign val="superscript"/>
      <sz val="18"/>
      <name val="Calibri"/>
      <family val="2"/>
    </font>
    <font>
      <sz val="12"/>
      <name val="Calibri"/>
      <family val="2"/>
      <charset val="238"/>
    </font>
    <font>
      <sz val="10"/>
      <color indexed="12"/>
      <name val="Calibri"/>
      <family val="2"/>
    </font>
    <font>
      <i/>
      <vertAlign val="superscript"/>
      <sz val="10"/>
      <name val="Calibri"/>
      <family val="2"/>
    </font>
    <font>
      <b/>
      <sz val="10"/>
      <name val="Arial CE"/>
      <charset val="238"/>
    </font>
    <font>
      <b/>
      <sz val="8"/>
      <name val="Arial CE"/>
    </font>
    <font>
      <sz val="8"/>
      <name val="Arial CE"/>
    </font>
    <font>
      <i/>
      <sz val="8"/>
      <name val="Arial CE"/>
      <charset val="238"/>
    </font>
    <font>
      <i/>
      <sz val="10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</font>
    <font>
      <sz val="8"/>
      <name val="Arial"/>
      <family val="2"/>
      <charset val="238"/>
    </font>
    <font>
      <b/>
      <sz val="10"/>
      <color indexed="12"/>
      <name val="Arial CE"/>
      <family val="2"/>
    </font>
    <font>
      <sz val="10"/>
      <color indexed="12"/>
      <name val="Arial CE"/>
      <family val="2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sz val="8"/>
      <color indexed="9"/>
      <name val="Calibri"/>
      <family val="2"/>
      <charset val="238"/>
    </font>
    <font>
      <b/>
      <sz val="12"/>
      <color indexed="10"/>
      <name val="Calibri"/>
      <family val="2"/>
    </font>
    <font>
      <sz val="8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8"/>
      <color indexed="9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8"/>
      <name val="Calibri"/>
      <family val="2"/>
      <scheme val="minor"/>
    </font>
    <font>
      <sz val="8"/>
      <color indexed="18"/>
      <name val="Calibri"/>
      <family val="2"/>
      <scheme val="minor"/>
    </font>
    <font>
      <sz val="7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i/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indexed="5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color indexed="12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indexed="12"/>
      <name val="Calibri"/>
      <family val="2"/>
      <scheme val="minor"/>
    </font>
    <font>
      <sz val="9"/>
      <color indexed="12"/>
      <name val="Calibri"/>
      <family val="2"/>
      <scheme val="minor"/>
    </font>
    <font>
      <vertAlign val="superscript"/>
      <sz val="10"/>
      <color indexed="12"/>
      <name val="Calibri"/>
      <family val="2"/>
      <scheme val="minor"/>
    </font>
    <font>
      <i/>
      <sz val="10"/>
      <color indexed="9"/>
      <name val="Calibri"/>
      <family val="2"/>
      <scheme val="minor"/>
    </font>
    <font>
      <i/>
      <vertAlign val="superscript"/>
      <sz val="10"/>
      <color indexed="9"/>
      <name val="Calibri"/>
      <family val="2"/>
      <scheme val="minor"/>
    </font>
    <font>
      <i/>
      <sz val="10"/>
      <color indexed="10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rgb="FF0033CC"/>
      <name val="Calibri"/>
      <family val="2"/>
      <scheme val="minor"/>
    </font>
    <font>
      <b/>
      <i/>
      <sz val="10"/>
      <color indexed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vertAlign val="superscript"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sz val="8"/>
      <color indexed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8"/>
      <color indexed="1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color theme="3" tint="0.39997558519241921"/>
      <name val="Calibri"/>
      <family val="2"/>
      <charset val="238"/>
      <scheme val="minor"/>
    </font>
    <font>
      <sz val="9"/>
      <color theme="3" tint="0.39997558519241921"/>
      <name val="Calibri"/>
      <family val="2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i/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 CE"/>
      <charset val="238"/>
    </font>
    <font>
      <b/>
      <sz val="10"/>
      <color rgb="FFFF0000"/>
      <name val="Arial CE"/>
      <charset val="238"/>
    </font>
    <font>
      <sz val="8"/>
      <color rgb="FFFF0000"/>
      <name val="Arial CE"/>
      <charset val="238"/>
    </font>
    <font>
      <b/>
      <sz val="8"/>
      <color rgb="FFFF000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8"/>
      <color rgb="FFFF0000"/>
      <name val="Arial CE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i/>
      <sz val="10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7" tint="-0.24997711111789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6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2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/>
      <top style="thin">
        <color indexed="64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/>
      <bottom style="medium">
        <color rgb="FF002060"/>
      </bottom>
      <diagonal/>
    </border>
    <border>
      <left style="medium">
        <color indexed="64"/>
      </left>
      <right style="thin">
        <color indexed="64"/>
      </right>
      <top/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108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164" fontId="7" fillId="0" borderId="0" applyFont="0" applyFill="0" applyBorder="0" applyAlignment="0" applyProtection="0"/>
    <xf numFmtId="0" fontId="13" fillId="3" borderId="0" applyNumberFormat="0" applyBorder="0" applyAlignment="0" applyProtection="0"/>
    <xf numFmtId="0" fontId="14" fillId="19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4" borderId="0" applyNumberFormat="0" applyBorder="0" applyAlignment="0" applyProtection="0"/>
    <xf numFmtId="0" fontId="8" fillId="0" borderId="0"/>
    <xf numFmtId="0" fontId="7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0" fillId="0" borderId="0"/>
    <xf numFmtId="0" fontId="5" fillId="0" borderId="0"/>
    <xf numFmtId="0" fontId="5" fillId="0" borderId="0"/>
    <xf numFmtId="0" fontId="7" fillId="8" borderId="6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3" borderId="8" applyNumberFormat="0" applyAlignment="0" applyProtection="0"/>
    <xf numFmtId="0" fontId="25" fillId="13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3" borderId="0" applyNumberFormat="0" applyBorder="0" applyAlignment="0" applyProtection="0"/>
    <xf numFmtId="0" fontId="5" fillId="0" borderId="0"/>
    <xf numFmtId="0" fontId="4" fillId="0" borderId="0"/>
    <xf numFmtId="0" fontId="3" fillId="0" borderId="0"/>
    <xf numFmtId="0" fontId="16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719">
    <xf numFmtId="0" fontId="0" fillId="0" borderId="0" xfId="0"/>
    <xf numFmtId="0" fontId="55" fillId="0" borderId="0" xfId="0" applyFont="1"/>
    <xf numFmtId="0" fontId="55" fillId="0" borderId="24" xfId="0" applyFont="1" applyBorder="1" applyAlignment="1">
      <alignment horizontal="center"/>
    </xf>
    <xf numFmtId="0" fontId="55" fillId="0" borderId="25" xfId="0" applyFont="1" applyBorder="1" applyAlignment="1">
      <alignment horizontal="center"/>
    </xf>
    <xf numFmtId="0" fontId="55" fillId="0" borderId="26" xfId="0" applyFont="1" applyBorder="1" applyAlignment="1">
      <alignment horizontal="center"/>
    </xf>
    <xf numFmtId="0" fontId="55" fillId="0" borderId="27" xfId="0" applyFont="1" applyBorder="1" applyAlignment="1">
      <alignment horizontal="center"/>
    </xf>
    <xf numFmtId="0" fontId="55" fillId="0" borderId="28" xfId="0" applyFont="1" applyBorder="1"/>
    <xf numFmtId="0" fontId="55" fillId="0" borderId="29" xfId="0" applyFont="1" applyBorder="1"/>
    <xf numFmtId="0" fontId="55" fillId="0" borderId="30" xfId="0" applyFont="1" applyBorder="1"/>
    <xf numFmtId="0" fontId="55" fillId="0" borderId="11" xfId="0" applyFont="1" applyBorder="1"/>
    <xf numFmtId="0" fontId="55" fillId="0" borderId="0" xfId="0" applyFont="1" applyBorder="1"/>
    <xf numFmtId="0" fontId="55" fillId="0" borderId="31" xfId="0" applyFont="1" applyBorder="1"/>
    <xf numFmtId="0" fontId="55" fillId="0" borderId="0" xfId="0" applyFont="1" applyFill="1"/>
    <xf numFmtId="0" fontId="56" fillId="0" borderId="0" xfId="0" applyFont="1"/>
    <xf numFmtId="0" fontId="56" fillId="0" borderId="0" xfId="0" applyFont="1" applyBorder="1"/>
    <xf numFmtId="0" fontId="56" fillId="0" borderId="0" xfId="0" applyFont="1" applyFill="1"/>
    <xf numFmtId="0" fontId="57" fillId="0" borderId="0" xfId="0" applyFont="1"/>
    <xf numFmtId="0" fontId="57" fillId="0" borderId="24" xfId="0" applyFont="1" applyBorder="1" applyAlignment="1">
      <alignment horizontal="center"/>
    </xf>
    <xf numFmtId="0" fontId="57" fillId="0" borderId="32" xfId="0" applyFont="1" applyBorder="1" applyAlignment="1">
      <alignment horizontal="center"/>
    </xf>
    <xf numFmtId="0" fontId="57" fillId="0" borderId="32" xfId="0" applyFont="1" applyBorder="1"/>
    <xf numFmtId="0" fontId="57" fillId="38" borderId="33" xfId="0" applyFont="1" applyFill="1" applyBorder="1" applyAlignment="1">
      <alignment horizontal="center"/>
    </xf>
    <xf numFmtId="0" fontId="57" fillId="0" borderId="2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38" borderId="26" xfId="0" applyFont="1" applyFill="1" applyBorder="1" applyAlignment="1">
      <alignment horizontal="center"/>
    </xf>
    <xf numFmtId="0" fontId="57" fillId="38" borderId="34" xfId="0" applyFont="1" applyFill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2" xfId="0" applyFont="1" applyBorder="1" applyAlignment="1">
      <alignment horizontal="center" wrapText="1"/>
    </xf>
    <xf numFmtId="0" fontId="57" fillId="0" borderId="12" xfId="0" applyFont="1" applyBorder="1" applyAlignment="1">
      <alignment horizontal="center"/>
    </xf>
    <xf numFmtId="0" fontId="57" fillId="38" borderId="12" xfId="0" applyFont="1" applyFill="1" applyBorder="1" applyAlignment="1">
      <alignment horizontal="center"/>
    </xf>
    <xf numFmtId="0" fontId="57" fillId="38" borderId="10" xfId="0" applyFont="1" applyFill="1" applyBorder="1" applyAlignment="1">
      <alignment horizontal="center"/>
    </xf>
    <xf numFmtId="0" fontId="57" fillId="38" borderId="35" xfId="0" applyFont="1" applyFill="1" applyBorder="1" applyAlignment="1">
      <alignment horizontal="center"/>
    </xf>
    <xf numFmtId="0" fontId="57" fillId="0" borderId="10" xfId="0" applyFont="1" applyBorder="1"/>
    <xf numFmtId="3" fontId="57" fillId="0" borderId="10" xfId="0" applyNumberFormat="1" applyFont="1" applyBorder="1"/>
    <xf numFmtId="4" fontId="57" fillId="0" borderId="10" xfId="0" applyNumberFormat="1" applyFont="1" applyBorder="1"/>
    <xf numFmtId="3" fontId="57" fillId="38" borderId="10" xfId="0" applyNumberFormat="1" applyFont="1" applyFill="1" applyBorder="1"/>
    <xf numFmtId="3" fontId="58" fillId="0" borderId="10" xfId="0" applyNumberFormat="1" applyFont="1" applyBorder="1"/>
    <xf numFmtId="3" fontId="57" fillId="38" borderId="22" xfId="0" applyNumberFormat="1" applyFont="1" applyFill="1" applyBorder="1"/>
    <xf numFmtId="0" fontId="57" fillId="0" borderId="37" xfId="0" applyFont="1" applyBorder="1"/>
    <xf numFmtId="3" fontId="57" fillId="0" borderId="37" xfId="0" applyNumberFormat="1" applyFont="1" applyBorder="1"/>
    <xf numFmtId="4" fontId="57" fillId="0" borderId="37" xfId="0" applyNumberFormat="1" applyFont="1" applyBorder="1"/>
    <xf numFmtId="3" fontId="57" fillId="38" borderId="37" xfId="0" applyNumberFormat="1" applyFont="1" applyFill="1" applyBorder="1"/>
    <xf numFmtId="3" fontId="58" fillId="0" borderId="37" xfId="0" applyNumberFormat="1" applyFont="1" applyBorder="1"/>
    <xf numFmtId="3" fontId="57" fillId="38" borderId="38" xfId="0" applyNumberFormat="1" applyFont="1" applyFill="1" applyBorder="1"/>
    <xf numFmtId="3" fontId="59" fillId="0" borderId="17" xfId="0" applyNumberFormat="1" applyFont="1" applyBorder="1"/>
    <xf numFmtId="3" fontId="59" fillId="0" borderId="18" xfId="0" applyNumberFormat="1" applyFont="1" applyBorder="1"/>
    <xf numFmtId="4" fontId="59" fillId="0" borderId="18" xfId="0" applyNumberFormat="1" applyFont="1" applyBorder="1"/>
    <xf numFmtId="3" fontId="59" fillId="38" borderId="18" xfId="0" applyNumberFormat="1" applyFont="1" applyFill="1" applyBorder="1"/>
    <xf numFmtId="3" fontId="59" fillId="38" borderId="23" xfId="0" applyNumberFormat="1" applyFont="1" applyFill="1" applyBorder="1"/>
    <xf numFmtId="0" fontId="57" fillId="0" borderId="28" xfId="0" applyFont="1" applyBorder="1"/>
    <xf numFmtId="3" fontId="57" fillId="0" borderId="27" xfId="0" applyNumberFormat="1" applyFont="1" applyBorder="1"/>
    <xf numFmtId="0" fontId="57" fillId="0" borderId="12" xfId="0" applyFont="1" applyBorder="1"/>
    <xf numFmtId="3" fontId="57" fillId="0" borderId="12" xfId="0" applyNumberFormat="1" applyFont="1" applyBorder="1"/>
    <xf numFmtId="4" fontId="57" fillId="0" borderId="12" xfId="0" applyNumberFormat="1" applyFont="1" applyBorder="1"/>
    <xf numFmtId="3" fontId="57" fillId="38" borderId="12" xfId="0" applyNumberFormat="1" applyFont="1" applyFill="1" applyBorder="1"/>
    <xf numFmtId="3" fontId="58" fillId="0" borderId="12" xfId="0" applyNumberFormat="1" applyFont="1" applyBorder="1"/>
    <xf numFmtId="3" fontId="57" fillId="38" borderId="35" xfId="0" applyNumberFormat="1" applyFont="1" applyFill="1" applyBorder="1"/>
    <xf numFmtId="0" fontId="57" fillId="0" borderId="29" xfId="0" applyFont="1" applyBorder="1"/>
    <xf numFmtId="3" fontId="57" fillId="0" borderId="17" xfId="0" applyNumberFormat="1" applyFont="1" applyBorder="1"/>
    <xf numFmtId="3" fontId="57" fillId="0" borderId="18" xfId="0" applyNumberFormat="1" applyFont="1" applyBorder="1"/>
    <xf numFmtId="4" fontId="57" fillId="0" borderId="18" xfId="0" applyNumberFormat="1" applyFont="1" applyBorder="1"/>
    <xf numFmtId="3" fontId="57" fillId="38" borderId="18" xfId="0" applyNumberFormat="1" applyFont="1" applyFill="1" applyBorder="1"/>
    <xf numFmtId="3" fontId="57" fillId="38" borderId="23" xfId="0" applyNumberFormat="1" applyFont="1" applyFill="1" applyBorder="1"/>
    <xf numFmtId="0" fontId="57" fillId="0" borderId="0" xfId="0" applyFont="1" applyBorder="1"/>
    <xf numFmtId="0" fontId="57" fillId="0" borderId="15" xfId="0" applyFont="1" applyBorder="1"/>
    <xf numFmtId="0" fontId="57" fillId="0" borderId="36" xfId="0" applyFont="1" applyBorder="1"/>
    <xf numFmtId="0" fontId="57" fillId="0" borderId="39" xfId="0" applyFont="1" applyBorder="1"/>
    <xf numFmtId="0" fontId="57" fillId="0" borderId="0" xfId="0" applyFont="1" applyFill="1"/>
    <xf numFmtId="0" fontId="57" fillId="0" borderId="40" xfId="0" applyFont="1" applyFill="1" applyBorder="1"/>
    <xf numFmtId="0" fontId="57" fillId="0" borderId="40" xfId="0" applyFont="1" applyBorder="1"/>
    <xf numFmtId="3" fontId="57" fillId="0" borderId="40" xfId="0" applyNumberFormat="1" applyFont="1" applyBorder="1"/>
    <xf numFmtId="3" fontId="57" fillId="0" borderId="41" xfId="0" applyNumberFormat="1" applyFont="1" applyBorder="1"/>
    <xf numFmtId="0" fontId="60" fillId="0" borderId="0" xfId="0" applyFont="1" applyFill="1"/>
    <xf numFmtId="0" fontId="61" fillId="0" borderId="0" xfId="0" applyFont="1"/>
    <xf numFmtId="3" fontId="55" fillId="0" borderId="0" xfId="0" applyNumberFormat="1" applyFont="1"/>
    <xf numFmtId="0" fontId="60" fillId="0" borderId="0" xfId="79" applyFont="1"/>
    <xf numFmtId="0" fontId="55" fillId="0" borderId="42" xfId="0" applyFont="1" applyBorder="1"/>
    <xf numFmtId="0" fontId="62" fillId="0" borderId="0" xfId="0" applyFont="1"/>
    <xf numFmtId="0" fontId="63" fillId="0" borderId="0" xfId="0" applyFont="1"/>
    <xf numFmtId="0" fontId="58" fillId="0" borderId="0" xfId="0" applyFont="1" applyFill="1"/>
    <xf numFmtId="0" fontId="58" fillId="0" borderId="0" xfId="0" applyFont="1"/>
    <xf numFmtId="3" fontId="57" fillId="0" borderId="0" xfId="0" applyNumberFormat="1" applyFont="1"/>
    <xf numFmtId="0" fontId="62" fillId="0" borderId="0" xfId="0" applyFont="1" applyFill="1"/>
    <xf numFmtId="0" fontId="61" fillId="0" borderId="0" xfId="0" applyFont="1" applyFill="1"/>
    <xf numFmtId="0" fontId="64" fillId="0" borderId="0" xfId="0" applyFont="1" applyFill="1"/>
    <xf numFmtId="0" fontId="65" fillId="0" borderId="0" xfId="0" applyFont="1" applyFill="1"/>
    <xf numFmtId="0" fontId="56" fillId="0" borderId="0" xfId="0" applyFont="1" applyFill="1" applyAlignment="1">
      <alignment wrapText="1"/>
    </xf>
    <xf numFmtId="0" fontId="56" fillId="0" borderId="0" xfId="0" applyFont="1" applyAlignment="1">
      <alignment wrapText="1"/>
    </xf>
    <xf numFmtId="0" fontId="56" fillId="0" borderId="43" xfId="0" applyFont="1" applyBorder="1"/>
    <xf numFmtId="0" fontId="55" fillId="0" borderId="42" xfId="0" applyFont="1" applyFill="1" applyBorder="1"/>
    <xf numFmtId="0" fontId="55" fillId="0" borderId="44" xfId="0" applyFont="1" applyFill="1" applyBorder="1"/>
    <xf numFmtId="0" fontId="55" fillId="0" borderId="45" xfId="0" applyFont="1" applyFill="1" applyBorder="1" applyAlignment="1">
      <alignment horizontal="center"/>
    </xf>
    <xf numFmtId="0" fontId="55" fillId="0" borderId="45" xfId="0" applyFont="1" applyFill="1" applyBorder="1"/>
    <xf numFmtId="0" fontId="61" fillId="0" borderId="46" xfId="0" applyFont="1" applyFill="1" applyBorder="1" applyAlignment="1">
      <alignment horizontal="center"/>
    </xf>
    <xf numFmtId="0" fontId="61" fillId="27" borderId="46" xfId="0" applyFont="1" applyFill="1" applyBorder="1" applyAlignment="1">
      <alignment horizontal="center"/>
    </xf>
    <xf numFmtId="0" fontId="55" fillId="0" borderId="46" xfId="0" applyFont="1" applyFill="1" applyBorder="1" applyAlignment="1">
      <alignment horizontal="center"/>
    </xf>
    <xf numFmtId="0" fontId="55" fillId="0" borderId="47" xfId="0" applyFont="1" applyFill="1" applyBorder="1" applyAlignment="1">
      <alignment horizontal="center"/>
    </xf>
    <xf numFmtId="0" fontId="55" fillId="0" borderId="48" xfId="0" applyFont="1" applyFill="1" applyBorder="1" applyAlignment="1">
      <alignment horizontal="center"/>
    </xf>
    <xf numFmtId="0" fontId="55" fillId="0" borderId="49" xfId="0" applyFont="1" applyFill="1" applyBorder="1"/>
    <xf numFmtId="0" fontId="55" fillId="0" borderId="43" xfId="0" applyFont="1" applyFill="1" applyBorder="1" applyAlignment="1">
      <alignment horizontal="center"/>
    </xf>
    <xf numFmtId="0" fontId="55" fillId="0" borderId="43" xfId="0" applyFont="1" applyFill="1" applyBorder="1"/>
    <xf numFmtId="0" fontId="61" fillId="0" borderId="50" xfId="0" applyFont="1" applyFill="1" applyBorder="1" applyAlignment="1">
      <alignment horizontal="center"/>
    </xf>
    <xf numFmtId="0" fontId="61" fillId="27" borderId="50" xfId="0" applyFont="1" applyFill="1" applyBorder="1" applyAlignment="1">
      <alignment horizontal="center"/>
    </xf>
    <xf numFmtId="0" fontId="55" fillId="28" borderId="50" xfId="0" applyFont="1" applyFill="1" applyBorder="1" applyAlignment="1">
      <alignment horizontal="center"/>
    </xf>
    <xf numFmtId="0" fontId="55" fillId="0" borderId="50" xfId="0" applyFont="1" applyFill="1" applyBorder="1" applyAlignment="1">
      <alignment horizontal="center"/>
    </xf>
    <xf numFmtId="0" fontId="55" fillId="0" borderId="51" xfId="0" applyFont="1" applyFill="1" applyBorder="1" applyAlignment="1">
      <alignment horizontal="center"/>
    </xf>
    <xf numFmtId="0" fontId="55" fillId="0" borderId="52" xfId="0" applyFont="1" applyFill="1" applyBorder="1" applyAlignment="1">
      <alignment horizontal="center"/>
    </xf>
    <xf numFmtId="0" fontId="55" fillId="0" borderId="53" xfId="0" applyFont="1" applyFill="1" applyBorder="1"/>
    <xf numFmtId="3" fontId="55" fillId="0" borderId="54" xfId="0" applyNumberFormat="1" applyFont="1" applyFill="1" applyBorder="1"/>
    <xf numFmtId="0" fontId="55" fillId="0" borderId="54" xfId="0" applyFont="1" applyFill="1" applyBorder="1"/>
    <xf numFmtId="3" fontId="61" fillId="0" borderId="55" xfId="0" applyNumberFormat="1" applyFont="1" applyFill="1" applyBorder="1"/>
    <xf numFmtId="3" fontId="61" fillId="27" borderId="55" xfId="0" applyNumberFormat="1" applyFont="1" applyFill="1" applyBorder="1"/>
    <xf numFmtId="3" fontId="55" fillId="28" borderId="55" xfId="0" applyNumberFormat="1" applyFont="1" applyFill="1" applyBorder="1"/>
    <xf numFmtId="3" fontId="55" fillId="0" borderId="55" xfId="0" applyNumberFormat="1" applyFont="1" applyFill="1" applyBorder="1"/>
    <xf numFmtId="2" fontId="55" fillId="0" borderId="56" xfId="0" applyNumberFormat="1" applyFont="1" applyFill="1" applyBorder="1" applyAlignment="1">
      <alignment horizontal="center"/>
    </xf>
    <xf numFmtId="3" fontId="66" fillId="0" borderId="0" xfId="0" applyNumberFormat="1" applyFont="1" applyFill="1" applyAlignment="1">
      <alignment horizontal="left"/>
    </xf>
    <xf numFmtId="0" fontId="55" fillId="0" borderId="57" xfId="0" applyFont="1" applyFill="1" applyBorder="1" applyAlignment="1">
      <alignment horizontal="center"/>
    </xf>
    <xf numFmtId="0" fontId="55" fillId="0" borderId="11" xfId="0" applyFont="1" applyFill="1" applyBorder="1"/>
    <xf numFmtId="3" fontId="55" fillId="0" borderId="0" xfId="0" applyNumberFormat="1" applyFont="1" applyFill="1" applyBorder="1"/>
    <xf numFmtId="0" fontId="55" fillId="0" borderId="0" xfId="0" applyFont="1" applyFill="1" applyBorder="1"/>
    <xf numFmtId="3" fontId="61" fillId="0" borderId="58" xfId="0" applyNumberFormat="1" applyFont="1" applyFill="1" applyBorder="1"/>
    <xf numFmtId="3" fontId="61" fillId="27" borderId="58" xfId="0" applyNumberFormat="1" applyFont="1" applyFill="1" applyBorder="1"/>
    <xf numFmtId="3" fontId="55" fillId="28" borderId="58" xfId="0" applyNumberFormat="1" applyFont="1" applyFill="1" applyBorder="1"/>
    <xf numFmtId="3" fontId="55" fillId="0" borderId="58" xfId="0" applyNumberFormat="1" applyFont="1" applyFill="1" applyBorder="1"/>
    <xf numFmtId="2" fontId="55" fillId="0" borderId="59" xfId="0" applyNumberFormat="1" applyFont="1" applyFill="1" applyBorder="1" applyAlignment="1">
      <alignment horizontal="center"/>
    </xf>
    <xf numFmtId="0" fontId="55" fillId="0" borderId="39" xfId="0" applyFont="1" applyFill="1" applyBorder="1" applyAlignment="1">
      <alignment horizontal="center"/>
    </xf>
    <xf numFmtId="0" fontId="55" fillId="0" borderId="60" xfId="0" applyFont="1" applyFill="1" applyBorder="1"/>
    <xf numFmtId="3" fontId="55" fillId="0" borderId="31" xfId="0" applyNumberFormat="1" applyFont="1" applyFill="1" applyBorder="1"/>
    <xf numFmtId="0" fontId="55" fillId="0" borderId="31" xfId="0" applyFont="1" applyFill="1" applyBorder="1"/>
    <xf numFmtId="3" fontId="61" fillId="0" borderId="61" xfId="0" applyNumberFormat="1" applyFont="1" applyFill="1" applyBorder="1"/>
    <xf numFmtId="3" fontId="61" fillId="27" borderId="61" xfId="0" applyNumberFormat="1" applyFont="1" applyFill="1" applyBorder="1"/>
    <xf numFmtId="3" fontId="55" fillId="28" borderId="61" xfId="0" applyNumberFormat="1" applyFont="1" applyFill="1" applyBorder="1"/>
    <xf numFmtId="3" fontId="55" fillId="0" borderId="61" xfId="0" applyNumberFormat="1" applyFont="1" applyFill="1" applyBorder="1"/>
    <xf numFmtId="2" fontId="55" fillId="0" borderId="62" xfId="0" applyNumberFormat="1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2" fontId="55" fillId="0" borderId="0" xfId="0" applyNumberFormat="1" applyFont="1" applyFill="1" applyBorder="1" applyAlignment="1">
      <alignment horizontal="center"/>
    </xf>
    <xf numFmtId="0" fontId="67" fillId="0" borderId="0" xfId="0" applyFont="1" applyFill="1"/>
    <xf numFmtId="0" fontId="55" fillId="0" borderId="0" xfId="0" applyFont="1" applyFill="1" applyAlignment="1">
      <alignment horizontal="center"/>
    </xf>
    <xf numFmtId="0" fontId="56" fillId="0" borderId="0" xfId="0" applyFont="1" applyAlignment="1">
      <alignment horizontal="center"/>
    </xf>
    <xf numFmtId="0" fontId="57" fillId="29" borderId="50" xfId="0" applyFont="1" applyFill="1" applyBorder="1" applyAlignment="1">
      <alignment horizontal="center"/>
    </xf>
    <xf numFmtId="3" fontId="57" fillId="29" borderId="63" xfId="0" applyNumberFormat="1" applyFont="1" applyFill="1" applyBorder="1"/>
    <xf numFmtId="0" fontId="56" fillId="0" borderId="64" xfId="0" applyFont="1" applyFill="1" applyBorder="1" applyAlignment="1">
      <alignment horizontal="center"/>
    </xf>
    <xf numFmtId="3" fontId="56" fillId="0" borderId="15" xfId="0" applyNumberFormat="1" applyFont="1" applyFill="1" applyBorder="1"/>
    <xf numFmtId="3" fontId="56" fillId="0" borderId="10" xfId="0" applyNumberFormat="1" applyFont="1" applyFill="1" applyBorder="1"/>
    <xf numFmtId="3" fontId="56" fillId="0" borderId="22" xfId="0" applyNumberFormat="1" applyFont="1" applyFill="1" applyBorder="1"/>
    <xf numFmtId="3" fontId="57" fillId="29" borderId="65" xfId="0" applyNumberFormat="1" applyFont="1" applyFill="1" applyBorder="1"/>
    <xf numFmtId="0" fontId="56" fillId="0" borderId="57" xfId="0" applyFont="1" applyFill="1" applyBorder="1" applyAlignment="1">
      <alignment horizontal="center"/>
    </xf>
    <xf numFmtId="3" fontId="57" fillId="29" borderId="61" xfId="0" applyNumberFormat="1" applyFont="1" applyFill="1" applyBorder="1"/>
    <xf numFmtId="0" fontId="68" fillId="0" borderId="0" xfId="0" applyFont="1" applyFill="1" applyBorder="1"/>
    <xf numFmtId="4" fontId="57" fillId="0" borderId="0" xfId="0" applyNumberFormat="1" applyFont="1" applyFill="1" applyBorder="1"/>
    <xf numFmtId="3" fontId="57" fillId="0" borderId="0" xfId="0" applyNumberFormat="1" applyFont="1" applyFill="1" applyBorder="1"/>
    <xf numFmtId="0" fontId="69" fillId="0" borderId="0" xfId="0" applyFont="1"/>
    <xf numFmtId="0" fontId="63" fillId="0" borderId="0" xfId="0" applyFont="1" applyFill="1"/>
    <xf numFmtId="0" fontId="57" fillId="0" borderId="60" xfId="0" applyFont="1" applyFill="1" applyBorder="1"/>
    <xf numFmtId="0" fontId="55" fillId="0" borderId="66" xfId="0" applyFont="1" applyFill="1" applyBorder="1" applyAlignment="1">
      <alignment horizontal="center"/>
    </xf>
    <xf numFmtId="0" fontId="55" fillId="0" borderId="67" xfId="0" applyFont="1" applyFill="1" applyBorder="1"/>
    <xf numFmtId="3" fontId="55" fillId="0" borderId="27" xfId="0" applyNumberFormat="1" applyFont="1" applyFill="1" applyBorder="1"/>
    <xf numFmtId="3" fontId="55" fillId="0" borderId="35" xfId="0" applyNumberFormat="1" applyFont="1" applyFill="1" applyBorder="1"/>
    <xf numFmtId="0" fontId="55" fillId="0" borderId="64" xfId="0" applyFont="1" applyFill="1" applyBorder="1" applyAlignment="1">
      <alignment horizontal="center"/>
    </xf>
    <xf numFmtId="0" fontId="55" fillId="0" borderId="68" xfId="0" applyFont="1" applyFill="1" applyBorder="1"/>
    <xf numFmtId="3" fontId="55" fillId="0" borderId="15" xfId="0" applyNumberFormat="1" applyFont="1" applyFill="1" applyBorder="1"/>
    <xf numFmtId="3" fontId="55" fillId="0" borderId="10" xfId="0" applyNumberFormat="1" applyFont="1" applyFill="1" applyBorder="1"/>
    <xf numFmtId="3" fontId="55" fillId="0" borderId="22" xfId="0" applyNumberFormat="1" applyFont="1" applyFill="1" applyBorder="1"/>
    <xf numFmtId="0" fontId="55" fillId="25" borderId="68" xfId="0" applyFont="1" applyFill="1" applyBorder="1"/>
    <xf numFmtId="0" fontId="55" fillId="25" borderId="59" xfId="0" applyFont="1" applyFill="1" applyBorder="1"/>
    <xf numFmtId="3" fontId="55" fillId="0" borderId="25" xfId="0" applyNumberFormat="1" applyFont="1" applyFill="1" applyBorder="1"/>
    <xf numFmtId="3" fontId="55" fillId="0" borderId="26" xfId="0" applyNumberFormat="1" applyFont="1" applyFill="1" applyBorder="1"/>
    <xf numFmtId="0" fontId="55" fillId="0" borderId="17" xfId="0" applyFont="1" applyFill="1" applyBorder="1"/>
    <xf numFmtId="0" fontId="55" fillId="0" borderId="23" xfId="0" applyFont="1" applyFill="1" applyBorder="1"/>
    <xf numFmtId="3" fontId="55" fillId="0" borderId="17" xfId="0" applyNumberFormat="1" applyFont="1" applyFill="1" applyBorder="1"/>
    <xf numFmtId="10" fontId="55" fillId="0" borderId="18" xfId="0" applyNumberFormat="1" applyFont="1" applyFill="1" applyBorder="1"/>
    <xf numFmtId="3" fontId="55" fillId="0" borderId="23" xfId="0" applyNumberFormat="1" applyFont="1" applyFill="1" applyBorder="1"/>
    <xf numFmtId="0" fontId="56" fillId="0" borderId="13" xfId="0" applyFont="1" applyBorder="1" applyAlignment="1">
      <alignment horizontal="center" wrapText="1"/>
    </xf>
    <xf numFmtId="0" fontId="70" fillId="0" borderId="21" xfId="0" applyFont="1" applyFill="1" applyBorder="1" applyAlignment="1"/>
    <xf numFmtId="0" fontId="56" fillId="0" borderId="13" xfId="0" applyFont="1" applyBorder="1" applyAlignment="1">
      <alignment wrapText="1"/>
    </xf>
    <xf numFmtId="0" fontId="71" fillId="26" borderId="13" xfId="53" applyFont="1" applyFill="1" applyBorder="1" applyAlignment="1">
      <alignment horizontal="center" vertical="center"/>
    </xf>
    <xf numFmtId="0" fontId="71" fillId="26" borderId="14" xfId="53" applyFont="1" applyFill="1" applyBorder="1" applyAlignment="1">
      <alignment horizontal="center" vertical="center"/>
    </xf>
    <xf numFmtId="0" fontId="56" fillId="25" borderId="14" xfId="53" applyFont="1" applyFill="1" applyBorder="1" applyAlignment="1">
      <alignment horizontal="center" vertical="center"/>
    </xf>
    <xf numFmtId="49" fontId="56" fillId="0" borderId="15" xfId="0" applyNumberFormat="1" applyFont="1" applyFill="1" applyBorder="1" applyAlignment="1">
      <alignment horizontal="center" vertical="top" wrapText="1"/>
    </xf>
    <xf numFmtId="49" fontId="56" fillId="0" borderId="10" xfId="0" applyNumberFormat="1" applyFont="1" applyFill="1" applyBorder="1" applyAlignment="1">
      <alignment horizontal="center" vertical="top" wrapText="1"/>
    </xf>
    <xf numFmtId="49" fontId="56" fillId="40" borderId="22" xfId="0" applyNumberFormat="1" applyFont="1" applyFill="1" applyBorder="1" applyAlignment="1">
      <alignment horizontal="center" vertical="top" wrapText="1"/>
    </xf>
    <xf numFmtId="0" fontId="72" fillId="0" borderId="0" xfId="0" applyFont="1"/>
    <xf numFmtId="0" fontId="56" fillId="0" borderId="69" xfId="0" applyFont="1" applyFill="1" applyBorder="1" applyAlignment="1">
      <alignment horizontal="center"/>
    </xf>
    <xf numFmtId="0" fontId="56" fillId="0" borderId="70" xfId="0" applyFont="1" applyFill="1" applyBorder="1"/>
    <xf numFmtId="4" fontId="56" fillId="0" borderId="15" xfId="0" applyNumberFormat="1" applyFont="1" applyFill="1" applyBorder="1"/>
    <xf numFmtId="3" fontId="56" fillId="40" borderId="22" xfId="0" applyNumberFormat="1" applyFont="1" applyFill="1" applyBorder="1"/>
    <xf numFmtId="4" fontId="56" fillId="0" borderId="10" xfId="0" applyNumberFormat="1" applyFont="1" applyFill="1" applyBorder="1"/>
    <xf numFmtId="0" fontId="56" fillId="0" borderId="71" xfId="0" applyFont="1" applyFill="1" applyBorder="1"/>
    <xf numFmtId="0" fontId="56" fillId="0" borderId="0" xfId="0" applyFont="1" applyFill="1" applyBorder="1"/>
    <xf numFmtId="4" fontId="56" fillId="0" borderId="25" xfId="0" applyNumberFormat="1" applyFont="1" applyFill="1" applyBorder="1"/>
    <xf numFmtId="4" fontId="56" fillId="0" borderId="26" xfId="0" applyNumberFormat="1" applyFont="1" applyFill="1" applyBorder="1"/>
    <xf numFmtId="0" fontId="56" fillId="0" borderId="39" xfId="0" applyFont="1" applyFill="1" applyBorder="1"/>
    <xf numFmtId="0" fontId="70" fillId="0" borderId="39" xfId="0" applyFont="1" applyFill="1" applyBorder="1" applyAlignment="1">
      <alignment horizontal="left"/>
    </xf>
    <xf numFmtId="4" fontId="70" fillId="0" borderId="17" xfId="0" applyNumberFormat="1" applyFont="1" applyFill="1" applyBorder="1"/>
    <xf numFmtId="3" fontId="70" fillId="40" borderId="23" xfId="0" applyNumberFormat="1" applyFont="1" applyFill="1" applyBorder="1"/>
    <xf numFmtId="3" fontId="70" fillId="0" borderId="17" xfId="0" applyNumberFormat="1" applyFont="1" applyFill="1" applyBorder="1"/>
    <xf numFmtId="4" fontId="70" fillId="0" borderId="18" xfId="0" applyNumberFormat="1" applyFont="1" applyFill="1" applyBorder="1"/>
    <xf numFmtId="3" fontId="70" fillId="0" borderId="18" xfId="0" applyNumberFormat="1" applyFont="1" applyFill="1" applyBorder="1"/>
    <xf numFmtId="0" fontId="56" fillId="25" borderId="72" xfId="79" applyFont="1" applyFill="1" applyBorder="1" applyAlignment="1">
      <alignment vertical="center" wrapText="1"/>
    </xf>
    <xf numFmtId="167" fontId="56" fillId="0" borderId="10" xfId="0" applyNumberFormat="1" applyFont="1" applyFill="1" applyBorder="1"/>
    <xf numFmtId="0" fontId="70" fillId="26" borderId="15" xfId="0" applyFont="1" applyFill="1" applyBorder="1"/>
    <xf numFmtId="0" fontId="70" fillId="26" borderId="10" xfId="0" applyFont="1" applyFill="1" applyBorder="1"/>
    <xf numFmtId="4" fontId="70" fillId="26" borderId="10" xfId="0" applyNumberFormat="1" applyFont="1" applyFill="1" applyBorder="1"/>
    <xf numFmtId="0" fontId="57" fillId="29" borderId="46" xfId="0" applyFont="1" applyFill="1" applyBorder="1" applyAlignment="1">
      <alignment horizontal="center"/>
    </xf>
    <xf numFmtId="0" fontId="57" fillId="29" borderId="42" xfId="0" applyFont="1" applyFill="1" applyBorder="1" applyAlignment="1">
      <alignment horizontal="center"/>
    </xf>
    <xf numFmtId="0" fontId="57" fillId="29" borderId="48" xfId="0" applyFont="1" applyFill="1" applyBorder="1" applyAlignment="1">
      <alignment horizontal="center"/>
    </xf>
    <xf numFmtId="0" fontId="57" fillId="0" borderId="66" xfId="0" applyFont="1" applyFill="1" applyBorder="1" applyAlignment="1">
      <alignment horizontal="center"/>
    </xf>
    <xf numFmtId="0" fontId="57" fillId="0" borderId="73" xfId="0" applyFont="1" applyFill="1" applyBorder="1"/>
    <xf numFmtId="4" fontId="57" fillId="29" borderId="63" xfId="0" applyNumberFormat="1" applyFont="1" applyFill="1" applyBorder="1"/>
    <xf numFmtId="0" fontId="57" fillId="0" borderId="64" xfId="0" applyFont="1" applyFill="1" applyBorder="1" applyAlignment="1">
      <alignment horizontal="center"/>
    </xf>
    <xf numFmtId="0" fontId="57" fillId="0" borderId="71" xfId="0" applyFont="1" applyFill="1" applyBorder="1"/>
    <xf numFmtId="4" fontId="57" fillId="29" borderId="65" xfId="0" applyNumberFormat="1" applyFont="1" applyFill="1" applyBorder="1"/>
    <xf numFmtId="4" fontId="57" fillId="29" borderId="74" xfId="0" applyNumberFormat="1" applyFont="1" applyFill="1" applyBorder="1"/>
    <xf numFmtId="0" fontId="57" fillId="0" borderId="75" xfId="0" applyFont="1" applyFill="1" applyBorder="1" applyAlignment="1">
      <alignment horizontal="center"/>
    </xf>
    <xf numFmtId="0" fontId="57" fillId="0" borderId="76" xfId="0" applyFont="1" applyFill="1" applyBorder="1"/>
    <xf numFmtId="3" fontId="57" fillId="29" borderId="16" xfId="0" applyNumberFormat="1" applyFont="1" applyFill="1" applyBorder="1"/>
    <xf numFmtId="4" fontId="57" fillId="29" borderId="16" xfId="0" applyNumberFormat="1" applyFont="1" applyFill="1" applyBorder="1"/>
    <xf numFmtId="0" fontId="57" fillId="0" borderId="17" xfId="0" applyFont="1" applyFill="1" applyBorder="1"/>
    <xf numFmtId="4" fontId="57" fillId="29" borderId="39" xfId="0" applyNumberFormat="1" applyFont="1" applyFill="1" applyBorder="1"/>
    <xf numFmtId="0" fontId="59" fillId="0" borderId="0" xfId="0" applyFont="1"/>
    <xf numFmtId="0" fontId="73" fillId="0" borderId="0" xfId="0" applyFont="1"/>
    <xf numFmtId="167" fontId="55" fillId="0" borderId="0" xfId="0" applyNumberFormat="1" applyFont="1"/>
    <xf numFmtId="0" fontId="56" fillId="0" borderId="48" xfId="0" applyFont="1" applyFill="1" applyBorder="1" applyAlignment="1">
      <alignment horizontal="center"/>
    </xf>
    <xf numFmtId="0" fontId="56" fillId="0" borderId="20" xfId="0" applyFont="1" applyFill="1" applyBorder="1" applyAlignment="1">
      <alignment horizontal="center" wrapText="1"/>
    </xf>
    <xf numFmtId="0" fontId="56" fillId="0" borderId="51" xfId="0" applyFont="1" applyFill="1" applyBorder="1" applyAlignment="1">
      <alignment horizontal="center"/>
    </xf>
    <xf numFmtId="0" fontId="56" fillId="0" borderId="43" xfId="0" applyFont="1" applyFill="1" applyBorder="1" applyAlignment="1">
      <alignment horizontal="center"/>
    </xf>
    <xf numFmtId="3" fontId="58" fillId="0" borderId="33" xfId="0" applyNumberFormat="1" applyFont="1" applyFill="1" applyBorder="1"/>
    <xf numFmtId="3" fontId="57" fillId="0" borderId="77" xfId="0" applyNumberFormat="1" applyFont="1" applyFill="1" applyBorder="1"/>
    <xf numFmtId="3" fontId="57" fillId="0" borderId="14" xfId="0" applyNumberFormat="1" applyFont="1" applyFill="1" applyBorder="1"/>
    <xf numFmtId="3" fontId="55" fillId="0" borderId="0" xfId="0" applyNumberFormat="1" applyFont="1" applyFill="1"/>
    <xf numFmtId="3" fontId="58" fillId="0" borderId="22" xfId="0" applyNumberFormat="1" applyFont="1" applyFill="1" applyBorder="1"/>
    <xf numFmtId="3" fontId="57" fillId="0" borderId="72" xfId="0" applyNumberFormat="1" applyFont="1" applyFill="1" applyBorder="1"/>
    <xf numFmtId="3" fontId="57" fillId="0" borderId="10" xfId="0" applyNumberFormat="1" applyFont="1" applyFill="1" applyBorder="1"/>
    <xf numFmtId="3" fontId="55" fillId="25" borderId="37" xfId="0" applyNumberFormat="1" applyFont="1" applyFill="1" applyBorder="1"/>
    <xf numFmtId="3" fontId="55" fillId="25" borderId="78" xfId="0" applyNumberFormat="1" applyFont="1" applyFill="1" applyBorder="1"/>
    <xf numFmtId="3" fontId="74" fillId="0" borderId="0" xfId="0" applyNumberFormat="1" applyFont="1"/>
    <xf numFmtId="3" fontId="74" fillId="0" borderId="0" xfId="0" applyNumberFormat="1" applyFont="1" applyFill="1" applyBorder="1"/>
    <xf numFmtId="0" fontId="58" fillId="0" borderId="0" xfId="0" applyFont="1" applyBorder="1"/>
    <xf numFmtId="0" fontId="75" fillId="0" borderId="0" xfId="0" applyFont="1"/>
    <xf numFmtId="0" fontId="60" fillId="0" borderId="0" xfId="0" applyFont="1"/>
    <xf numFmtId="0" fontId="57" fillId="0" borderId="79" xfId="80" applyFont="1" applyBorder="1"/>
    <xf numFmtId="0" fontId="55" fillId="0" borderId="45" xfId="0" applyFont="1" applyBorder="1"/>
    <xf numFmtId="3" fontId="55" fillId="0" borderId="46" xfId="0" applyNumberFormat="1" applyFont="1" applyBorder="1"/>
    <xf numFmtId="0" fontId="55" fillId="0" borderId="80" xfId="0" applyFont="1" applyBorder="1" applyAlignment="1">
      <alignment horizontal="center"/>
    </xf>
    <xf numFmtId="3" fontId="55" fillId="0" borderId="81" xfId="0" applyNumberFormat="1" applyFont="1" applyFill="1" applyBorder="1"/>
    <xf numFmtId="3" fontId="55" fillId="0" borderId="58" xfId="0" applyNumberFormat="1" applyFont="1" applyBorder="1"/>
    <xf numFmtId="0" fontId="70" fillId="0" borderId="0" xfId="0" applyFont="1"/>
    <xf numFmtId="0" fontId="55" fillId="0" borderId="17" xfId="0" applyFont="1" applyBorder="1" applyAlignment="1">
      <alignment horizontal="center"/>
    </xf>
    <xf numFmtId="3" fontId="61" fillId="0" borderId="61" xfId="0" applyNumberFormat="1" applyFont="1" applyBorder="1"/>
    <xf numFmtId="3" fontId="76" fillId="0" borderId="0" xfId="0" applyNumberFormat="1" applyFont="1" applyBorder="1"/>
    <xf numFmtId="0" fontId="77" fillId="0" borderId="0" xfId="0" applyFont="1"/>
    <xf numFmtId="0" fontId="59" fillId="0" borderId="0" xfId="0" applyFont="1" applyFill="1" applyBorder="1"/>
    <xf numFmtId="0" fontId="76" fillId="0" borderId="0" xfId="0" applyFont="1"/>
    <xf numFmtId="0" fontId="55" fillId="0" borderId="52" xfId="0" applyFont="1" applyBorder="1" applyAlignment="1">
      <alignment horizontal="center"/>
    </xf>
    <xf numFmtId="0" fontId="55" fillId="0" borderId="54" xfId="0" applyFont="1" applyBorder="1"/>
    <xf numFmtId="3" fontId="55" fillId="0" borderId="55" xfId="0" applyNumberFormat="1" applyFont="1" applyBorder="1"/>
    <xf numFmtId="0" fontId="78" fillId="0" borderId="0" xfId="0" applyFont="1"/>
    <xf numFmtId="0" fontId="79" fillId="0" borderId="0" xfId="0" applyFont="1"/>
    <xf numFmtId="0" fontId="79" fillId="0" borderId="24" xfId="0" applyFont="1" applyBorder="1" applyAlignment="1">
      <alignment horizontal="center"/>
    </xf>
    <xf numFmtId="3" fontId="79" fillId="0" borderId="46" xfId="0" applyNumberFormat="1" applyFont="1" applyBorder="1"/>
    <xf numFmtId="3" fontId="76" fillId="0" borderId="0" xfId="0" applyNumberFormat="1" applyFont="1"/>
    <xf numFmtId="0" fontId="55" fillId="0" borderId="36" xfId="0" applyFont="1" applyBorder="1" applyAlignment="1">
      <alignment horizontal="center"/>
    </xf>
    <xf numFmtId="0" fontId="55" fillId="0" borderId="82" xfId="0" applyFont="1" applyBorder="1"/>
    <xf numFmtId="3" fontId="55" fillId="0" borderId="74" xfId="0" applyNumberFormat="1" applyFont="1" applyBorder="1"/>
    <xf numFmtId="3" fontId="61" fillId="0" borderId="0" xfId="0" applyNumberFormat="1" applyFont="1"/>
    <xf numFmtId="0" fontId="55" fillId="0" borderId="0" xfId="0" applyFont="1" applyBorder="1" applyAlignment="1">
      <alignment horizontal="center"/>
    </xf>
    <xf numFmtId="0" fontId="76" fillId="0" borderId="0" xfId="0" applyFont="1" applyFill="1"/>
    <xf numFmtId="0" fontId="55" fillId="0" borderId="83" xfId="0" applyFont="1" applyFill="1" applyBorder="1" applyAlignment="1">
      <alignment horizontal="left"/>
    </xf>
    <xf numFmtId="0" fontId="55" fillId="0" borderId="84" xfId="0" applyFont="1" applyFill="1" applyBorder="1"/>
    <xf numFmtId="0" fontId="61" fillId="0" borderId="84" xfId="0" applyFont="1" applyFill="1" applyBorder="1"/>
    <xf numFmtId="0" fontId="61" fillId="0" borderId="85" xfId="0" applyFont="1" applyFill="1" applyBorder="1"/>
    <xf numFmtId="0" fontId="55" fillId="0" borderId="80" xfId="0" applyFont="1" applyFill="1" applyBorder="1" applyAlignment="1">
      <alignment horizontal="center"/>
    </xf>
    <xf numFmtId="0" fontId="55" fillId="0" borderId="86" xfId="0" applyFont="1" applyFill="1" applyBorder="1"/>
    <xf numFmtId="0" fontId="55" fillId="0" borderId="87" xfId="0" applyFont="1" applyFill="1" applyBorder="1"/>
    <xf numFmtId="0" fontId="61" fillId="0" borderId="87" xfId="0" applyFont="1" applyFill="1" applyBorder="1"/>
    <xf numFmtId="0" fontId="61" fillId="0" borderId="88" xfId="0" applyFont="1" applyFill="1" applyBorder="1"/>
    <xf numFmtId="3" fontId="61" fillId="0" borderId="81" xfId="0" applyNumberFormat="1" applyFont="1" applyFill="1" applyBorder="1"/>
    <xf numFmtId="0" fontId="55" fillId="0" borderId="89" xfId="0" applyFont="1" applyFill="1" applyBorder="1" applyAlignment="1">
      <alignment horizontal="center"/>
    </xf>
    <xf numFmtId="0" fontId="55" fillId="0" borderId="90" xfId="0" applyFont="1" applyFill="1" applyBorder="1"/>
    <xf numFmtId="0" fontId="55" fillId="0" borderId="91" xfId="0" applyFont="1" applyFill="1" applyBorder="1"/>
    <xf numFmtId="0" fontId="61" fillId="0" borderId="91" xfId="0" applyFont="1" applyFill="1" applyBorder="1"/>
    <xf numFmtId="0" fontId="61" fillId="0" borderId="92" xfId="0" applyFont="1" applyFill="1" applyBorder="1"/>
    <xf numFmtId="3" fontId="61" fillId="0" borderId="93" xfId="0" applyNumberFormat="1" applyFont="1" applyFill="1" applyBorder="1"/>
    <xf numFmtId="0" fontId="66" fillId="0" borderId="0" xfId="0" applyFont="1"/>
    <xf numFmtId="0" fontId="55" fillId="0" borderId="17" xfId="0" applyFont="1" applyFill="1" applyBorder="1" applyAlignment="1">
      <alignment horizontal="center"/>
    </xf>
    <xf numFmtId="0" fontId="61" fillId="0" borderId="94" xfId="0" applyFont="1" applyFill="1" applyBorder="1"/>
    <xf numFmtId="0" fontId="61" fillId="0" borderId="95" xfId="0" applyFont="1" applyFill="1" applyBorder="1"/>
    <xf numFmtId="0" fontId="61" fillId="0" borderId="96" xfId="0" applyFont="1" applyFill="1" applyBorder="1"/>
    <xf numFmtId="3" fontId="61" fillId="0" borderId="0" xfId="0" applyNumberFormat="1" applyFont="1" applyFill="1"/>
    <xf numFmtId="2" fontId="66" fillId="0" borderId="0" xfId="0" applyNumberFormat="1" applyFont="1"/>
    <xf numFmtId="0" fontId="80" fillId="0" borderId="0" xfId="0" applyFont="1" applyFill="1"/>
    <xf numFmtId="2" fontId="80" fillId="0" borderId="0" xfId="0" applyNumberFormat="1" applyFont="1" applyFill="1"/>
    <xf numFmtId="0" fontId="78" fillId="0" borderId="0" xfId="0" applyFont="1" applyFill="1" applyBorder="1"/>
    <xf numFmtId="0" fontId="78" fillId="0" borderId="0" xfId="0" applyFont="1" applyFill="1" applyBorder="1" applyAlignment="1"/>
    <xf numFmtId="0" fontId="78" fillId="0" borderId="0" xfId="0" applyFont="1" applyFill="1"/>
    <xf numFmtId="0" fontId="78" fillId="0" borderId="57" xfId="0" applyFont="1" applyFill="1" applyBorder="1"/>
    <xf numFmtId="165" fontId="81" fillId="0" borderId="0" xfId="0" applyNumberFormat="1" applyFont="1" applyFill="1" applyBorder="1"/>
    <xf numFmtId="165" fontId="81" fillId="0" borderId="42" xfId="0" applyNumberFormat="1" applyFont="1" applyFill="1" applyBorder="1"/>
    <xf numFmtId="0" fontId="78" fillId="0" borderId="59" xfId="0" applyFont="1" applyFill="1" applyBorder="1"/>
    <xf numFmtId="0" fontId="82" fillId="0" borderId="42" xfId="0" applyFont="1" applyFill="1" applyBorder="1" applyAlignment="1">
      <alignment horizontal="center"/>
    </xf>
    <xf numFmtId="0" fontId="79" fillId="0" borderId="98" xfId="0" applyFont="1" applyFill="1" applyBorder="1" applyAlignment="1">
      <alignment horizontal="center"/>
    </xf>
    <xf numFmtId="0" fontId="82" fillId="0" borderId="42" xfId="0" applyFont="1" applyFill="1" applyBorder="1" applyAlignment="1">
      <alignment horizontal="left"/>
    </xf>
    <xf numFmtId="0" fontId="82" fillId="0" borderId="33" xfId="0" applyFont="1" applyFill="1" applyBorder="1" applyAlignment="1">
      <alignment horizontal="center"/>
    </xf>
    <xf numFmtId="0" fontId="81" fillId="0" borderId="0" xfId="0" applyFont="1" applyFill="1"/>
    <xf numFmtId="0" fontId="79" fillId="0" borderId="57" xfId="0" applyFont="1" applyFill="1" applyBorder="1"/>
    <xf numFmtId="0" fontId="79" fillId="0" borderId="100" xfId="0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0" fontId="82" fillId="0" borderId="34" xfId="0" applyFont="1" applyFill="1" applyBorder="1" applyAlignment="1">
      <alignment horizontal="center"/>
    </xf>
    <xf numFmtId="0" fontId="82" fillId="0" borderId="48" xfId="0" applyFont="1" applyFill="1" applyBorder="1"/>
    <xf numFmtId="0" fontId="79" fillId="0" borderId="102" xfId="0" applyFont="1" applyFill="1" applyBorder="1" applyAlignment="1">
      <alignment horizontal="center"/>
    </xf>
    <xf numFmtId="0" fontId="82" fillId="0" borderId="48" xfId="0" applyFont="1" applyFill="1" applyBorder="1" applyAlignment="1">
      <alignment horizontal="left"/>
    </xf>
    <xf numFmtId="0" fontId="82" fillId="0" borderId="41" xfId="0" applyFont="1" applyFill="1" applyBorder="1"/>
    <xf numFmtId="0" fontId="79" fillId="0" borderId="57" xfId="0" applyFont="1" applyFill="1" applyBorder="1" applyAlignment="1">
      <alignment horizontal="left"/>
    </xf>
    <xf numFmtId="0" fontId="79" fillId="0" borderId="34" xfId="0" applyFont="1" applyFill="1" applyBorder="1"/>
    <xf numFmtId="3" fontId="79" fillId="0" borderId="42" xfId="0" applyNumberFormat="1" applyFont="1" applyFill="1" applyBorder="1" applyAlignment="1">
      <alignment horizontal="left"/>
    </xf>
    <xf numFmtId="3" fontId="79" fillId="0" borderId="33" xfId="0" applyNumberFormat="1" applyFont="1" applyFill="1" applyBorder="1"/>
    <xf numFmtId="0" fontId="79" fillId="0" borderId="108" xfId="0" applyFont="1" applyFill="1" applyBorder="1"/>
    <xf numFmtId="3" fontId="79" fillId="0" borderId="86" xfId="0" applyNumberFormat="1" applyFont="1" applyFill="1" applyBorder="1"/>
    <xf numFmtId="3" fontId="79" fillId="0" borderId="87" xfId="0" applyNumberFormat="1" applyFont="1" applyFill="1" applyBorder="1"/>
    <xf numFmtId="10" fontId="79" fillId="0" borderId="87" xfId="0" applyNumberFormat="1" applyFont="1" applyFill="1" applyBorder="1"/>
    <xf numFmtId="3" fontId="79" fillId="0" borderId="108" xfId="0" applyNumberFormat="1" applyFont="1" applyFill="1" applyBorder="1"/>
    <xf numFmtId="3" fontId="79" fillId="0" borderId="108" xfId="0" applyNumberFormat="1" applyFont="1" applyFill="1" applyBorder="1" applyAlignment="1">
      <alignment horizontal="left"/>
    </xf>
    <xf numFmtId="3" fontId="79" fillId="0" borderId="109" xfId="0" applyNumberFormat="1" applyFont="1" applyFill="1" applyBorder="1"/>
    <xf numFmtId="3" fontId="79" fillId="0" borderId="110" xfId="0" applyNumberFormat="1" applyFont="1" applyFill="1" applyBorder="1" applyAlignment="1">
      <alignment horizontal="left"/>
    </xf>
    <xf numFmtId="3" fontId="79" fillId="0" borderId="111" xfId="0" applyNumberFormat="1" applyFont="1" applyFill="1" applyBorder="1"/>
    <xf numFmtId="3" fontId="82" fillId="38" borderId="57" xfId="0" applyNumberFormat="1" applyFont="1" applyFill="1" applyBorder="1" applyAlignment="1">
      <alignment horizontal="left"/>
    </xf>
    <xf numFmtId="3" fontId="79" fillId="38" borderId="34" xfId="0" applyNumberFormat="1" applyFont="1" applyFill="1" applyBorder="1"/>
    <xf numFmtId="3" fontId="82" fillId="38" borderId="48" xfId="0" applyNumberFormat="1" applyFont="1" applyFill="1" applyBorder="1" applyAlignment="1">
      <alignment horizontal="left"/>
    </xf>
    <xf numFmtId="3" fontId="79" fillId="38" borderId="41" xfId="0" applyNumberFormat="1" applyFont="1" applyFill="1" applyBorder="1"/>
    <xf numFmtId="0" fontId="55" fillId="0" borderId="108" xfId="49" applyFont="1" applyFill="1" applyBorder="1"/>
    <xf numFmtId="3" fontId="55" fillId="0" borderId="87" xfId="49" applyNumberFormat="1" applyFont="1" applyFill="1" applyBorder="1"/>
    <xf numFmtId="3" fontId="81" fillId="0" borderId="0" xfId="0" applyNumberFormat="1" applyFont="1" applyFill="1" applyBorder="1" applyAlignment="1">
      <alignment horizontal="left"/>
    </xf>
    <xf numFmtId="3" fontId="78" fillId="0" borderId="0" xfId="0" applyNumberFormat="1" applyFont="1" applyFill="1" applyBorder="1"/>
    <xf numFmtId="0" fontId="55" fillId="0" borderId="108" xfId="0" applyFont="1" applyFill="1" applyBorder="1"/>
    <xf numFmtId="0" fontId="68" fillId="0" borderId="108" xfId="0" applyFont="1" applyFill="1" applyBorder="1" applyAlignment="1"/>
    <xf numFmtId="3" fontId="70" fillId="0" borderId="0" xfId="0" applyNumberFormat="1" applyFont="1" applyFill="1" applyBorder="1" applyAlignment="1">
      <alignment horizontal="right"/>
    </xf>
    <xf numFmtId="0" fontId="82" fillId="0" borderId="104" xfId="0" applyFont="1" applyFill="1" applyBorder="1"/>
    <xf numFmtId="3" fontId="82" fillId="0" borderId="105" xfId="0" applyNumberFormat="1" applyFont="1" applyFill="1" applyBorder="1"/>
    <xf numFmtId="3" fontId="82" fillId="0" borderId="106" xfId="0" applyNumberFormat="1" applyFont="1" applyFill="1" applyBorder="1"/>
    <xf numFmtId="10" fontId="82" fillId="0" borderId="106" xfId="0" applyNumberFormat="1" applyFont="1" applyFill="1" applyBorder="1"/>
    <xf numFmtId="3" fontId="82" fillId="0" borderId="104" xfId="0" applyNumberFormat="1" applyFont="1" applyFill="1" applyBorder="1"/>
    <xf numFmtId="3" fontId="56" fillId="0" borderId="0" xfId="0" applyNumberFormat="1" applyFont="1" applyFill="1" applyAlignment="1">
      <alignment horizontal="right"/>
    </xf>
    <xf numFmtId="0" fontId="66" fillId="0" borderId="0" xfId="0" applyFont="1" applyFill="1"/>
    <xf numFmtId="0" fontId="75" fillId="0" borderId="0" xfId="0" applyFont="1" applyFill="1" applyAlignment="1">
      <alignment horizontal="left"/>
    </xf>
    <xf numFmtId="3" fontId="56" fillId="0" borderId="0" xfId="0" applyNumberFormat="1" applyFont="1" applyFill="1"/>
    <xf numFmtId="0" fontId="78" fillId="0" borderId="13" xfId="0" applyFont="1" applyFill="1" applyBorder="1" applyAlignment="1">
      <alignment horizontal="center"/>
    </xf>
    <xf numFmtId="3" fontId="56" fillId="0" borderId="21" xfId="0" applyNumberFormat="1" applyFont="1" applyFill="1" applyBorder="1"/>
    <xf numFmtId="0" fontId="78" fillId="0" borderId="15" xfId="0" applyFont="1" applyFill="1" applyBorder="1" applyAlignment="1">
      <alignment horizontal="center"/>
    </xf>
    <xf numFmtId="3" fontId="78" fillId="0" borderId="22" xfId="0" applyNumberFormat="1" applyFont="1" applyFill="1" applyBorder="1"/>
    <xf numFmtId="0" fontId="78" fillId="0" borderId="19" xfId="0" applyFont="1" applyFill="1" applyBorder="1" applyAlignment="1">
      <alignment horizontal="center"/>
    </xf>
    <xf numFmtId="3" fontId="83" fillId="30" borderId="112" xfId="0" applyNumberFormat="1" applyFont="1" applyFill="1" applyBorder="1"/>
    <xf numFmtId="2" fontId="78" fillId="0" borderId="0" xfId="0" applyNumberFormat="1" applyFont="1" applyFill="1"/>
    <xf numFmtId="0" fontId="84" fillId="0" borderId="0" xfId="0" applyFont="1" applyFill="1"/>
    <xf numFmtId="0" fontId="78" fillId="0" borderId="0" xfId="0" applyFont="1" applyFill="1" applyBorder="1" applyAlignment="1">
      <alignment horizontal="center"/>
    </xf>
    <xf numFmtId="0" fontId="78" fillId="0" borderId="0" xfId="0" applyFont="1" applyFill="1" applyAlignment="1">
      <alignment horizontal="center"/>
    </xf>
    <xf numFmtId="1" fontId="78" fillId="0" borderId="0" xfId="0" applyNumberFormat="1" applyFont="1" applyFill="1" applyBorder="1"/>
    <xf numFmtId="1" fontId="78" fillId="0" borderId="0" xfId="0" applyNumberFormat="1" applyFont="1" applyFill="1"/>
    <xf numFmtId="3" fontId="78" fillId="0" borderId="0" xfId="0" applyNumberFormat="1" applyFont="1" applyFill="1"/>
    <xf numFmtId="0" fontId="85" fillId="0" borderId="0" xfId="0" applyFont="1"/>
    <xf numFmtId="0" fontId="67" fillId="0" borderId="0" xfId="0" applyFont="1"/>
    <xf numFmtId="0" fontId="55" fillId="0" borderId="44" xfId="0" applyFont="1" applyBorder="1"/>
    <xf numFmtId="0" fontId="55" fillId="0" borderId="57" xfId="0" applyFont="1" applyBorder="1"/>
    <xf numFmtId="0" fontId="55" fillId="0" borderId="113" xfId="0" applyFont="1" applyBorder="1" applyAlignment="1">
      <alignment horizontal="center"/>
    </xf>
    <xf numFmtId="0" fontId="55" fillId="0" borderId="48" xfId="0" applyFont="1" applyBorder="1" applyAlignment="1">
      <alignment horizontal="center"/>
    </xf>
    <xf numFmtId="0" fontId="55" fillId="0" borderId="49" xfId="0" applyFont="1" applyBorder="1"/>
    <xf numFmtId="0" fontId="55" fillId="0" borderId="43" xfId="0" applyFont="1" applyBorder="1"/>
    <xf numFmtId="0" fontId="55" fillId="0" borderId="114" xfId="0" applyFont="1" applyBorder="1" applyAlignment="1">
      <alignment horizontal="center"/>
    </xf>
    <xf numFmtId="0" fontId="86" fillId="0" borderId="115" xfId="0" applyFont="1" applyBorder="1" applyAlignment="1">
      <alignment horizontal="center"/>
    </xf>
    <xf numFmtId="0" fontId="55" fillId="0" borderId="57" xfId="0" applyFont="1" applyBorder="1" applyAlignment="1">
      <alignment horizontal="center"/>
    </xf>
    <xf numFmtId="0" fontId="55" fillId="0" borderId="11" xfId="0" applyFont="1" applyBorder="1" applyAlignment="1">
      <alignment horizontal="center"/>
    </xf>
    <xf numFmtId="3" fontId="55" fillId="0" borderId="84" xfId="0" applyNumberFormat="1" applyFont="1" applyBorder="1"/>
    <xf numFmtId="3" fontId="86" fillId="0" borderId="116" xfId="0" applyNumberFormat="1" applyFont="1" applyBorder="1"/>
    <xf numFmtId="3" fontId="55" fillId="31" borderId="24" xfId="0" applyNumberFormat="1" applyFont="1" applyFill="1" applyBorder="1"/>
    <xf numFmtId="3" fontId="55" fillId="0" borderId="0" xfId="0" applyNumberFormat="1" applyFont="1" applyBorder="1"/>
    <xf numFmtId="3" fontId="67" fillId="0" borderId="0" xfId="0" applyNumberFormat="1" applyFont="1" applyFill="1" applyBorder="1"/>
    <xf numFmtId="3" fontId="87" fillId="0" borderId="0" xfId="0" applyNumberFormat="1" applyFont="1" applyFill="1" applyBorder="1"/>
    <xf numFmtId="0" fontId="55" fillId="0" borderId="108" xfId="0" applyFont="1" applyBorder="1" applyAlignment="1">
      <alignment horizontal="center"/>
    </xf>
    <xf numFmtId="0" fontId="55" fillId="0" borderId="117" xfId="0" applyFont="1" applyBorder="1" applyAlignment="1">
      <alignment horizontal="center"/>
    </xf>
    <xf numFmtId="3" fontId="55" fillId="0" borderId="118" xfId="0" applyNumberFormat="1" applyFont="1" applyBorder="1"/>
    <xf numFmtId="3" fontId="86" fillId="0" borderId="119" xfId="0" applyNumberFormat="1" applyFont="1" applyBorder="1"/>
    <xf numFmtId="3" fontId="55" fillId="31" borderId="80" xfId="0" applyNumberFormat="1" applyFont="1" applyFill="1" applyBorder="1"/>
    <xf numFmtId="3" fontId="55" fillId="0" borderId="86" xfId="0" applyNumberFormat="1" applyFont="1" applyBorder="1"/>
    <xf numFmtId="3" fontId="55" fillId="0" borderId="87" xfId="0" applyNumberFormat="1" applyFont="1" applyBorder="1"/>
    <xf numFmtId="0" fontId="55" fillId="0" borderId="120" xfId="0" applyFont="1" applyBorder="1" applyAlignment="1">
      <alignment horizontal="center"/>
    </xf>
    <xf numFmtId="3" fontId="86" fillId="0" borderId="121" xfId="0" applyNumberFormat="1" applyFont="1" applyBorder="1"/>
    <xf numFmtId="3" fontId="55" fillId="31" borderId="25" xfId="0" applyNumberFormat="1" applyFont="1" applyFill="1" applyBorder="1"/>
    <xf numFmtId="3" fontId="88" fillId="29" borderId="17" xfId="0" applyNumberFormat="1" applyFont="1" applyFill="1" applyBorder="1"/>
    <xf numFmtId="0" fontId="89" fillId="0" borderId="0" xfId="0" applyFont="1"/>
    <xf numFmtId="0" fontId="55" fillId="0" borderId="122" xfId="0" applyFont="1" applyBorder="1" applyAlignment="1">
      <alignment horizontal="center"/>
    </xf>
    <xf numFmtId="0" fontId="55" fillId="0" borderId="123" xfId="0" applyFont="1" applyBorder="1" applyAlignment="1">
      <alignment horizontal="center"/>
    </xf>
    <xf numFmtId="3" fontId="61" fillId="29" borderId="124" xfId="0" applyNumberFormat="1" applyFont="1" applyFill="1" applyBorder="1"/>
    <xf numFmtId="3" fontId="55" fillId="0" borderId="125" xfId="0" applyNumberFormat="1" applyFont="1" applyBorder="1"/>
    <xf numFmtId="3" fontId="55" fillId="0" borderId="126" xfId="0" applyNumberFormat="1" applyFont="1" applyBorder="1"/>
    <xf numFmtId="3" fontId="86" fillId="0" borderId="127" xfId="0" applyNumberFormat="1" applyFont="1" applyBorder="1"/>
    <xf numFmtId="3" fontId="86" fillId="0" borderId="88" xfId="0" applyNumberFormat="1" applyFont="1" applyBorder="1"/>
    <xf numFmtId="0" fontId="61" fillId="0" borderId="31" xfId="0" applyFont="1" applyBorder="1"/>
    <xf numFmtId="3" fontId="61" fillId="29" borderId="17" xfId="0" applyNumberFormat="1" applyFont="1" applyFill="1" applyBorder="1"/>
    <xf numFmtId="0" fontId="55" fillId="0" borderId="124" xfId="0" applyFont="1" applyBorder="1" applyAlignment="1">
      <alignment horizontal="center"/>
    </xf>
    <xf numFmtId="0" fontId="55" fillId="0" borderId="28" xfId="0" applyFont="1" applyFill="1" applyBorder="1"/>
    <xf numFmtId="0" fontId="55" fillId="0" borderId="29" xfId="0" applyFont="1" applyFill="1" applyBorder="1"/>
    <xf numFmtId="3" fontId="61" fillId="29" borderId="80" xfId="0" applyNumberFormat="1" applyFont="1" applyFill="1" applyBorder="1"/>
    <xf numFmtId="0" fontId="55" fillId="0" borderId="70" xfId="0" applyFont="1" applyFill="1" applyBorder="1"/>
    <xf numFmtId="3" fontId="55" fillId="0" borderId="128" xfId="0" applyNumberFormat="1" applyFont="1" applyBorder="1"/>
    <xf numFmtId="3" fontId="55" fillId="0" borderId="129" xfId="0" applyNumberFormat="1" applyFont="1" applyBorder="1"/>
    <xf numFmtId="3" fontId="86" fillId="0" borderId="130" xfId="0" applyNumberFormat="1" applyFont="1" applyBorder="1"/>
    <xf numFmtId="0" fontId="68" fillId="0" borderId="0" xfId="0" applyFont="1" applyBorder="1"/>
    <xf numFmtId="0" fontId="61" fillId="0" borderId="31" xfId="0" applyFont="1" applyFill="1" applyBorder="1"/>
    <xf numFmtId="0" fontId="90" fillId="0" borderId="0" xfId="0" applyFont="1"/>
    <xf numFmtId="0" fontId="91" fillId="0" borderId="0" xfId="0" applyFont="1"/>
    <xf numFmtId="3" fontId="92" fillId="0" borderId="0" xfId="0" applyNumberFormat="1" applyFont="1" applyFill="1"/>
    <xf numFmtId="0" fontId="55" fillId="0" borderId="40" xfId="0" applyFont="1" applyBorder="1" applyAlignment="1">
      <alignment horizontal="center"/>
    </xf>
    <xf numFmtId="0" fontId="68" fillId="0" borderId="49" xfId="0" applyFont="1" applyBorder="1" applyAlignment="1">
      <alignment horizontal="center"/>
    </xf>
    <xf numFmtId="0" fontId="68" fillId="0" borderId="131" xfId="0" applyFont="1" applyBorder="1" applyAlignment="1">
      <alignment horizontal="center"/>
    </xf>
    <xf numFmtId="0" fontId="68" fillId="0" borderId="43" xfId="0" applyFont="1" applyBorder="1" applyAlignment="1">
      <alignment horizontal="center"/>
    </xf>
    <xf numFmtId="0" fontId="55" fillId="0" borderId="39" xfId="0" applyFont="1" applyBorder="1" applyAlignment="1">
      <alignment horizontal="center"/>
    </xf>
    <xf numFmtId="0" fontId="55" fillId="0" borderId="31" xfId="0" applyFont="1" applyBorder="1" applyAlignment="1">
      <alignment horizontal="right"/>
    </xf>
    <xf numFmtId="0" fontId="55" fillId="0" borderId="31" xfId="0" applyFont="1" applyBorder="1" applyAlignment="1">
      <alignment horizontal="center"/>
    </xf>
    <xf numFmtId="0" fontId="55" fillId="0" borderId="18" xfId="0" applyFont="1" applyBorder="1" applyAlignment="1">
      <alignment horizontal="center"/>
    </xf>
    <xf numFmtId="0" fontId="68" fillId="0" borderId="60" xfId="0" applyFont="1" applyBorder="1" applyAlignment="1">
      <alignment horizontal="center"/>
    </xf>
    <xf numFmtId="0" fontId="68" fillId="0" borderId="95" xfId="0" applyFont="1" applyBorder="1" applyAlignment="1">
      <alignment horizontal="center"/>
    </xf>
    <xf numFmtId="0" fontId="68" fillId="0" borderId="31" xfId="0" applyFont="1" applyBorder="1" applyAlignment="1">
      <alignment horizontal="center"/>
    </xf>
    <xf numFmtId="0" fontId="55" fillId="24" borderId="17" xfId="0" applyFont="1" applyFill="1" applyBorder="1" applyAlignment="1">
      <alignment horizontal="center"/>
    </xf>
    <xf numFmtId="3" fontId="61" fillId="29" borderId="52" xfId="0" applyNumberFormat="1" applyFont="1" applyFill="1" applyBorder="1"/>
    <xf numFmtId="3" fontId="55" fillId="0" borderId="26" xfId="0" applyNumberFormat="1" applyFont="1" applyBorder="1"/>
    <xf numFmtId="3" fontId="68" fillId="0" borderId="11" xfId="0" applyNumberFormat="1" applyFont="1" applyBorder="1"/>
    <xf numFmtId="3" fontId="93" fillId="0" borderId="100" xfId="0" applyNumberFormat="1" applyFont="1" applyFill="1" applyBorder="1"/>
    <xf numFmtId="3" fontId="68" fillId="0" borderId="0" xfId="0" applyNumberFormat="1" applyFont="1" applyFill="1" applyBorder="1"/>
    <xf numFmtId="3" fontId="94" fillId="0" borderId="34" xfId="0" applyNumberFormat="1" applyFont="1" applyFill="1" applyBorder="1"/>
    <xf numFmtId="3" fontId="55" fillId="24" borderId="124" xfId="0" applyNumberFormat="1" applyFont="1" applyFill="1" applyBorder="1"/>
    <xf numFmtId="3" fontId="55" fillId="0" borderId="132" xfId="0" applyNumberFormat="1" applyFont="1" applyBorder="1"/>
    <xf numFmtId="0" fontId="55" fillId="0" borderId="29" xfId="0" applyFont="1" applyBorder="1" applyAlignment="1">
      <alignment horizontal="center"/>
    </xf>
    <xf numFmtId="3" fontId="55" fillId="0" borderId="133" xfId="0" applyNumberFormat="1" applyFont="1" applyBorder="1"/>
    <xf numFmtId="3" fontId="68" fillId="0" borderId="87" xfId="0" applyNumberFormat="1" applyFont="1" applyFill="1" applyBorder="1"/>
    <xf numFmtId="3" fontId="68" fillId="0" borderId="88" xfId="0" applyNumberFormat="1" applyFont="1" applyFill="1" applyBorder="1"/>
    <xf numFmtId="3" fontId="94" fillId="0" borderId="109" xfId="0" applyNumberFormat="1" applyFont="1" applyFill="1" applyBorder="1"/>
    <xf numFmtId="3" fontId="55" fillId="0" borderId="109" xfId="0" applyNumberFormat="1" applyFont="1" applyBorder="1"/>
    <xf numFmtId="0" fontId="55" fillId="0" borderId="134" xfId="0" applyFont="1" applyBorder="1" applyAlignment="1">
      <alignment horizontal="center"/>
    </xf>
    <xf numFmtId="0" fontId="55" fillId="0" borderId="134" xfId="0" applyFont="1" applyBorder="1"/>
    <xf numFmtId="3" fontId="68" fillId="0" borderId="135" xfId="0" applyNumberFormat="1" applyFont="1" applyFill="1" applyBorder="1"/>
    <xf numFmtId="3" fontId="94" fillId="0" borderId="111" xfId="0" applyNumberFormat="1" applyFont="1" applyFill="1" applyBorder="1"/>
    <xf numFmtId="3" fontId="55" fillId="0" borderId="136" xfId="0" applyNumberFormat="1" applyFont="1" applyBorder="1"/>
    <xf numFmtId="3" fontId="55" fillId="0" borderId="137" xfId="0" applyNumberFormat="1" applyFont="1" applyBorder="1"/>
    <xf numFmtId="0" fontId="68" fillId="0" borderId="70" xfId="0" applyFont="1" applyBorder="1" applyAlignment="1">
      <alignment horizontal="left"/>
    </xf>
    <xf numFmtId="0" fontId="68" fillId="0" borderId="70" xfId="0" applyFont="1" applyBorder="1"/>
    <xf numFmtId="3" fontId="68" fillId="0" borderId="71" xfId="0" applyNumberFormat="1" applyFont="1" applyBorder="1"/>
    <xf numFmtId="3" fontId="68" fillId="0" borderId="22" xfId="0" applyNumberFormat="1" applyFont="1" applyBorder="1"/>
    <xf numFmtId="3" fontId="68" fillId="0" borderId="133" xfId="0" applyNumberFormat="1" applyFont="1" applyBorder="1"/>
    <xf numFmtId="3" fontId="68" fillId="0" borderId="138" xfId="0" applyNumberFormat="1" applyFont="1" applyBorder="1"/>
    <xf numFmtId="3" fontId="68" fillId="0" borderId="34" xfId="0" applyNumberFormat="1" applyFont="1" applyBorder="1"/>
    <xf numFmtId="3" fontId="68" fillId="0" borderId="109" xfId="0" applyNumberFormat="1" applyFont="1" applyBorder="1"/>
    <xf numFmtId="0" fontId="55" fillId="0" borderId="139" xfId="0" applyFont="1" applyBorder="1" applyAlignment="1">
      <alignment horizontal="center"/>
    </xf>
    <xf numFmtId="3" fontId="68" fillId="0" borderId="92" xfId="0" applyNumberFormat="1" applyFont="1" applyFill="1" applyBorder="1"/>
    <xf numFmtId="3" fontId="94" fillId="0" borderId="137" xfId="0" applyNumberFormat="1" applyFont="1" applyFill="1" applyBorder="1"/>
    <xf numFmtId="3" fontId="68" fillId="0" borderId="137" xfId="0" applyNumberFormat="1" applyFont="1" applyBorder="1"/>
    <xf numFmtId="0" fontId="59" fillId="0" borderId="0" xfId="0" applyFont="1" applyBorder="1"/>
    <xf numFmtId="3" fontId="68" fillId="0" borderId="140" xfId="0" applyNumberFormat="1" applyFont="1" applyBorder="1"/>
    <xf numFmtId="0" fontId="68" fillId="0" borderId="0" xfId="0" applyFont="1"/>
    <xf numFmtId="3" fontId="68" fillId="0" borderId="72" xfId="0" applyNumberFormat="1" applyFont="1" applyBorder="1"/>
    <xf numFmtId="0" fontId="79" fillId="0" borderId="0" xfId="0" applyFont="1" applyFill="1"/>
    <xf numFmtId="0" fontId="55" fillId="0" borderId="98" xfId="0" applyFont="1" applyBorder="1" applyAlignment="1">
      <alignment horizontal="center"/>
    </xf>
    <xf numFmtId="0" fontId="56" fillId="0" borderId="47" xfId="0" applyFont="1" applyBorder="1" applyAlignment="1">
      <alignment horizontal="left"/>
    </xf>
    <xf numFmtId="0" fontId="61" fillId="0" borderId="24" xfId="0" applyFont="1" applyBorder="1" applyAlignment="1">
      <alignment horizontal="center"/>
    </xf>
    <xf numFmtId="0" fontId="57" fillId="0" borderId="97" xfId="0" applyFont="1" applyBorder="1" applyAlignment="1">
      <alignment horizontal="center"/>
    </xf>
    <xf numFmtId="0" fontId="56" fillId="0" borderId="46" xfId="0" applyFont="1" applyBorder="1" applyAlignment="1">
      <alignment horizontal="center"/>
    </xf>
    <xf numFmtId="0" fontId="55" fillId="0" borderId="48" xfId="0" applyFont="1" applyBorder="1"/>
    <xf numFmtId="0" fontId="61" fillId="0" borderId="43" xfId="0" applyFont="1" applyBorder="1"/>
    <xf numFmtId="0" fontId="55" fillId="0" borderId="102" xfId="0" applyFont="1" applyBorder="1" applyAlignment="1">
      <alignment horizontal="center"/>
    </xf>
    <xf numFmtId="0" fontId="61" fillId="0" borderId="51" xfId="0" applyFont="1" applyBorder="1" applyAlignment="1">
      <alignment horizontal="left"/>
    </xf>
    <xf numFmtId="0" fontId="61" fillId="0" borderId="141" xfId="0" applyFont="1" applyBorder="1" applyAlignment="1">
      <alignment horizontal="center"/>
    </xf>
    <xf numFmtId="0" fontId="57" fillId="0" borderId="101" xfId="0" applyFont="1" applyBorder="1" applyAlignment="1">
      <alignment horizontal="center"/>
    </xf>
    <xf numFmtId="0" fontId="57" fillId="0" borderId="102" xfId="0" applyFont="1" applyBorder="1" applyAlignment="1">
      <alignment horizontal="center"/>
    </xf>
    <xf numFmtId="0" fontId="56" fillId="0" borderId="50" xfId="0" applyFont="1" applyBorder="1" applyAlignment="1">
      <alignment horizontal="center"/>
    </xf>
    <xf numFmtId="0" fontId="61" fillId="29" borderId="48" xfId="0" applyFont="1" applyFill="1" applyBorder="1"/>
    <xf numFmtId="0" fontId="61" fillId="29" borderId="43" xfId="0" applyFont="1" applyFill="1" applyBorder="1"/>
    <xf numFmtId="0" fontId="57" fillId="29" borderId="95" xfId="0" applyFont="1" applyFill="1" applyBorder="1" applyAlignment="1">
      <alignment horizontal="center"/>
    </xf>
    <xf numFmtId="0" fontId="70" fillId="29" borderId="51" xfId="0" applyFont="1" applyFill="1" applyBorder="1" applyAlignment="1">
      <alignment horizontal="left"/>
    </xf>
    <xf numFmtId="3" fontId="61" fillId="29" borderId="31" xfId="0" applyNumberFormat="1" applyFont="1" applyFill="1" applyBorder="1"/>
    <xf numFmtId="3" fontId="58" fillId="29" borderId="31" xfId="0" applyNumberFormat="1" applyFont="1" applyFill="1" applyBorder="1"/>
    <xf numFmtId="3" fontId="58" fillId="29" borderId="95" xfId="0" applyNumberFormat="1" applyFont="1" applyFill="1" applyBorder="1"/>
    <xf numFmtId="3" fontId="56" fillId="29" borderId="61" xfId="0" applyNumberFormat="1" applyFont="1" applyFill="1" applyBorder="1"/>
    <xf numFmtId="0" fontId="57" fillId="0" borderId="57" xfId="0" applyFont="1" applyBorder="1"/>
    <xf numFmtId="0" fontId="59" fillId="0" borderId="57" xfId="0" applyFont="1" applyBorder="1"/>
    <xf numFmtId="0" fontId="59" fillId="0" borderId="28" xfId="0" applyFont="1" applyBorder="1"/>
    <xf numFmtId="0" fontId="59" fillId="0" borderId="126" xfId="0" applyFont="1" applyBorder="1" applyAlignment="1">
      <alignment horizontal="center"/>
    </xf>
    <xf numFmtId="0" fontId="75" fillId="0" borderId="142" xfId="0" applyFont="1" applyBorder="1" applyAlignment="1">
      <alignment horizontal="left"/>
    </xf>
    <xf numFmtId="3" fontId="68" fillId="0" borderId="124" xfId="0" applyNumberFormat="1" applyFont="1" applyBorder="1"/>
    <xf numFmtId="3" fontId="59" fillId="0" borderId="28" xfId="0" applyNumberFormat="1" applyFont="1" applyBorder="1"/>
    <xf numFmtId="3" fontId="59" fillId="0" borderId="125" xfId="0" applyNumberFormat="1" applyFont="1" applyBorder="1"/>
    <xf numFmtId="3" fontId="59" fillId="0" borderId="126" xfId="0" applyNumberFormat="1" applyFont="1" applyBorder="1"/>
    <xf numFmtId="3" fontId="75" fillId="0" borderId="143" xfId="0" applyNumberFormat="1" applyFont="1" applyBorder="1"/>
    <xf numFmtId="0" fontId="59" fillId="0" borderId="0" xfId="0" applyFont="1" applyAlignment="1">
      <alignment horizontal="center" wrapText="1"/>
    </xf>
    <xf numFmtId="0" fontId="75" fillId="0" borderId="57" xfId="0" applyFont="1" applyBorder="1"/>
    <xf numFmtId="0" fontId="75" fillId="0" borderId="0" xfId="0" applyFont="1" applyBorder="1"/>
    <xf numFmtId="0" fontId="75" fillId="32" borderId="28" xfId="0" applyFont="1" applyFill="1" applyBorder="1"/>
    <xf numFmtId="0" fontId="75" fillId="32" borderId="142" xfId="0" applyFont="1" applyFill="1" applyBorder="1" applyAlignment="1">
      <alignment horizontal="left"/>
    </xf>
    <xf numFmtId="3" fontId="75" fillId="32" borderId="124" xfId="0" applyNumberFormat="1" applyFont="1" applyFill="1" applyBorder="1"/>
    <xf numFmtId="3" fontId="75" fillId="32" borderId="28" xfId="0" applyNumberFormat="1" applyFont="1" applyFill="1" applyBorder="1"/>
    <xf numFmtId="3" fontId="75" fillId="32" borderId="125" xfId="0" applyNumberFormat="1" applyFont="1" applyFill="1" applyBorder="1"/>
    <xf numFmtId="3" fontId="75" fillId="32" borderId="126" xfId="0" applyNumberFormat="1" applyFont="1" applyFill="1" applyBorder="1"/>
    <xf numFmtId="0" fontId="57" fillId="0" borderId="126" xfId="0" applyFont="1" applyBorder="1" applyAlignment="1">
      <alignment horizontal="center"/>
    </xf>
    <xf numFmtId="0" fontId="56" fillId="0" borderId="142" xfId="0" applyFont="1" applyBorder="1" applyAlignment="1">
      <alignment horizontal="left"/>
    </xf>
    <xf numFmtId="3" fontId="55" fillId="0" borderId="124" xfId="0" applyNumberFormat="1" applyFont="1" applyBorder="1"/>
    <xf numFmtId="3" fontId="57" fillId="0" borderId="28" xfId="0" applyNumberFormat="1" applyFont="1" applyBorder="1"/>
    <xf numFmtId="3" fontId="57" fillId="0" borderId="125" xfId="0" applyNumberFormat="1" applyFont="1" applyBorder="1"/>
    <xf numFmtId="3" fontId="57" fillId="0" borderId="126" xfId="0" applyNumberFormat="1" applyFont="1" applyBorder="1"/>
    <xf numFmtId="3" fontId="56" fillId="0" borderId="143" xfId="0" applyNumberFormat="1" applyFont="1" applyBorder="1"/>
    <xf numFmtId="0" fontId="57" fillId="0" borderId="29" xfId="0" applyFont="1" applyFill="1" applyBorder="1"/>
    <xf numFmtId="0" fontId="57" fillId="0" borderId="28" xfId="0" applyFont="1" applyFill="1" applyBorder="1"/>
    <xf numFmtId="0" fontId="56" fillId="0" borderId="142" xfId="0" applyFont="1" applyFill="1" applyBorder="1" applyAlignment="1">
      <alignment horizontal="left"/>
    </xf>
    <xf numFmtId="0" fontId="56" fillId="0" borderId="144" xfId="0" applyFont="1" applyFill="1" applyBorder="1" applyAlignment="1">
      <alignment horizontal="left"/>
    </xf>
    <xf numFmtId="0" fontId="56" fillId="0" borderId="144" xfId="0" applyFont="1" applyBorder="1" applyAlignment="1">
      <alignment horizontal="left"/>
    </xf>
    <xf numFmtId="0" fontId="61" fillId="29" borderId="39" xfId="0" applyFont="1" applyFill="1" applyBorder="1"/>
    <xf numFmtId="0" fontId="61" fillId="29" borderId="31" xfId="0" applyFont="1" applyFill="1" applyBorder="1"/>
    <xf numFmtId="0" fontId="70" fillId="29" borderId="62" xfId="0" applyFont="1" applyFill="1" applyBorder="1" applyAlignment="1">
      <alignment horizontal="left"/>
    </xf>
    <xf numFmtId="0" fontId="57" fillId="0" borderId="69" xfId="0" applyFont="1" applyBorder="1"/>
    <xf numFmtId="0" fontId="57" fillId="0" borderId="134" xfId="0" applyFont="1" applyBorder="1"/>
    <xf numFmtId="0" fontId="57" fillId="0" borderId="135" xfId="0" applyFont="1" applyBorder="1" applyAlignment="1">
      <alignment horizontal="center"/>
    </xf>
    <xf numFmtId="0" fontId="56" fillId="0" borderId="145" xfId="0" applyFont="1" applyBorder="1" applyAlignment="1">
      <alignment horizontal="left"/>
    </xf>
    <xf numFmtId="3" fontId="57" fillId="0" borderId="134" xfId="0" applyNumberFormat="1" applyFont="1" applyBorder="1"/>
    <xf numFmtId="3" fontId="57" fillId="0" borderId="135" xfId="0" applyNumberFormat="1" applyFont="1" applyBorder="1"/>
    <xf numFmtId="3" fontId="56" fillId="0" borderId="146" xfId="0" applyNumberFormat="1" applyFont="1" applyBorder="1"/>
    <xf numFmtId="0" fontId="57" fillId="0" borderId="48" xfId="0" applyFont="1" applyBorder="1"/>
    <xf numFmtId="0" fontId="57" fillId="0" borderId="43" xfId="0" applyFont="1" applyBorder="1"/>
    <xf numFmtId="0" fontId="57" fillId="0" borderId="51" xfId="0" applyFont="1" applyBorder="1" applyAlignment="1">
      <alignment horizontal="left"/>
    </xf>
    <xf numFmtId="3" fontId="55" fillId="0" borderId="141" xfId="0" applyNumberFormat="1" applyFont="1" applyBorder="1"/>
    <xf numFmtId="3" fontId="57" fillId="0" borderId="43" xfId="0" applyNumberFormat="1" applyFont="1" applyBorder="1"/>
    <xf numFmtId="3" fontId="57" fillId="0" borderId="102" xfId="0" applyNumberFormat="1" applyFont="1" applyBorder="1"/>
    <xf numFmtId="3" fontId="56" fillId="0" borderId="50" xfId="0" applyNumberFormat="1" applyFont="1" applyBorder="1"/>
    <xf numFmtId="0" fontId="56" fillId="0" borderId="0" xfId="0" applyFont="1" applyAlignment="1">
      <alignment horizontal="left"/>
    </xf>
    <xf numFmtId="0" fontId="90" fillId="0" borderId="0" xfId="0" applyFont="1" applyFill="1"/>
    <xf numFmtId="0" fontId="90" fillId="0" borderId="0" xfId="0" applyFont="1" applyAlignment="1">
      <alignment horizontal="center"/>
    </xf>
    <xf numFmtId="0" fontId="90" fillId="0" borderId="0" xfId="0" applyFont="1" applyAlignment="1">
      <alignment horizontal="left"/>
    </xf>
    <xf numFmtId="0" fontId="86" fillId="0" borderId="0" xfId="0" applyFont="1"/>
    <xf numFmtId="0" fontId="95" fillId="0" borderId="0" xfId="0" applyFont="1"/>
    <xf numFmtId="0" fontId="55" fillId="0" borderId="0" xfId="0" applyFont="1" applyAlignment="1">
      <alignment horizontal="center"/>
    </xf>
    <xf numFmtId="3" fontId="55" fillId="0" borderId="11" xfId="0" applyNumberFormat="1" applyFont="1" applyBorder="1"/>
    <xf numFmtId="3" fontId="55" fillId="0" borderId="117" xfId="0" applyNumberFormat="1" applyFont="1" applyBorder="1"/>
    <xf numFmtId="3" fontId="68" fillId="0" borderId="117" xfId="0" applyNumberFormat="1" applyFont="1" applyBorder="1"/>
    <xf numFmtId="3" fontId="68" fillId="0" borderId="29" xfId="0" applyNumberFormat="1" applyFont="1" applyFill="1" applyBorder="1"/>
    <xf numFmtId="3" fontId="68" fillId="0" borderId="134" xfId="0" applyNumberFormat="1" applyFont="1" applyFill="1" applyBorder="1"/>
    <xf numFmtId="3" fontId="55" fillId="0" borderId="100" xfId="0" applyNumberFormat="1" applyFont="1" applyBorder="1"/>
    <xf numFmtId="3" fontId="68" fillId="0" borderId="87" xfId="0" applyNumberFormat="1" applyFont="1" applyBorder="1"/>
    <xf numFmtId="0" fontId="61" fillId="29" borderId="36" xfId="0" applyFont="1" applyFill="1" applyBorder="1" applyAlignment="1">
      <alignment horizontal="center"/>
    </xf>
    <xf numFmtId="0" fontId="86" fillId="0" borderId="147" xfId="0" applyFont="1" applyBorder="1" applyAlignment="1">
      <alignment horizontal="center"/>
    </xf>
    <xf numFmtId="0" fontId="55" fillId="31" borderId="25" xfId="0" applyFont="1" applyFill="1" applyBorder="1" applyAlignment="1">
      <alignment horizontal="center"/>
    </xf>
    <xf numFmtId="0" fontId="61" fillId="29" borderId="25" xfId="0" applyFont="1" applyFill="1" applyBorder="1" applyAlignment="1">
      <alignment horizontal="center"/>
    </xf>
    <xf numFmtId="0" fontId="86" fillId="0" borderId="148" xfId="0" applyFont="1" applyBorder="1" applyAlignment="1">
      <alignment horizontal="center"/>
    </xf>
    <xf numFmtId="0" fontId="61" fillId="29" borderId="141" xfId="0" applyFont="1" applyFill="1" applyBorder="1" applyAlignment="1">
      <alignment horizontal="center"/>
    </xf>
    <xf numFmtId="0" fontId="55" fillId="31" borderId="141" xfId="0" applyFont="1" applyFill="1" applyBorder="1" applyAlignment="1">
      <alignment horizontal="center"/>
    </xf>
    <xf numFmtId="0" fontId="55" fillId="0" borderId="117" xfId="80" applyFont="1" applyBorder="1" applyAlignment="1">
      <alignment horizontal="center"/>
    </xf>
    <xf numFmtId="3" fontId="79" fillId="0" borderId="144" xfId="80" applyNumberFormat="1" applyFont="1" applyFill="1" applyBorder="1"/>
    <xf numFmtId="3" fontId="86" fillId="0" borderId="0" xfId="0" applyNumberFormat="1" applyFont="1"/>
    <xf numFmtId="0" fontId="96" fillId="0" borderId="0" xfId="0" applyFont="1"/>
    <xf numFmtId="0" fontId="86" fillId="0" borderId="38" xfId="0" applyFont="1" applyFill="1" applyBorder="1" applyAlignment="1">
      <alignment horizontal="center"/>
    </xf>
    <xf numFmtId="0" fontId="55" fillId="24" borderId="25" xfId="0" applyFont="1" applyFill="1" applyBorder="1" applyAlignment="1">
      <alignment horizontal="center"/>
    </xf>
    <xf numFmtId="0" fontId="86" fillId="0" borderId="34" xfId="0" applyFont="1" applyFill="1" applyBorder="1" applyAlignment="1">
      <alignment horizontal="center"/>
    </xf>
    <xf numFmtId="0" fontId="86" fillId="0" borderId="41" xfId="0" applyFont="1" applyFill="1" applyBorder="1" applyAlignment="1">
      <alignment horizontal="center"/>
    </xf>
    <xf numFmtId="0" fontId="55" fillId="24" borderId="141" xfId="0" applyFont="1" applyFill="1" applyBorder="1" applyAlignment="1">
      <alignment horizontal="center"/>
    </xf>
    <xf numFmtId="0" fontId="61" fillId="29" borderId="17" xfId="0" applyFont="1" applyFill="1" applyBorder="1" applyAlignment="1">
      <alignment horizontal="center"/>
    </xf>
    <xf numFmtId="0" fontId="86" fillId="0" borderId="23" xfId="0" applyFont="1" applyFill="1" applyBorder="1" applyAlignment="1">
      <alignment horizontal="center"/>
    </xf>
    <xf numFmtId="3" fontId="68" fillId="0" borderId="0" xfId="0" applyNumberFormat="1" applyFont="1"/>
    <xf numFmtId="0" fontId="97" fillId="0" borderId="0" xfId="0" applyFont="1"/>
    <xf numFmtId="0" fontId="79" fillId="29" borderId="0" xfId="0" applyFont="1" applyFill="1"/>
    <xf numFmtId="0" fontId="55" fillId="29" borderId="0" xfId="0" applyFont="1" applyFill="1"/>
    <xf numFmtId="3" fontId="57" fillId="0" borderId="15" xfId="0" applyNumberFormat="1" applyFont="1" applyFill="1" applyBorder="1"/>
    <xf numFmtId="0" fontId="57" fillId="36" borderId="32" xfId="0" applyFont="1" applyFill="1" applyBorder="1" applyAlignment="1">
      <alignment horizontal="center"/>
    </xf>
    <xf numFmtId="0" fontId="57" fillId="36" borderId="12" xfId="0" applyFont="1" applyFill="1" applyBorder="1" applyAlignment="1">
      <alignment horizontal="center"/>
    </xf>
    <xf numFmtId="3" fontId="57" fillId="36" borderId="10" xfId="0" applyNumberFormat="1" applyFont="1" applyFill="1" applyBorder="1"/>
    <xf numFmtId="3" fontId="57" fillId="36" borderId="37" xfId="0" applyNumberFormat="1" applyFont="1" applyFill="1" applyBorder="1"/>
    <xf numFmtId="3" fontId="59" fillId="36" borderId="18" xfId="0" applyNumberFormat="1" applyFont="1" applyFill="1" applyBorder="1"/>
    <xf numFmtId="3" fontId="57" fillId="36" borderId="12" xfId="0" applyNumberFormat="1" applyFont="1" applyFill="1" applyBorder="1"/>
    <xf numFmtId="3" fontId="57" fillId="36" borderId="18" xfId="0" applyNumberFormat="1" applyFont="1" applyFill="1" applyBorder="1"/>
    <xf numFmtId="4" fontId="79" fillId="36" borderId="122" xfId="0" applyNumberFormat="1" applyFont="1" applyFill="1" applyBorder="1"/>
    <xf numFmtId="3" fontId="79" fillId="36" borderId="150" xfId="0" applyNumberFormat="1" applyFont="1" applyFill="1" applyBorder="1"/>
    <xf numFmtId="3" fontId="82" fillId="36" borderId="149" xfId="0" applyNumberFormat="1" applyFont="1" applyFill="1" applyBorder="1"/>
    <xf numFmtId="4" fontId="54" fillId="0" borderId="0" xfId="0" applyNumberFormat="1" applyFont="1" applyFill="1"/>
    <xf numFmtId="4" fontId="78" fillId="0" borderId="0" xfId="0" applyNumberFormat="1" applyFont="1" applyFill="1"/>
    <xf numFmtId="4" fontId="57" fillId="38" borderId="22" xfId="0" applyNumberFormat="1" applyFont="1" applyFill="1" applyBorder="1"/>
    <xf numFmtId="4" fontId="57" fillId="38" borderId="38" xfId="0" applyNumberFormat="1" applyFont="1" applyFill="1" applyBorder="1"/>
    <xf numFmtId="4" fontId="59" fillId="38" borderId="23" xfId="0" applyNumberFormat="1" applyFont="1" applyFill="1" applyBorder="1"/>
    <xf numFmtId="4" fontId="57" fillId="38" borderId="35" xfId="0" applyNumberFormat="1" applyFont="1" applyFill="1" applyBorder="1"/>
    <xf numFmtId="4" fontId="57" fillId="38" borderId="23" xfId="0" applyNumberFormat="1" applyFont="1" applyFill="1" applyBorder="1"/>
    <xf numFmtId="10" fontId="56" fillId="0" borderId="17" xfId="0" applyNumberFormat="1" applyFont="1" applyBorder="1" applyAlignment="1">
      <alignment horizontal="center"/>
    </xf>
    <xf numFmtId="10" fontId="56" fillId="0" borderId="23" xfId="0" applyNumberFormat="1" applyFont="1" applyBorder="1" applyAlignment="1">
      <alignment horizontal="center"/>
    </xf>
    <xf numFmtId="3" fontId="55" fillId="24" borderId="15" xfId="0" applyNumberFormat="1" applyFont="1" applyFill="1" applyBorder="1"/>
    <xf numFmtId="0" fontId="57" fillId="37" borderId="0" xfId="0" applyFont="1" applyFill="1"/>
    <xf numFmtId="3" fontId="55" fillId="37" borderId="87" xfId="0" applyNumberFormat="1" applyFont="1" applyFill="1" applyBorder="1"/>
    <xf numFmtId="3" fontId="56" fillId="38" borderId="22" xfId="0" applyNumberFormat="1" applyFont="1" applyFill="1" applyBorder="1"/>
    <xf numFmtId="3" fontId="82" fillId="37" borderId="107" xfId="0" applyNumberFormat="1" applyFont="1" applyFill="1" applyBorder="1"/>
    <xf numFmtId="4" fontId="79" fillId="37" borderId="122" xfId="0" applyNumberFormat="1" applyFont="1" applyFill="1" applyBorder="1"/>
    <xf numFmtId="4" fontId="82" fillId="37" borderId="104" xfId="0" applyNumberFormat="1" applyFont="1" applyFill="1" applyBorder="1"/>
    <xf numFmtId="4" fontId="57" fillId="38" borderId="10" xfId="0" applyNumberFormat="1" applyFont="1" applyFill="1" applyBorder="1"/>
    <xf numFmtId="4" fontId="57" fillId="38" borderId="37" xfId="0" applyNumberFormat="1" applyFont="1" applyFill="1" applyBorder="1"/>
    <xf numFmtId="4" fontId="59" fillId="38" borderId="18" xfId="0" applyNumberFormat="1" applyFont="1" applyFill="1" applyBorder="1"/>
    <xf numFmtId="4" fontId="57" fillId="38" borderId="12" xfId="0" applyNumberFormat="1" applyFont="1" applyFill="1" applyBorder="1"/>
    <xf numFmtId="4" fontId="57" fillId="38" borderId="18" xfId="0" applyNumberFormat="1" applyFont="1" applyFill="1" applyBorder="1"/>
    <xf numFmtId="0" fontId="55" fillId="38" borderId="39" xfId="0" applyFont="1" applyFill="1" applyBorder="1"/>
    <xf numFmtId="0" fontId="57" fillId="0" borderId="68" xfId="0" applyFont="1" applyFill="1" applyBorder="1"/>
    <xf numFmtId="0" fontId="57" fillId="0" borderId="151" xfId="0" applyFont="1" applyFill="1" applyBorder="1"/>
    <xf numFmtId="0" fontId="55" fillId="0" borderId="66" xfId="0" applyFont="1" applyFill="1" applyBorder="1" applyAlignment="1">
      <alignment horizontal="right"/>
    </xf>
    <xf numFmtId="0" fontId="55" fillId="0" borderId="64" xfId="0" applyFont="1" applyFill="1" applyBorder="1" applyAlignment="1">
      <alignment horizontal="right"/>
    </xf>
    <xf numFmtId="0" fontId="55" fillId="0" borderId="152" xfId="0" applyFont="1" applyFill="1" applyBorder="1" applyAlignment="1">
      <alignment horizontal="center"/>
    </xf>
    <xf numFmtId="0" fontId="55" fillId="25" borderId="153" xfId="0" applyFont="1" applyFill="1" applyBorder="1"/>
    <xf numFmtId="0" fontId="55" fillId="0" borderId="15" xfId="0" applyFont="1" applyBorder="1" applyAlignment="1">
      <alignment horizontal="center"/>
    </xf>
    <xf numFmtId="0" fontId="55" fillId="0" borderId="154" xfId="0" applyFont="1" applyBorder="1" applyAlignment="1">
      <alignment horizontal="center"/>
    </xf>
    <xf numFmtId="0" fontId="88" fillId="0" borderId="17" xfId="0" applyFont="1" applyBorder="1" applyAlignment="1">
      <alignment horizontal="center"/>
    </xf>
    <xf numFmtId="0" fontId="88" fillId="0" borderId="31" xfId="0" applyFont="1" applyFill="1" applyBorder="1"/>
    <xf numFmtId="3" fontId="88" fillId="0" borderId="0" xfId="0" applyNumberFormat="1" applyFont="1"/>
    <xf numFmtId="0" fontId="100" fillId="0" borderId="0" xfId="0" applyFont="1"/>
    <xf numFmtId="0" fontId="88" fillId="0" borderId="0" xfId="0" applyFont="1"/>
    <xf numFmtId="3" fontId="61" fillId="29" borderId="25" xfId="0" applyNumberFormat="1" applyFont="1" applyFill="1" applyBorder="1"/>
    <xf numFmtId="3" fontId="55" fillId="0" borderId="99" xfId="0" applyNumberFormat="1" applyFont="1" applyBorder="1"/>
    <xf numFmtId="3" fontId="55" fillId="0" borderId="155" xfId="0" applyNumberFormat="1" applyFont="1" applyBorder="1"/>
    <xf numFmtId="3" fontId="88" fillId="29" borderId="15" xfId="0" applyNumberFormat="1" applyFont="1" applyFill="1" applyBorder="1"/>
    <xf numFmtId="3" fontId="68" fillId="24" borderId="15" xfId="0" applyNumberFormat="1" applyFont="1" applyFill="1" applyBorder="1"/>
    <xf numFmtId="9" fontId="69" fillId="0" borderId="0" xfId="0" applyNumberFormat="1" applyFont="1"/>
    <xf numFmtId="3" fontId="57" fillId="0" borderId="21" xfId="0" applyNumberFormat="1" applyFont="1" applyFill="1" applyBorder="1"/>
    <xf numFmtId="3" fontId="57" fillId="0" borderId="22" xfId="0" applyNumberFormat="1" applyFont="1" applyFill="1" applyBorder="1"/>
    <xf numFmtId="3" fontId="57" fillId="0" borderId="36" xfId="0" applyNumberFormat="1" applyFont="1" applyFill="1" applyBorder="1"/>
    <xf numFmtId="3" fontId="57" fillId="0" borderId="27" xfId="0" applyNumberFormat="1" applyFont="1" applyFill="1" applyBorder="1"/>
    <xf numFmtId="3" fontId="57" fillId="0" borderId="24" xfId="0" applyNumberFormat="1" applyFont="1" applyFill="1" applyBorder="1"/>
    <xf numFmtId="0" fontId="33" fillId="0" borderId="0" xfId="0" applyFont="1"/>
    <xf numFmtId="3" fontId="69" fillId="0" borderId="0" xfId="0" applyNumberFormat="1" applyFont="1"/>
    <xf numFmtId="3" fontId="68" fillId="0" borderId="10" xfId="0" applyNumberFormat="1" applyFont="1" applyBorder="1"/>
    <xf numFmtId="3" fontId="68" fillId="0" borderId="30" xfId="0" applyNumberFormat="1" applyFont="1" applyFill="1" applyBorder="1"/>
    <xf numFmtId="3" fontId="68" fillId="0" borderId="156" xfId="0" applyNumberFormat="1" applyFont="1" applyFill="1" applyBorder="1"/>
    <xf numFmtId="3" fontId="68" fillId="0" borderId="157" xfId="0" applyNumberFormat="1" applyFont="1" applyFill="1" applyBorder="1"/>
    <xf numFmtId="3" fontId="61" fillId="29" borderId="95" xfId="0" applyNumberFormat="1" applyFont="1" applyFill="1" applyBorder="1"/>
    <xf numFmtId="3" fontId="61" fillId="29" borderId="158" xfId="0" applyNumberFormat="1" applyFont="1" applyFill="1" applyBorder="1"/>
    <xf numFmtId="0" fontId="68" fillId="0" borderId="43" xfId="0" applyFont="1" applyBorder="1"/>
    <xf numFmtId="3" fontId="68" fillId="0" borderId="43" xfId="0" applyNumberFormat="1" applyFont="1" applyBorder="1"/>
    <xf numFmtId="3" fontId="68" fillId="0" borderId="49" xfId="0" applyNumberFormat="1" applyFont="1" applyBorder="1"/>
    <xf numFmtId="3" fontId="68" fillId="0" borderId="102" xfId="0" applyNumberFormat="1" applyFont="1" applyBorder="1"/>
    <xf numFmtId="3" fontId="94" fillId="0" borderId="41" xfId="0" applyNumberFormat="1" applyFont="1" applyFill="1" applyBorder="1"/>
    <xf numFmtId="3" fontId="68" fillId="24" borderId="25" xfId="0" applyNumberFormat="1" applyFont="1" applyFill="1" applyBorder="1"/>
    <xf numFmtId="0" fontId="68" fillId="0" borderId="71" xfId="0" applyFont="1" applyBorder="1"/>
    <xf numFmtId="3" fontId="88" fillId="29" borderId="157" xfId="0" applyNumberFormat="1" applyFont="1" applyFill="1" applyBorder="1"/>
    <xf numFmtId="3" fontId="88" fillId="29" borderId="72" xfId="0" applyNumberFormat="1" applyFont="1" applyFill="1" applyBorder="1"/>
    <xf numFmtId="3" fontId="68" fillId="24" borderId="64" xfId="0" applyNumberFormat="1" applyFont="1" applyFill="1" applyBorder="1"/>
    <xf numFmtId="0" fontId="39" fillId="0" borderId="0" xfId="0" applyFont="1"/>
    <xf numFmtId="3" fontId="0" fillId="0" borderId="0" xfId="0" applyNumberFormat="1"/>
    <xf numFmtId="4" fontId="57" fillId="0" borderId="0" xfId="0" applyNumberFormat="1" applyFont="1"/>
    <xf numFmtId="3" fontId="55" fillId="0" borderId="159" xfId="0" applyNumberFormat="1" applyFont="1" applyBorder="1"/>
    <xf numFmtId="3" fontId="55" fillId="0" borderId="139" xfId="0" applyNumberFormat="1" applyFont="1" applyBorder="1"/>
    <xf numFmtId="3" fontId="68" fillId="0" borderId="135" xfId="0" applyNumberFormat="1" applyFont="1" applyBorder="1"/>
    <xf numFmtId="3" fontId="101" fillId="38" borderId="41" xfId="0" applyNumberFormat="1" applyFont="1" applyFill="1" applyBorder="1"/>
    <xf numFmtId="3" fontId="55" fillId="0" borderId="120" xfId="0" applyNumberFormat="1" applyFont="1" applyBorder="1"/>
    <xf numFmtId="3" fontId="55" fillId="0" borderId="91" xfId="0" applyNumberFormat="1" applyFont="1" applyBorder="1"/>
    <xf numFmtId="3" fontId="55" fillId="24" borderId="25" xfId="0" applyNumberFormat="1" applyFont="1" applyFill="1" applyBorder="1"/>
    <xf numFmtId="3" fontId="55" fillId="0" borderId="160" xfId="0" applyNumberFormat="1" applyFont="1" applyBorder="1"/>
    <xf numFmtId="0" fontId="55" fillId="31" borderId="36" xfId="0" applyFont="1" applyFill="1" applyBorder="1" applyAlignment="1">
      <alignment horizontal="center"/>
    </xf>
    <xf numFmtId="3" fontId="88" fillId="29" borderId="161" xfId="0" applyNumberFormat="1" applyFont="1" applyFill="1" applyBorder="1"/>
    <xf numFmtId="3" fontId="88" fillId="29" borderId="95" xfId="0" applyNumberFormat="1" applyFont="1" applyFill="1" applyBorder="1"/>
    <xf numFmtId="3" fontId="55" fillId="31" borderId="75" xfId="0" applyNumberFormat="1" applyFont="1" applyFill="1" applyBorder="1"/>
    <xf numFmtId="3" fontId="55" fillId="31" borderId="162" xfId="0" applyNumberFormat="1" applyFont="1" applyFill="1" applyBorder="1"/>
    <xf numFmtId="3" fontId="88" fillId="29" borderId="31" xfId="0" applyNumberFormat="1" applyFont="1" applyFill="1" applyBorder="1"/>
    <xf numFmtId="3" fontId="68" fillId="31" borderId="39" xfId="0" applyNumberFormat="1" applyFont="1" applyFill="1" applyBorder="1"/>
    <xf numFmtId="3" fontId="68" fillId="31" borderId="95" xfId="0" applyNumberFormat="1" applyFont="1" applyFill="1" applyBorder="1"/>
    <xf numFmtId="3" fontId="68" fillId="0" borderId="157" xfId="0" applyNumberFormat="1" applyFont="1" applyBorder="1"/>
    <xf numFmtId="3" fontId="88" fillId="29" borderId="156" xfId="0" applyNumberFormat="1" applyFont="1" applyFill="1" applyBorder="1"/>
    <xf numFmtId="3" fontId="88" fillId="29" borderId="160" xfId="0" applyNumberFormat="1" applyFont="1" applyFill="1" applyBorder="1"/>
    <xf numFmtId="3" fontId="55" fillId="0" borderId="88" xfId="0" applyNumberFormat="1" applyFont="1" applyBorder="1"/>
    <xf numFmtId="0" fontId="61" fillId="41" borderId="0" xfId="0" applyFont="1" applyFill="1"/>
    <xf numFmtId="0" fontId="55" fillId="41" borderId="0" xfId="0" applyFont="1" applyFill="1"/>
    <xf numFmtId="0" fontId="85" fillId="41" borderId="0" xfId="0" applyFont="1" applyFill="1"/>
    <xf numFmtId="0" fontId="102" fillId="0" borderId="0" xfId="0" applyFont="1"/>
    <xf numFmtId="3" fontId="0" fillId="0" borderId="10" xfId="0" applyNumberFormat="1" applyBorder="1"/>
    <xf numFmtId="4" fontId="79" fillId="0" borderId="108" xfId="0" applyNumberFormat="1" applyFont="1" applyFill="1" applyBorder="1"/>
    <xf numFmtId="3" fontId="39" fillId="0" borderId="10" xfId="0" applyNumberFormat="1" applyFont="1" applyBorder="1"/>
    <xf numFmtId="3" fontId="61" fillId="29" borderId="39" xfId="0" applyNumberFormat="1" applyFont="1" applyFill="1" applyBorder="1"/>
    <xf numFmtId="3" fontId="61" fillId="29" borderId="23" xfId="0" applyNumberFormat="1" applyFont="1" applyFill="1" applyBorder="1"/>
    <xf numFmtId="3" fontId="61" fillId="29" borderId="60" xfId="0" applyNumberFormat="1" applyFont="1" applyFill="1" applyBorder="1"/>
    <xf numFmtId="3" fontId="61" fillId="29" borderId="94" xfId="0" applyNumberFormat="1" applyFont="1" applyFill="1" applyBorder="1"/>
    <xf numFmtId="3" fontId="61" fillId="29" borderId="18" xfId="0" applyNumberFormat="1" applyFont="1" applyFill="1" applyBorder="1"/>
    <xf numFmtId="3" fontId="55" fillId="24" borderId="39" xfId="0" applyNumberFormat="1" applyFont="1" applyFill="1" applyBorder="1"/>
    <xf numFmtId="3" fontId="55" fillId="24" borderId="18" xfId="0" applyNumberFormat="1" applyFont="1" applyFill="1" applyBorder="1"/>
    <xf numFmtId="3" fontId="55" fillId="0" borderId="165" xfId="0" applyNumberFormat="1" applyFont="1" applyBorder="1"/>
    <xf numFmtId="3" fontId="68" fillId="0" borderId="71" xfId="0" applyNumberFormat="1" applyFont="1" applyFill="1" applyBorder="1"/>
    <xf numFmtId="3" fontId="88" fillId="29" borderId="71" xfId="0" applyNumberFormat="1" applyFont="1" applyFill="1" applyBorder="1"/>
    <xf numFmtId="3" fontId="88" fillId="29" borderId="166" xfId="0" applyNumberFormat="1" applyFont="1" applyFill="1" applyBorder="1"/>
    <xf numFmtId="3" fontId="88" fillId="29" borderId="22" xfId="0" applyNumberFormat="1" applyFont="1" applyFill="1" applyBorder="1"/>
    <xf numFmtId="3" fontId="68" fillId="24" borderId="71" xfId="0" applyNumberFormat="1" applyFont="1" applyFill="1" applyBorder="1"/>
    <xf numFmtId="3" fontId="68" fillId="24" borderId="10" xfId="0" applyNumberFormat="1" applyFont="1" applyFill="1" applyBorder="1"/>
    <xf numFmtId="3" fontId="61" fillId="29" borderId="167" xfId="0" applyNumberFormat="1" applyFont="1" applyFill="1" applyBorder="1"/>
    <xf numFmtId="3" fontId="68" fillId="0" borderId="37" xfId="0" applyNumberFormat="1" applyFont="1" applyBorder="1"/>
    <xf numFmtId="3" fontId="55" fillId="0" borderId="168" xfId="0" applyNumberFormat="1" applyFont="1" applyBorder="1"/>
    <xf numFmtId="3" fontId="55" fillId="0" borderId="168" xfId="0" applyNumberFormat="1" applyFont="1" applyFill="1" applyBorder="1"/>
    <xf numFmtId="3" fontId="55" fillId="0" borderId="127" xfId="0" applyNumberFormat="1" applyFont="1" applyBorder="1"/>
    <xf numFmtId="3" fontId="79" fillId="0" borderId="88" xfId="0" applyNumberFormat="1" applyFont="1" applyBorder="1"/>
    <xf numFmtId="3" fontId="79" fillId="0" borderId="88" xfId="80" applyNumberFormat="1" applyFont="1" applyFill="1" applyBorder="1"/>
    <xf numFmtId="3" fontId="55" fillId="0" borderId="169" xfId="0" applyNumberFormat="1" applyFont="1" applyBorder="1"/>
    <xf numFmtId="3" fontId="55" fillId="31" borderId="0" xfId="0" applyNumberFormat="1" applyFont="1" applyFill="1" applyBorder="1"/>
    <xf numFmtId="3" fontId="68" fillId="31" borderId="31" xfId="0" applyNumberFormat="1" applyFont="1" applyFill="1" applyBorder="1"/>
    <xf numFmtId="3" fontId="86" fillId="0" borderId="34" xfId="0" applyNumberFormat="1" applyFont="1" applyBorder="1" applyAlignment="1">
      <alignment horizontal="center"/>
    </xf>
    <xf numFmtId="3" fontId="86" fillId="0" borderId="41" xfId="0" applyNumberFormat="1" applyFont="1" applyBorder="1"/>
    <xf numFmtId="3" fontId="86" fillId="0" borderId="34" xfId="0" applyNumberFormat="1" applyFont="1" applyBorder="1"/>
    <xf numFmtId="3" fontId="86" fillId="0" borderId="109" xfId="0" applyNumberFormat="1" applyFont="1" applyBorder="1"/>
    <xf numFmtId="3" fontId="86" fillId="0" borderId="137" xfId="0" applyNumberFormat="1" applyFont="1" applyBorder="1"/>
    <xf numFmtId="3" fontId="55" fillId="0" borderId="170" xfId="0" applyNumberFormat="1" applyFont="1" applyBorder="1"/>
    <xf numFmtId="3" fontId="79" fillId="0" borderId="109" xfId="0" applyNumberFormat="1" applyFont="1" applyBorder="1"/>
    <xf numFmtId="3" fontId="79" fillId="0" borderId="109" xfId="80" applyNumberFormat="1" applyFont="1" applyFill="1" applyBorder="1"/>
    <xf numFmtId="0" fontId="68" fillId="0" borderId="109" xfId="0" applyFont="1" applyBorder="1"/>
    <xf numFmtId="3" fontId="68" fillId="0" borderId="111" xfId="0" applyNumberFormat="1" applyFont="1" applyFill="1" applyBorder="1"/>
    <xf numFmtId="3" fontId="55" fillId="31" borderId="34" xfId="0" applyNumberFormat="1" applyFont="1" applyFill="1" applyBorder="1"/>
    <xf numFmtId="3" fontId="68" fillId="31" borderId="23" xfId="0" applyNumberFormat="1" applyFont="1" applyFill="1" applyBorder="1"/>
    <xf numFmtId="3" fontId="86" fillId="0" borderId="38" xfId="0" applyNumberFormat="1" applyFont="1" applyBorder="1" applyAlignment="1">
      <alignment horizontal="center"/>
    </xf>
    <xf numFmtId="0" fontId="55" fillId="0" borderId="49" xfId="0" applyFont="1" applyBorder="1" applyAlignment="1">
      <alignment horizontal="center"/>
    </xf>
    <xf numFmtId="0" fontId="55" fillId="0" borderId="60" xfId="0" applyFont="1" applyBorder="1" applyAlignment="1">
      <alignment horizontal="center"/>
    </xf>
    <xf numFmtId="3" fontId="68" fillId="0" borderId="160" xfId="0" applyNumberFormat="1" applyFont="1" applyBorder="1"/>
    <xf numFmtId="3" fontId="68" fillId="0" borderId="120" xfId="0" applyNumberFormat="1" applyFont="1" applyBorder="1"/>
    <xf numFmtId="3" fontId="55" fillId="24" borderId="31" xfId="0" applyNumberFormat="1" applyFont="1" applyFill="1" applyBorder="1"/>
    <xf numFmtId="3" fontId="86" fillId="0" borderId="41" xfId="0" applyNumberFormat="1" applyFont="1" applyBorder="1" applyAlignment="1">
      <alignment horizontal="center"/>
    </xf>
    <xf numFmtId="3" fontId="86" fillId="0" borderId="23" xfId="0" applyNumberFormat="1" applyFont="1" applyBorder="1"/>
    <xf numFmtId="3" fontId="68" fillId="0" borderId="171" xfId="0" applyNumberFormat="1" applyFont="1" applyBorder="1"/>
    <xf numFmtId="3" fontId="68" fillId="0" borderId="123" xfId="0" applyNumberFormat="1" applyFont="1" applyBorder="1"/>
    <xf numFmtId="3" fontId="94" fillId="0" borderId="22" xfId="0" applyNumberFormat="1" applyFont="1" applyBorder="1"/>
    <xf numFmtId="3" fontId="104" fillId="0" borderId="109" xfId="0" applyNumberFormat="1" applyFont="1" applyBorder="1"/>
    <xf numFmtId="3" fontId="68" fillId="24" borderId="22" xfId="0" applyNumberFormat="1" applyFont="1" applyFill="1" applyBorder="1"/>
    <xf numFmtId="3" fontId="104" fillId="0" borderId="41" xfId="0" applyNumberFormat="1" applyFont="1" applyBorder="1"/>
    <xf numFmtId="0" fontId="55" fillId="0" borderId="89" xfId="0" applyFont="1" applyBorder="1" applyAlignment="1">
      <alignment horizontal="center"/>
    </xf>
    <xf numFmtId="0" fontId="55" fillId="0" borderId="141" xfId="0" applyFont="1" applyBorder="1" applyAlignment="1">
      <alignment horizontal="center"/>
    </xf>
    <xf numFmtId="0" fontId="68" fillId="0" borderId="82" xfId="0" applyFont="1" applyBorder="1"/>
    <xf numFmtId="3" fontId="88" fillId="29" borderId="36" xfId="0" applyNumberFormat="1" applyFont="1" applyFill="1" applyBorder="1"/>
    <xf numFmtId="3" fontId="68" fillId="0" borderId="172" xfId="0" applyNumberFormat="1" applyFont="1" applyBorder="1"/>
    <xf numFmtId="3" fontId="68" fillId="0" borderId="82" xfId="0" applyNumberFormat="1" applyFont="1" applyBorder="1"/>
    <xf numFmtId="3" fontId="68" fillId="24" borderId="36" xfId="0" applyNumberFormat="1" applyFont="1" applyFill="1" applyBorder="1"/>
    <xf numFmtId="3" fontId="94" fillId="0" borderId="38" xfId="0" applyNumberFormat="1" applyFont="1" applyFill="1" applyBorder="1"/>
    <xf numFmtId="0" fontId="68" fillId="0" borderId="19" xfId="0" applyFont="1" applyBorder="1" applyAlignment="1">
      <alignment horizontal="center"/>
    </xf>
    <xf numFmtId="0" fontId="68" fillId="0" borderId="76" xfId="0" applyFont="1" applyBorder="1"/>
    <xf numFmtId="3" fontId="88" fillId="29" borderId="19" xfId="0" applyNumberFormat="1" applyFont="1" applyFill="1" applyBorder="1"/>
    <xf numFmtId="3" fontId="68" fillId="0" borderId="76" xfId="0" applyNumberFormat="1" applyFont="1" applyBorder="1"/>
    <xf numFmtId="3" fontId="68" fillId="0" borderId="20" xfId="0" applyNumberFormat="1" applyFont="1" applyBorder="1"/>
    <xf numFmtId="3" fontId="68" fillId="0" borderId="173" xfId="0" applyNumberFormat="1" applyFont="1" applyBorder="1"/>
    <xf numFmtId="3" fontId="68" fillId="0" borderId="131" xfId="0" applyNumberFormat="1" applyFont="1" applyBorder="1"/>
    <xf numFmtId="3" fontId="94" fillId="0" borderId="112" xfId="0" applyNumberFormat="1" applyFont="1" applyFill="1" applyBorder="1"/>
    <xf numFmtId="3" fontId="68" fillId="24" borderId="19" xfId="0" applyNumberFormat="1" applyFont="1" applyFill="1" applyBorder="1"/>
    <xf numFmtId="3" fontId="68" fillId="0" borderId="112" xfId="0" applyNumberFormat="1" applyFont="1" applyBorder="1"/>
    <xf numFmtId="0" fontId="55" fillId="0" borderId="103" xfId="0" applyFont="1" applyBorder="1" applyAlignment="1">
      <alignment horizontal="center"/>
    </xf>
    <xf numFmtId="3" fontId="55" fillId="0" borderId="174" xfId="0" applyNumberFormat="1" applyFont="1" applyBorder="1"/>
    <xf numFmtId="0" fontId="88" fillId="0" borderId="64" xfId="0" applyFont="1" applyBorder="1" applyAlignment="1">
      <alignment horizontal="center"/>
    </xf>
    <xf numFmtId="0" fontId="88" fillId="0" borderId="160" xfId="0" applyFont="1" applyBorder="1" applyAlignment="1">
      <alignment horizontal="left"/>
    </xf>
    <xf numFmtId="0" fontId="88" fillId="0" borderId="71" xfId="0" applyFont="1" applyBorder="1"/>
    <xf numFmtId="3" fontId="88" fillId="0" borderId="175" xfId="0" applyNumberFormat="1" applyFont="1" applyBorder="1"/>
    <xf numFmtId="3" fontId="88" fillId="0" borderId="157" xfId="0" applyNumberFormat="1" applyFont="1" applyBorder="1"/>
    <xf numFmtId="3" fontId="105" fillId="0" borderId="176" xfId="0" applyNumberFormat="1" applyFont="1" applyBorder="1"/>
    <xf numFmtId="3" fontId="68" fillId="31" borderId="15" xfId="0" applyNumberFormat="1" applyFont="1" applyFill="1" applyBorder="1"/>
    <xf numFmtId="3" fontId="68" fillId="0" borderId="175" xfId="0" applyNumberFormat="1" applyFont="1" applyBorder="1"/>
    <xf numFmtId="0" fontId="55" fillId="0" borderId="11" xfId="80" applyFont="1" applyBorder="1" applyAlignment="1">
      <alignment horizontal="center"/>
    </xf>
    <xf numFmtId="3" fontId="79" fillId="0" borderId="59" xfId="80" applyNumberFormat="1" applyFont="1" applyFill="1" applyBorder="1"/>
    <xf numFmtId="3" fontId="55" fillId="0" borderId="90" xfId="0" applyNumberFormat="1" applyFont="1" applyBorder="1"/>
    <xf numFmtId="3" fontId="55" fillId="0" borderId="92" xfId="0" applyNumberFormat="1" applyFont="1" applyBorder="1"/>
    <xf numFmtId="3" fontId="55" fillId="31" borderId="124" xfId="0" applyNumberFormat="1" applyFont="1" applyFill="1" applyBorder="1"/>
    <xf numFmtId="3" fontId="68" fillId="0" borderId="170" xfId="0" applyNumberFormat="1" applyFont="1" applyBorder="1"/>
    <xf numFmtId="0" fontId="88" fillId="0" borderId="15" xfId="0" applyFont="1" applyBorder="1" applyAlignment="1">
      <alignment horizontal="center"/>
    </xf>
    <xf numFmtId="3" fontId="55" fillId="31" borderId="15" xfId="0" applyNumberFormat="1" applyFont="1" applyFill="1" applyBorder="1"/>
    <xf numFmtId="3" fontId="68" fillId="0" borderId="156" xfId="0" applyNumberFormat="1" applyFont="1" applyBorder="1"/>
    <xf numFmtId="3" fontId="68" fillId="0" borderId="166" xfId="0" applyNumberFormat="1" applyFont="1" applyBorder="1"/>
    <xf numFmtId="0" fontId="55" fillId="0" borderId="30" xfId="0" applyFont="1" applyBorder="1" applyAlignment="1">
      <alignment horizontal="center"/>
    </xf>
    <xf numFmtId="3" fontId="61" fillId="29" borderId="89" xfId="0" applyNumberFormat="1" applyFont="1" applyFill="1" applyBorder="1"/>
    <xf numFmtId="3" fontId="68" fillId="0" borderId="91" xfId="0" applyNumberFormat="1" applyFont="1" applyFill="1" applyBorder="1"/>
    <xf numFmtId="3" fontId="68" fillId="0" borderId="100" xfId="0" applyNumberFormat="1" applyFont="1" applyFill="1" applyBorder="1"/>
    <xf numFmtId="0" fontId="68" fillId="0" borderId="71" xfId="0" applyFont="1" applyBorder="1" applyAlignment="1">
      <alignment horizontal="left"/>
    </xf>
    <xf numFmtId="0" fontId="57" fillId="0" borderId="66" xfId="0" applyFont="1" applyFill="1" applyBorder="1" applyAlignment="1">
      <alignment horizontal="right"/>
    </xf>
    <xf numFmtId="0" fontId="57" fillId="0" borderId="67" xfId="0" applyFont="1" applyFill="1" applyBorder="1"/>
    <xf numFmtId="0" fontId="57" fillId="0" borderId="64" xfId="0" applyFont="1" applyFill="1" applyBorder="1" applyAlignment="1">
      <alignment horizontal="right"/>
    </xf>
    <xf numFmtId="0" fontId="57" fillId="0" borderId="152" xfId="0" applyFont="1" applyFill="1" applyBorder="1" applyAlignment="1">
      <alignment horizontal="right"/>
    </xf>
    <xf numFmtId="0" fontId="57" fillId="0" borderId="122" xfId="0" applyFont="1" applyBorder="1" applyAlignment="1">
      <alignment horizontal="right"/>
    </xf>
    <xf numFmtId="0" fontId="57" fillId="0" borderId="142" xfId="0" applyFont="1" applyBorder="1"/>
    <xf numFmtId="0" fontId="57" fillId="0" borderId="108" xfId="0" applyFont="1" applyBorder="1" applyAlignment="1">
      <alignment horizontal="right"/>
    </xf>
    <xf numFmtId="0" fontId="57" fillId="0" borderId="144" xfId="0" applyFont="1" applyBorder="1"/>
    <xf numFmtId="0" fontId="57" fillId="0" borderId="103" xfId="0" applyFont="1" applyBorder="1" applyAlignment="1">
      <alignment horizontal="right"/>
    </xf>
    <xf numFmtId="0" fontId="57" fillId="0" borderId="177" xfId="0" applyFont="1" applyBorder="1"/>
    <xf numFmtId="0" fontId="56" fillId="0" borderId="57" xfId="0" applyFont="1" applyBorder="1"/>
    <xf numFmtId="0" fontId="56" fillId="0" borderId="59" xfId="0" applyFont="1" applyBorder="1"/>
    <xf numFmtId="0" fontId="57" fillId="0" borderId="62" xfId="0" applyFont="1" applyBorder="1"/>
    <xf numFmtId="0" fontId="0" fillId="0" borderId="0" xfId="0" applyFont="1"/>
    <xf numFmtId="3" fontId="0" fillId="0" borderId="71" xfId="0" applyNumberFormat="1" applyFont="1" applyBorder="1"/>
    <xf numFmtId="3" fontId="0" fillId="0" borderId="10" xfId="0" applyNumberFormat="1" applyFont="1" applyBorder="1"/>
    <xf numFmtId="3" fontId="102" fillId="0" borderId="10" xfId="0" applyNumberFormat="1" applyFont="1" applyBorder="1"/>
    <xf numFmtId="3" fontId="41" fillId="0" borderId="10" xfId="0" applyNumberFormat="1" applyFont="1" applyBorder="1"/>
    <xf numFmtId="0" fontId="106" fillId="36" borderId="36" xfId="0" applyFont="1" applyFill="1" applyBorder="1" applyAlignment="1">
      <alignment horizontal="center"/>
    </xf>
    <xf numFmtId="0" fontId="106" fillId="36" borderId="25" xfId="0" applyFont="1" applyFill="1" applyBorder="1" applyAlignment="1">
      <alignment horizontal="center"/>
    </xf>
    <xf numFmtId="0" fontId="106" fillId="36" borderId="141" xfId="0" applyFont="1" applyFill="1" applyBorder="1" applyAlignment="1">
      <alignment horizontal="center"/>
    </xf>
    <xf numFmtId="0" fontId="106" fillId="36" borderId="17" xfId="0" applyFont="1" applyFill="1" applyBorder="1" applyAlignment="1">
      <alignment horizontal="center"/>
    </xf>
    <xf numFmtId="3" fontId="106" fillId="36" borderId="124" xfId="0" applyNumberFormat="1" applyFont="1" applyFill="1" applyBorder="1"/>
    <xf numFmtId="3" fontId="106" fillId="36" borderId="80" xfId="0" applyNumberFormat="1" applyFont="1" applyFill="1" applyBorder="1"/>
    <xf numFmtId="3" fontId="107" fillId="36" borderId="15" xfId="0" applyNumberFormat="1" applyFont="1" applyFill="1" applyBorder="1"/>
    <xf numFmtId="3" fontId="106" fillId="36" borderId="36" xfId="0" applyNumberFormat="1" applyFont="1" applyFill="1" applyBorder="1"/>
    <xf numFmtId="3" fontId="106" fillId="36" borderId="89" xfId="0" applyNumberFormat="1" applyFont="1" applyFill="1" applyBorder="1"/>
    <xf numFmtId="3" fontId="106" fillId="36" borderId="154" xfId="0" applyNumberFormat="1" applyFont="1" applyFill="1" applyBorder="1"/>
    <xf numFmtId="3" fontId="107" fillId="36" borderId="141" xfId="0" applyNumberFormat="1" applyFont="1" applyFill="1" applyBorder="1"/>
    <xf numFmtId="3" fontId="106" fillId="36" borderId="17" xfId="0" applyNumberFormat="1" applyFont="1" applyFill="1" applyBorder="1"/>
    <xf numFmtId="3" fontId="68" fillId="0" borderId="68" xfId="0" applyNumberFormat="1" applyFont="1" applyFill="1" applyBorder="1"/>
    <xf numFmtId="3" fontId="68" fillId="0" borderId="178" xfId="0" applyNumberFormat="1" applyFont="1" applyFill="1" applyBorder="1"/>
    <xf numFmtId="0" fontId="41" fillId="0" borderId="10" xfId="0" applyFont="1" applyFill="1" applyBorder="1"/>
    <xf numFmtId="0" fontId="42" fillId="0" borderId="10" xfId="0" applyFont="1" applyFill="1" applyBorder="1" applyAlignment="1">
      <alignment horizontal="right"/>
    </xf>
    <xf numFmtId="3" fontId="42" fillId="0" borderId="10" xfId="0" applyNumberFormat="1" applyFont="1" applyBorder="1"/>
    <xf numFmtId="3" fontId="108" fillId="0" borderId="0" xfId="0" applyNumberFormat="1" applyFont="1"/>
    <xf numFmtId="10" fontId="55" fillId="0" borderId="10" xfId="0" applyNumberFormat="1" applyFont="1" applyBorder="1"/>
    <xf numFmtId="3" fontId="39" fillId="0" borderId="0" xfId="0" applyNumberFormat="1" applyFont="1" applyBorder="1"/>
    <xf numFmtId="0" fontId="42" fillId="0" borderId="0" xfId="0" applyFont="1" applyFill="1" applyBorder="1" applyAlignment="1">
      <alignment horizontal="left"/>
    </xf>
    <xf numFmtId="0" fontId="39" fillId="0" borderId="14" xfId="0" applyFont="1" applyBorder="1" applyAlignment="1">
      <alignment horizontal="center"/>
    </xf>
    <xf numFmtId="0" fontId="57" fillId="0" borderId="57" xfId="0" applyFont="1" applyBorder="1" applyAlignment="1">
      <alignment vertical="center"/>
    </xf>
    <xf numFmtId="0" fontId="57" fillId="0" borderId="54" xfId="0" applyFont="1" applyBorder="1" applyAlignment="1">
      <alignment vertical="center"/>
    </xf>
    <xf numFmtId="0" fontId="59" fillId="0" borderId="126" xfId="0" applyFont="1" applyBorder="1" applyAlignment="1">
      <alignment horizontal="center" vertical="center"/>
    </xf>
    <xf numFmtId="0" fontId="56" fillId="0" borderId="56" xfId="0" applyFont="1" applyBorder="1" applyAlignment="1">
      <alignment horizontal="left" vertical="center" wrapText="1"/>
    </xf>
    <xf numFmtId="3" fontId="55" fillId="0" borderId="52" xfId="0" applyNumberFormat="1" applyFont="1" applyBorder="1" applyAlignment="1">
      <alignment vertical="center"/>
    </xf>
    <xf numFmtId="3" fontId="57" fillId="0" borderId="54" xfId="0" applyNumberFormat="1" applyFont="1" applyBorder="1" applyAlignment="1">
      <alignment vertical="center"/>
    </xf>
    <xf numFmtId="3" fontId="57" fillId="0" borderId="84" xfId="0" applyNumberFormat="1" applyFont="1" applyBorder="1" applyAlignment="1">
      <alignment vertical="center"/>
    </xf>
    <xf numFmtId="3" fontId="56" fillId="0" borderId="55" xfId="0" applyNumberFormat="1" applyFont="1" applyBorder="1" applyAlignment="1">
      <alignment vertical="center"/>
    </xf>
    <xf numFmtId="0" fontId="109" fillId="0" borderId="144" xfId="0" applyFont="1" applyFill="1" applyBorder="1" applyAlignment="1">
      <alignment horizontal="left"/>
    </xf>
    <xf numFmtId="3" fontId="92" fillId="0" borderId="0" xfId="0" applyNumberFormat="1" applyFont="1" applyFill="1" applyAlignment="1">
      <alignment horizontal="left"/>
    </xf>
    <xf numFmtId="10" fontId="55" fillId="0" borderId="14" xfId="0" applyNumberFormat="1" applyFont="1" applyBorder="1"/>
    <xf numFmtId="168" fontId="56" fillId="26" borderId="21" xfId="0" applyNumberFormat="1" applyFont="1" applyFill="1" applyBorder="1" applyAlignment="1">
      <alignment horizontal="center" wrapText="1"/>
    </xf>
    <xf numFmtId="168" fontId="56" fillId="26" borderId="14" xfId="0" applyNumberFormat="1" applyFont="1" applyFill="1" applyBorder="1" applyAlignment="1">
      <alignment horizontal="center" wrapText="1"/>
    </xf>
    <xf numFmtId="0" fontId="69" fillId="0" borderId="0" xfId="0" applyFont="1" applyAlignment="1">
      <alignment horizontal="right"/>
    </xf>
    <xf numFmtId="0" fontId="75" fillId="32" borderId="0" xfId="0" applyFont="1" applyFill="1" applyBorder="1"/>
    <xf numFmtId="0" fontId="59" fillId="0" borderId="100" xfId="0" applyFont="1" applyBorder="1" applyAlignment="1">
      <alignment horizontal="center"/>
    </xf>
    <xf numFmtId="0" fontId="75" fillId="32" borderId="59" xfId="0" applyFont="1" applyFill="1" applyBorder="1" applyAlignment="1">
      <alignment horizontal="left"/>
    </xf>
    <xf numFmtId="3" fontId="75" fillId="32" borderId="25" xfId="0" applyNumberFormat="1" applyFont="1" applyFill="1" applyBorder="1"/>
    <xf numFmtId="3" fontId="75" fillId="32" borderId="0" xfId="0" applyNumberFormat="1" applyFont="1" applyFill="1" applyBorder="1"/>
    <xf numFmtId="3" fontId="75" fillId="32" borderId="99" xfId="0" applyNumberFormat="1" applyFont="1" applyFill="1" applyBorder="1"/>
    <xf numFmtId="3" fontId="75" fillId="32" borderId="100" xfId="0" applyNumberFormat="1" applyFont="1" applyFill="1" applyBorder="1"/>
    <xf numFmtId="3" fontId="75" fillId="0" borderId="58" xfId="0" applyNumberFormat="1" applyFont="1" applyBorder="1"/>
    <xf numFmtId="0" fontId="57" fillId="0" borderId="179" xfId="0" applyFont="1" applyBorder="1"/>
    <xf numFmtId="0" fontId="59" fillId="0" borderId="140" xfId="0" applyFont="1" applyBorder="1" applyAlignment="1">
      <alignment horizontal="center"/>
    </xf>
    <xf numFmtId="0" fontId="56" fillId="0" borderId="180" xfId="0" applyFont="1" applyBorder="1" applyAlignment="1">
      <alignment horizontal="left"/>
    </xf>
    <xf numFmtId="3" fontId="55" fillId="0" borderId="181" xfId="0" applyNumberFormat="1" applyFont="1" applyBorder="1"/>
    <xf numFmtId="3" fontId="57" fillId="0" borderId="179" xfId="0" applyNumberFormat="1" applyFont="1" applyBorder="1"/>
    <xf numFmtId="3" fontId="57" fillId="0" borderId="182" xfId="0" applyNumberFormat="1" applyFont="1" applyBorder="1"/>
    <xf numFmtId="3" fontId="56" fillId="0" borderId="163" xfId="0" applyNumberFormat="1" applyFont="1" applyBorder="1"/>
    <xf numFmtId="3" fontId="55" fillId="0" borderId="27" xfId="0" applyNumberFormat="1" applyFont="1" applyBorder="1"/>
    <xf numFmtId="3" fontId="55" fillId="0" borderId="138" xfId="0" applyNumberFormat="1" applyFont="1" applyBorder="1"/>
    <xf numFmtId="3" fontId="68" fillId="0" borderId="183" xfId="0" applyNumberFormat="1" applyFont="1" applyBorder="1"/>
    <xf numFmtId="0" fontId="68" fillId="0" borderId="167" xfId="0" applyFont="1" applyBorder="1" applyAlignment="1">
      <alignment horizontal="center"/>
    </xf>
    <xf numFmtId="0" fontId="59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3" fontId="68" fillId="0" borderId="0" xfId="0" applyNumberFormat="1" applyFont="1" applyAlignment="1">
      <alignment vertical="center"/>
    </xf>
    <xf numFmtId="3" fontId="99" fillId="0" borderId="0" xfId="0" applyNumberFormat="1" applyFont="1" applyAlignment="1">
      <alignment vertical="center"/>
    </xf>
    <xf numFmtId="3" fontId="67" fillId="0" borderId="0" xfId="0" applyNumberFormat="1" applyFont="1" applyAlignment="1">
      <alignment vertical="center"/>
    </xf>
    <xf numFmtId="3" fontId="55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97" fillId="0" borderId="0" xfId="0" applyFont="1" applyAlignment="1">
      <alignment vertical="center"/>
    </xf>
    <xf numFmtId="3" fontId="97" fillId="0" borderId="0" xfId="0" applyNumberFormat="1" applyFont="1" applyAlignment="1">
      <alignment vertical="center"/>
    </xf>
    <xf numFmtId="4" fontId="99" fillId="0" borderId="0" xfId="0" applyNumberFormat="1" applyFont="1" applyAlignment="1">
      <alignment vertical="center"/>
    </xf>
    <xf numFmtId="3" fontId="55" fillId="0" borderId="72" xfId="0" applyNumberFormat="1" applyFont="1" applyBorder="1"/>
    <xf numFmtId="3" fontId="55" fillId="0" borderId="71" xfId="0" applyNumberFormat="1" applyFont="1" applyBorder="1"/>
    <xf numFmtId="0" fontId="57" fillId="36" borderId="26" xfId="0" applyFont="1" applyFill="1" applyBorder="1" applyAlignment="1">
      <alignment horizontal="center" wrapText="1"/>
    </xf>
    <xf numFmtId="0" fontId="57" fillId="38" borderId="32" xfId="0" applyFont="1" applyFill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1" xfId="0" applyFont="1" applyBorder="1" applyAlignment="1">
      <alignment horizontal="center"/>
    </xf>
    <xf numFmtId="0" fontId="86" fillId="42" borderId="25" xfId="0" applyFont="1" applyFill="1" applyBorder="1" applyAlignment="1">
      <alignment horizontal="center"/>
    </xf>
    <xf numFmtId="0" fontId="86" fillId="42" borderId="34" xfId="0" applyFont="1" applyFill="1" applyBorder="1" applyAlignment="1">
      <alignment horizontal="center"/>
    </xf>
    <xf numFmtId="0" fontId="55" fillId="42" borderId="25" xfId="0" applyFont="1" applyFill="1" applyBorder="1" applyAlignment="1">
      <alignment horizontal="center"/>
    </xf>
    <xf numFmtId="0" fontId="55" fillId="42" borderId="34" xfId="0" applyFont="1" applyFill="1" applyBorder="1" applyAlignment="1">
      <alignment horizontal="center"/>
    </xf>
    <xf numFmtId="3" fontId="68" fillId="42" borderId="185" xfId="0" applyNumberFormat="1" applyFont="1" applyFill="1" applyBorder="1"/>
    <xf numFmtId="3" fontId="68" fillId="42" borderId="124" xfId="0" applyNumberFormat="1" applyFont="1" applyFill="1" applyBorder="1"/>
    <xf numFmtId="3" fontId="68" fillId="42" borderId="170" xfId="0" applyNumberFormat="1" applyFont="1" applyFill="1" applyBorder="1"/>
    <xf numFmtId="3" fontId="68" fillId="42" borderId="22" xfId="0" applyNumberFormat="1" applyFont="1" applyFill="1" applyBorder="1"/>
    <xf numFmtId="3" fontId="68" fillId="42" borderId="25" xfId="0" applyNumberFormat="1" applyFont="1" applyFill="1" applyBorder="1"/>
    <xf numFmtId="3" fontId="68" fillId="42" borderId="34" xfId="0" applyNumberFormat="1" applyFont="1" applyFill="1" applyBorder="1"/>
    <xf numFmtId="3" fontId="68" fillId="42" borderId="80" xfId="0" applyNumberFormat="1" applyFont="1" applyFill="1" applyBorder="1"/>
    <xf numFmtId="3" fontId="68" fillId="42" borderId="109" xfId="0" applyNumberFormat="1" applyFont="1" applyFill="1" applyBorder="1"/>
    <xf numFmtId="3" fontId="88" fillId="42" borderId="15" xfId="0" applyNumberFormat="1" applyFont="1" applyFill="1" applyBorder="1"/>
    <xf numFmtId="3" fontId="88" fillId="42" borderId="22" xfId="0" applyNumberFormat="1" applyFont="1" applyFill="1" applyBorder="1"/>
    <xf numFmtId="3" fontId="61" fillId="42" borderId="17" xfId="0" applyNumberFormat="1" applyFont="1" applyFill="1" applyBorder="1"/>
    <xf numFmtId="3" fontId="61" fillId="42" borderId="23" xfId="0" applyNumberFormat="1" applyFont="1" applyFill="1" applyBorder="1"/>
    <xf numFmtId="0" fontId="56" fillId="42" borderId="17" xfId="0" applyFont="1" applyFill="1" applyBorder="1" applyAlignment="1">
      <alignment horizontal="center"/>
    </xf>
    <xf numFmtId="0" fontId="56" fillId="42" borderId="23" xfId="0" applyFont="1" applyFill="1" applyBorder="1" applyAlignment="1">
      <alignment horizontal="center"/>
    </xf>
    <xf numFmtId="0" fontId="111" fillId="0" borderId="0" xfId="0" applyFont="1" applyAlignment="1">
      <alignment vertical="center"/>
    </xf>
    <xf numFmtId="3" fontId="82" fillId="29" borderId="80" xfId="0" applyNumberFormat="1" applyFont="1" applyFill="1" applyBorder="1"/>
    <xf numFmtId="3" fontId="82" fillId="29" borderId="124" xfId="0" applyNumberFormat="1" applyFont="1" applyFill="1" applyBorder="1"/>
    <xf numFmtId="3" fontId="82" fillId="29" borderId="89" xfId="0" applyNumberFormat="1" applyFont="1" applyFill="1" applyBorder="1"/>
    <xf numFmtId="3" fontId="112" fillId="0" borderId="0" xfId="0" applyNumberFormat="1" applyFont="1" applyAlignment="1">
      <alignment vertical="center"/>
    </xf>
    <xf numFmtId="3" fontId="113" fillId="0" borderId="0" xfId="0" applyNumberFormat="1" applyFont="1" applyAlignment="1">
      <alignment vertical="center"/>
    </xf>
    <xf numFmtId="3" fontId="92" fillId="0" borderId="0" xfId="0" applyNumberFormat="1" applyFont="1"/>
    <xf numFmtId="3" fontId="112" fillId="0" borderId="0" xfId="0" applyNumberFormat="1" applyFont="1"/>
    <xf numFmtId="4" fontId="92" fillId="0" borderId="0" xfId="0" applyNumberFormat="1" applyFont="1"/>
    <xf numFmtId="3" fontId="55" fillId="39" borderId="63" xfId="0" applyNumberFormat="1" applyFont="1" applyFill="1" applyBorder="1"/>
    <xf numFmtId="3" fontId="55" fillId="39" borderId="61" xfId="0" applyNumberFormat="1" applyFont="1" applyFill="1" applyBorder="1"/>
    <xf numFmtId="3" fontId="79" fillId="38" borderId="143" xfId="0" applyNumberFormat="1" applyFont="1" applyFill="1" applyBorder="1"/>
    <xf numFmtId="3" fontId="79" fillId="36" borderId="87" xfId="0" applyNumberFormat="1" applyFont="1" applyFill="1" applyBorder="1"/>
    <xf numFmtId="3" fontId="79" fillId="36" borderId="126" xfId="0" applyNumberFormat="1" applyFont="1" applyFill="1" applyBorder="1"/>
    <xf numFmtId="3" fontId="114" fillId="0" borderId="0" xfId="0" applyNumberFormat="1" applyFont="1"/>
    <xf numFmtId="3" fontId="114" fillId="0" borderId="141" xfId="0" applyNumberFormat="1" applyFont="1" applyFill="1" applyBorder="1"/>
    <xf numFmtId="3" fontId="114" fillId="0" borderId="40" xfId="0" applyNumberFormat="1" applyFont="1" applyFill="1" applyBorder="1"/>
    <xf numFmtId="0" fontId="60" fillId="0" borderId="0" xfId="80" applyFont="1" applyAlignment="1">
      <alignment horizontal="left"/>
    </xf>
    <xf numFmtId="0" fontId="60" fillId="0" borderId="0" xfId="80" applyFont="1" applyAlignment="1">
      <alignment horizontal="center"/>
    </xf>
    <xf numFmtId="0" fontId="60" fillId="0" borderId="0" xfId="80" applyFont="1" applyAlignment="1"/>
    <xf numFmtId="0" fontId="115" fillId="0" borderId="0" xfId="80" applyFont="1"/>
    <xf numFmtId="0" fontId="109" fillId="0" borderId="0" xfId="80" applyFont="1"/>
    <xf numFmtId="0" fontId="116" fillId="0" borderId="0" xfId="80" applyFont="1"/>
    <xf numFmtId="0" fontId="69" fillId="0" borderId="0" xfId="80" applyFont="1" applyAlignment="1">
      <alignment horizontal="left"/>
    </xf>
    <xf numFmtId="0" fontId="117" fillId="0" borderId="0" xfId="80" applyFont="1" applyAlignment="1">
      <alignment horizontal="left"/>
    </xf>
    <xf numFmtId="49" fontId="118" fillId="0" borderId="0" xfId="80" applyNumberFormat="1" applyFont="1" applyAlignment="1">
      <alignment horizontal="center" wrapText="1"/>
    </xf>
    <xf numFmtId="0" fontId="119" fillId="0" borderId="0" xfId="80" applyFont="1" applyAlignment="1">
      <alignment horizontal="left"/>
    </xf>
    <xf numFmtId="0" fontId="119" fillId="0" borderId="0" xfId="80" applyFont="1" applyAlignment="1">
      <alignment horizontal="center"/>
    </xf>
    <xf numFmtId="0" fontId="119" fillId="0" borderId="0" xfId="80" applyFont="1" applyAlignment="1"/>
    <xf numFmtId="0" fontId="119" fillId="0" borderId="0" xfId="80" applyFont="1"/>
    <xf numFmtId="0" fontId="120" fillId="0" borderId="0" xfId="80" applyFont="1"/>
    <xf numFmtId="0" fontId="115" fillId="0" borderId="0" xfId="80" applyFont="1" applyAlignment="1">
      <alignment horizontal="center"/>
    </xf>
    <xf numFmtId="0" fontId="115" fillId="0" borderId="0" xfId="80" applyFont="1" applyAlignment="1"/>
    <xf numFmtId="0" fontId="121" fillId="0" borderId="0" xfId="80" applyFont="1"/>
    <xf numFmtId="14" fontId="122" fillId="0" borderId="0" xfId="80" applyNumberFormat="1" applyFont="1"/>
    <xf numFmtId="49" fontId="118" fillId="0" borderId="0" xfId="80" applyNumberFormat="1" applyFont="1" applyAlignment="1">
      <alignment horizontal="center"/>
    </xf>
    <xf numFmtId="0" fontId="109" fillId="0" borderId="66" xfId="80" applyFont="1" applyBorder="1" applyAlignment="1">
      <alignment horizontal="center"/>
    </xf>
    <xf numFmtId="0" fontId="109" fillId="0" borderId="32" xfId="80" applyFont="1" applyBorder="1" applyAlignment="1">
      <alignment horizontal="center"/>
    </xf>
    <xf numFmtId="0" fontId="109" fillId="0" borderId="44" xfId="80" applyFont="1" applyBorder="1" applyAlignment="1"/>
    <xf numFmtId="0" fontId="109" fillId="0" borderId="186" xfId="80" applyFont="1" applyBorder="1"/>
    <xf numFmtId="0" fontId="123" fillId="0" borderId="63" xfId="80" applyFont="1" applyBorder="1" applyAlignment="1">
      <alignment horizontal="center"/>
    </xf>
    <xf numFmtId="0" fontId="123" fillId="0" borderId="21" xfId="80" applyFont="1" applyBorder="1" applyAlignment="1">
      <alignment horizontal="center"/>
    </xf>
    <xf numFmtId="0" fontId="123" fillId="0" borderId="24" xfId="80" applyFont="1" applyBorder="1" applyAlignment="1">
      <alignment horizontal="center"/>
    </xf>
    <xf numFmtId="0" fontId="123" fillId="0" borderId="33" xfId="80" applyFont="1" applyBorder="1" applyAlignment="1">
      <alignment horizontal="center"/>
    </xf>
    <xf numFmtId="0" fontId="109" fillId="0" borderId="191" xfId="80" applyFont="1" applyBorder="1" applyAlignment="1">
      <alignment horizontal="center"/>
    </xf>
    <xf numFmtId="0" fontId="109" fillId="0" borderId="192" xfId="80" applyFont="1" applyBorder="1" applyAlignment="1">
      <alignment horizontal="center"/>
    </xf>
    <xf numFmtId="0" fontId="109" fillId="0" borderId="193" xfId="80" applyFont="1" applyBorder="1" applyAlignment="1"/>
    <xf numFmtId="0" fontId="109" fillId="0" borderId="193" xfId="80" applyFont="1" applyBorder="1"/>
    <xf numFmtId="0" fontId="123" fillId="0" borderId="194" xfId="80" applyFont="1" applyBorder="1" applyAlignment="1">
      <alignment horizontal="center"/>
    </xf>
    <xf numFmtId="0" fontId="123" fillId="0" borderId="195" xfId="80" applyFont="1" applyBorder="1" applyAlignment="1">
      <alignment horizontal="center"/>
    </xf>
    <xf numFmtId="0" fontId="123" fillId="0" borderId="197" xfId="80" applyFont="1" applyBorder="1" applyAlignment="1">
      <alignment horizontal="center"/>
    </xf>
    <xf numFmtId="0" fontId="123" fillId="0" borderId="196" xfId="80" applyFont="1" applyBorder="1" applyAlignment="1">
      <alignment horizontal="center"/>
    </xf>
    <xf numFmtId="0" fontId="124" fillId="33" borderId="69" xfId="80" applyFont="1" applyFill="1" applyBorder="1" applyAlignment="1">
      <alignment horizontal="center"/>
    </xf>
    <xf numFmtId="0" fontId="124" fillId="33" borderId="12" xfId="80" applyFont="1" applyFill="1" applyBorder="1" applyAlignment="1">
      <alignment horizontal="center"/>
    </xf>
    <xf numFmtId="0" fontId="124" fillId="33" borderId="12" xfId="80" applyFont="1" applyFill="1" applyBorder="1" applyAlignment="1"/>
    <xf numFmtId="0" fontId="124" fillId="33" borderId="187" xfId="80" applyFont="1" applyFill="1" applyBorder="1" applyAlignment="1">
      <alignment horizontal="left"/>
    </xf>
    <xf numFmtId="3" fontId="124" fillId="33" borderId="188" xfId="80" applyNumberFormat="1" applyFont="1" applyFill="1" applyBorder="1" applyAlignment="1">
      <alignment horizontal="right"/>
    </xf>
    <xf numFmtId="3" fontId="124" fillId="33" borderId="35" xfId="80" applyNumberFormat="1" applyFont="1" applyFill="1" applyBorder="1" applyAlignment="1">
      <alignment horizontal="right"/>
    </xf>
    <xf numFmtId="3" fontId="124" fillId="33" borderId="27" xfId="80" applyNumberFormat="1" applyFont="1" applyFill="1" applyBorder="1" applyAlignment="1">
      <alignment horizontal="right"/>
    </xf>
    <xf numFmtId="0" fontId="109" fillId="29" borderId="64" xfId="80" applyFont="1" applyFill="1" applyBorder="1" applyAlignment="1">
      <alignment horizontal="center"/>
    </xf>
    <xf numFmtId="0" fontId="109" fillId="29" borderId="10" xfId="80" applyFont="1" applyFill="1" applyBorder="1" applyAlignment="1">
      <alignment horizontal="center"/>
    </xf>
    <xf numFmtId="0" fontId="109" fillId="29" borderId="160" xfId="80" applyFont="1" applyFill="1" applyBorder="1" applyAlignment="1"/>
    <xf numFmtId="0" fontId="109" fillId="29" borderId="160" xfId="80" applyFont="1" applyFill="1" applyBorder="1"/>
    <xf numFmtId="3" fontId="123" fillId="29" borderId="65" xfId="80" applyNumberFormat="1" applyFont="1" applyFill="1" applyBorder="1"/>
    <xf numFmtId="3" fontId="123" fillId="29" borderId="22" xfId="80" applyNumberFormat="1" applyFont="1" applyFill="1" applyBorder="1"/>
    <xf numFmtId="3" fontId="123" fillId="29" borderId="15" xfId="80" applyNumberFormat="1" applyFont="1" applyFill="1" applyBorder="1"/>
    <xf numFmtId="3" fontId="123" fillId="29" borderId="10" xfId="80" applyNumberFormat="1" applyFont="1" applyFill="1" applyBorder="1"/>
    <xf numFmtId="0" fontId="109" fillId="0" borderId="64" xfId="80" applyFont="1" applyFill="1" applyBorder="1" applyAlignment="1">
      <alignment horizontal="center"/>
    </xf>
    <xf numFmtId="0" fontId="109" fillId="0" borderId="10" xfId="80" applyFont="1" applyFill="1" applyBorder="1" applyAlignment="1">
      <alignment horizontal="center"/>
    </xf>
    <xf numFmtId="0" fontId="109" fillId="0" borderId="160" xfId="80" applyFont="1" applyFill="1" applyBorder="1" applyAlignment="1"/>
    <xf numFmtId="0" fontId="109" fillId="0" borderId="160" xfId="80" applyFont="1" applyFill="1" applyBorder="1"/>
    <xf numFmtId="3" fontId="123" fillId="0" borderId="65" xfId="80" applyNumberFormat="1" applyFont="1" applyFill="1" applyBorder="1"/>
    <xf numFmtId="3" fontId="123" fillId="0" borderId="22" xfId="80" applyNumberFormat="1" applyFont="1" applyFill="1" applyBorder="1"/>
    <xf numFmtId="3" fontId="123" fillId="43" borderId="22" xfId="80" applyNumberFormat="1" applyFont="1" applyFill="1" applyBorder="1"/>
    <xf numFmtId="3" fontId="109" fillId="0" borderId="22" xfId="80" applyNumberFormat="1" applyFont="1" applyFill="1" applyBorder="1"/>
    <xf numFmtId="3" fontId="123" fillId="0" borderId="15" xfId="80" applyNumberFormat="1" applyFont="1" applyFill="1" applyBorder="1"/>
    <xf numFmtId="3" fontId="123" fillId="0" borderId="10" xfId="80" applyNumberFormat="1" applyFont="1" applyFill="1" applyBorder="1"/>
    <xf numFmtId="3" fontId="123" fillId="37" borderId="65" xfId="80" applyNumberFormat="1" applyFont="1" applyFill="1" applyBorder="1"/>
    <xf numFmtId="3" fontId="123" fillId="25" borderId="22" xfId="80" applyNumberFormat="1" applyFont="1" applyFill="1" applyBorder="1"/>
    <xf numFmtId="3" fontId="123" fillId="29" borderId="65" xfId="80" applyNumberFormat="1" applyFont="1" applyFill="1" applyBorder="1" applyAlignment="1">
      <alignment horizontal="right"/>
    </xf>
    <xf numFmtId="3" fontId="123" fillId="29" borderId="22" xfId="80" applyNumberFormat="1" applyFont="1" applyFill="1" applyBorder="1" applyAlignment="1">
      <alignment horizontal="right"/>
    </xf>
    <xf numFmtId="3" fontId="123" fillId="29" borderId="15" xfId="80" applyNumberFormat="1" applyFont="1" applyFill="1" applyBorder="1" applyAlignment="1">
      <alignment horizontal="right"/>
    </xf>
    <xf numFmtId="3" fontId="123" fillId="29" borderId="10" xfId="80" applyNumberFormat="1" applyFont="1" applyFill="1" applyBorder="1" applyAlignment="1">
      <alignment horizontal="right"/>
    </xf>
    <xf numFmtId="0" fontId="122" fillId="0" borderId="64" xfId="80" applyFont="1" applyBorder="1" applyAlignment="1">
      <alignment horizontal="center"/>
    </xf>
    <xf numFmtId="0" fontId="122" fillId="0" borderId="160" xfId="80" applyFont="1" applyBorder="1"/>
    <xf numFmtId="3" fontId="123" fillId="25" borderId="65" xfId="80" applyNumberFormat="1" applyFont="1" applyFill="1" applyBorder="1" applyAlignment="1">
      <alignment horizontal="right"/>
    </xf>
    <xf numFmtId="3" fontId="123" fillId="25" borderId="22" xfId="80" applyNumberFormat="1" applyFont="1" applyFill="1" applyBorder="1" applyAlignment="1">
      <alignment horizontal="right"/>
    </xf>
    <xf numFmtId="3" fontId="123" fillId="43" borderId="22" xfId="80" applyNumberFormat="1" applyFont="1" applyFill="1" applyBorder="1" applyAlignment="1">
      <alignment horizontal="right"/>
    </xf>
    <xf numFmtId="3" fontId="123" fillId="0" borderId="15" xfId="80" applyNumberFormat="1" applyFont="1" applyFill="1" applyBorder="1" applyAlignment="1">
      <alignment horizontal="right"/>
    </xf>
    <xf numFmtId="3" fontId="123" fillId="0" borderId="10" xfId="80" applyNumberFormat="1" applyFont="1" applyFill="1" applyBorder="1" applyAlignment="1">
      <alignment horizontal="right"/>
    </xf>
    <xf numFmtId="3" fontId="118" fillId="0" borderId="15" xfId="80" applyNumberFormat="1" applyFont="1" applyFill="1" applyBorder="1" applyAlignment="1">
      <alignment horizontal="right"/>
    </xf>
    <xf numFmtId="3" fontId="118" fillId="0" borderId="10" xfId="80" applyNumberFormat="1" applyFont="1" applyFill="1" applyBorder="1" applyAlignment="1">
      <alignment horizontal="right"/>
    </xf>
    <xf numFmtId="3" fontId="123" fillId="0" borderId="65" xfId="80" applyNumberFormat="1" applyFont="1" applyFill="1" applyBorder="1" applyAlignment="1">
      <alignment horizontal="right"/>
    </xf>
    <xf numFmtId="3" fontId="123" fillId="0" borderId="22" xfId="80" applyNumberFormat="1" applyFont="1" applyFill="1" applyBorder="1" applyAlignment="1">
      <alignment horizontal="right"/>
    </xf>
    <xf numFmtId="0" fontId="109" fillId="29" borderId="75" xfId="80" applyFont="1" applyFill="1" applyBorder="1" applyAlignment="1">
      <alignment horizontal="center" vertical="center"/>
    </xf>
    <xf numFmtId="0" fontId="109" fillId="29" borderId="20" xfId="80" applyFont="1" applyFill="1" applyBorder="1" applyAlignment="1">
      <alignment horizontal="center" vertical="center"/>
    </xf>
    <xf numFmtId="0" fontId="109" fillId="29" borderId="173" xfId="80" applyFont="1" applyFill="1" applyBorder="1" applyAlignment="1">
      <alignment vertical="center"/>
    </xf>
    <xf numFmtId="3" fontId="123" fillId="29" borderId="16" xfId="80" applyNumberFormat="1" applyFont="1" applyFill="1" applyBorder="1" applyAlignment="1">
      <alignment horizontal="right" vertical="center"/>
    </xf>
    <xf numFmtId="3" fontId="123" fillId="29" borderId="112" xfId="80" applyNumberFormat="1" applyFont="1" applyFill="1" applyBorder="1" applyAlignment="1">
      <alignment horizontal="right" vertical="center"/>
    </xf>
    <xf numFmtId="3" fontId="123" fillId="29" borderId="19" xfId="80" applyNumberFormat="1" applyFont="1" applyFill="1" applyBorder="1" applyAlignment="1">
      <alignment horizontal="right" vertical="center"/>
    </xf>
    <xf numFmtId="3" fontId="123" fillId="41" borderId="112" xfId="80" applyNumberFormat="1" applyFont="1" applyFill="1" applyBorder="1" applyAlignment="1">
      <alignment horizontal="right" vertical="center"/>
    </xf>
    <xf numFmtId="3" fontId="123" fillId="29" borderId="20" xfId="80" applyNumberFormat="1" applyFont="1" applyFill="1" applyBorder="1" applyAlignment="1">
      <alignment horizontal="right" vertical="center"/>
    </xf>
    <xf numFmtId="0" fontId="124" fillId="33" borderId="13" xfId="80" applyFont="1" applyFill="1" applyBorder="1" applyAlignment="1">
      <alignment horizontal="center"/>
    </xf>
    <xf numFmtId="0" fontId="124" fillId="33" borderId="73" xfId="80" applyFont="1" applyFill="1" applyBorder="1" applyAlignment="1">
      <alignment horizontal="center"/>
    </xf>
    <xf numFmtId="0" fontId="124" fillId="33" borderId="14" xfId="80" applyFont="1" applyFill="1" applyBorder="1" applyAlignment="1"/>
    <xf numFmtId="0" fontId="124" fillId="33" borderId="186" xfId="80" applyFont="1" applyFill="1" applyBorder="1" applyAlignment="1">
      <alignment horizontal="left"/>
    </xf>
    <xf numFmtId="3" fontId="124" fillId="33" borderId="63" xfId="80" applyNumberFormat="1" applyFont="1" applyFill="1" applyBorder="1" applyAlignment="1">
      <alignment horizontal="right"/>
    </xf>
    <xf numFmtId="3" fontId="124" fillId="33" borderId="21" xfId="80" applyNumberFormat="1" applyFont="1" applyFill="1" applyBorder="1" applyAlignment="1">
      <alignment horizontal="right"/>
    </xf>
    <xf numFmtId="3" fontId="124" fillId="33" borderId="13" xfId="80" applyNumberFormat="1" applyFont="1" applyFill="1" applyBorder="1" applyAlignment="1">
      <alignment horizontal="right"/>
    </xf>
    <xf numFmtId="0" fontId="126" fillId="33" borderId="13" xfId="80" applyFont="1" applyFill="1" applyBorder="1" applyAlignment="1">
      <alignment horizontal="center"/>
    </xf>
    <xf numFmtId="0" fontId="118" fillId="33" borderId="21" xfId="80" applyFont="1" applyFill="1" applyBorder="1" applyAlignment="1">
      <alignment horizontal="center"/>
    </xf>
    <xf numFmtId="0" fontId="109" fillId="0" borderId="15" xfId="80" applyFont="1" applyBorder="1" applyAlignment="1">
      <alignment horizontal="center"/>
    </xf>
    <xf numFmtId="0" fontId="109" fillId="0" borderId="71" xfId="80" applyFont="1" applyBorder="1" applyAlignment="1">
      <alignment horizontal="center"/>
    </xf>
    <xf numFmtId="3" fontId="127" fillId="0" borderId="65" xfId="80" applyNumberFormat="1" applyFont="1" applyFill="1" applyBorder="1"/>
    <xf numFmtId="49" fontId="125" fillId="0" borderId="15" xfId="80" applyNumberFormat="1" applyFont="1" applyFill="1" applyBorder="1" applyAlignment="1">
      <alignment horizontal="center"/>
    </xf>
    <xf numFmtId="0" fontId="125" fillId="0" borderId="22" xfId="80" applyFont="1" applyBorder="1" applyAlignment="1">
      <alignment horizontal="center"/>
    </xf>
    <xf numFmtId="0" fontId="109" fillId="0" borderId="160" xfId="80" applyFont="1" applyBorder="1"/>
    <xf numFmtId="3" fontId="123" fillId="25" borderId="65" xfId="80" applyNumberFormat="1" applyFont="1" applyFill="1" applyBorder="1"/>
    <xf numFmtId="0" fontId="128" fillId="0" borderId="160" xfId="80" applyFont="1" applyFill="1" applyBorder="1"/>
    <xf numFmtId="3" fontId="109" fillId="0" borderId="0" xfId="80" applyNumberFormat="1" applyFont="1" applyFill="1" applyBorder="1" applyAlignment="1">
      <alignment horizontal="left" wrapText="1"/>
    </xf>
    <xf numFmtId="0" fontId="109" fillId="44" borderId="15" xfId="80" applyFont="1" applyFill="1" applyBorder="1" applyAlignment="1">
      <alignment horizontal="center"/>
    </xf>
    <xf numFmtId="0" fontId="109" fillId="44" borderId="71" xfId="80" applyFont="1" applyFill="1" applyBorder="1" applyAlignment="1">
      <alignment horizontal="center"/>
    </xf>
    <xf numFmtId="0" fontId="109" fillId="44" borderId="160" xfId="80" applyFont="1" applyFill="1" applyBorder="1" applyAlignment="1"/>
    <xf numFmtId="3" fontId="123" fillId="44" borderId="65" xfId="80" applyNumberFormat="1" applyFont="1" applyFill="1" applyBorder="1"/>
    <xf numFmtId="3" fontId="123" fillId="44" borderId="22" xfId="80" applyNumberFormat="1" applyFont="1" applyFill="1" applyBorder="1"/>
    <xf numFmtId="3" fontId="123" fillId="44" borderId="15" xfId="80" applyNumberFormat="1" applyFont="1" applyFill="1" applyBorder="1"/>
    <xf numFmtId="49" fontId="125" fillId="44" borderId="15" xfId="80" applyNumberFormat="1" applyFont="1" applyFill="1" applyBorder="1" applyAlignment="1">
      <alignment horizontal="center"/>
    </xf>
    <xf numFmtId="0" fontId="125" fillId="44" borderId="22" xfId="80" applyFont="1" applyFill="1" applyBorder="1" applyAlignment="1">
      <alignment horizontal="center"/>
    </xf>
    <xf numFmtId="0" fontId="109" fillId="0" borderId="82" xfId="80" applyFont="1" applyBorder="1" applyAlignment="1">
      <alignment horizontal="center"/>
    </xf>
    <xf numFmtId="3" fontId="123" fillId="0" borderId="74" xfId="80" applyNumberFormat="1" applyFont="1" applyFill="1" applyBorder="1"/>
    <xf numFmtId="3" fontId="123" fillId="0" borderId="38" xfId="80" applyNumberFormat="1" applyFont="1" applyFill="1" applyBorder="1"/>
    <xf numFmtId="0" fontId="125" fillId="0" borderId="38" xfId="80" applyFont="1" applyBorder="1" applyAlignment="1">
      <alignment horizontal="center"/>
    </xf>
    <xf numFmtId="3" fontId="129" fillId="34" borderId="23" xfId="80" applyNumberFormat="1" applyFont="1" applyFill="1" applyBorder="1"/>
    <xf numFmtId="0" fontId="109" fillId="34" borderId="17" xfId="80" applyFont="1" applyFill="1" applyBorder="1" applyAlignment="1">
      <alignment horizontal="center"/>
    </xf>
    <xf numFmtId="0" fontId="122" fillId="29" borderId="27" xfId="80" applyFont="1" applyFill="1" applyBorder="1" applyAlignment="1">
      <alignment horizontal="center"/>
    </xf>
    <xf numFmtId="0" fontId="122" fillId="29" borderId="70" xfId="80" applyFont="1" applyFill="1" applyBorder="1" applyAlignment="1">
      <alignment horizontal="center"/>
    </xf>
    <xf numFmtId="0" fontId="122" fillId="29" borderId="12" xfId="80" applyFont="1" applyFill="1" applyBorder="1" applyAlignment="1"/>
    <xf numFmtId="0" fontId="122" fillId="29" borderId="187" xfId="80" applyFont="1" applyFill="1" applyBorder="1" applyAlignment="1">
      <alignment horizontal="center"/>
    </xf>
    <xf numFmtId="3" fontId="130" fillId="41" borderId="65" xfId="80" applyNumberFormat="1" applyFont="1" applyFill="1" applyBorder="1"/>
    <xf numFmtId="3" fontId="130" fillId="41" borderId="22" xfId="80" applyNumberFormat="1" applyFont="1" applyFill="1" applyBorder="1"/>
    <xf numFmtId="3" fontId="130" fillId="41" borderId="15" xfId="80" applyNumberFormat="1" applyFont="1" applyFill="1" applyBorder="1"/>
    <xf numFmtId="0" fontId="131" fillId="29" borderId="35" xfId="80" applyFont="1" applyFill="1" applyBorder="1" applyAlignment="1">
      <alignment horizontal="center"/>
    </xf>
    <xf numFmtId="0" fontId="109" fillId="0" borderId="10" xfId="80" applyFont="1" applyBorder="1" applyAlignment="1"/>
    <xf numFmtId="0" fontId="132" fillId="0" borderId="65" xfId="80" applyFont="1" applyBorder="1"/>
    <xf numFmtId="0" fontId="132" fillId="0" borderId="22" xfId="80" applyFont="1" applyBorder="1"/>
    <xf numFmtId="0" fontId="132" fillId="43" borderId="22" xfId="80" applyFont="1" applyFill="1" applyBorder="1"/>
    <xf numFmtId="0" fontId="122" fillId="29" borderId="15" xfId="80" applyFont="1" applyFill="1" applyBorder="1" applyAlignment="1">
      <alignment horizontal="center"/>
    </xf>
    <xf numFmtId="0" fontId="122" fillId="41" borderId="71" xfId="80" applyFont="1" applyFill="1" applyBorder="1" applyAlignment="1">
      <alignment horizontal="center"/>
    </xf>
    <xf numFmtId="0" fontId="122" fillId="41" borderId="10" xfId="80" applyFont="1" applyFill="1" applyBorder="1" applyAlignment="1"/>
    <xf numFmtId="0" fontId="122" fillId="41" borderId="160" xfId="80" applyFont="1" applyFill="1" applyBorder="1" applyAlignment="1">
      <alignment horizontal="center"/>
    </xf>
    <xf numFmtId="3" fontId="130" fillId="29" borderId="65" xfId="80" applyNumberFormat="1" applyFont="1" applyFill="1" applyBorder="1" applyAlignment="1">
      <alignment horizontal="right"/>
    </xf>
    <xf numFmtId="3" fontId="130" fillId="29" borderId="22" xfId="80" applyNumberFormat="1" applyFont="1" applyFill="1" applyBorder="1" applyAlignment="1">
      <alignment horizontal="right"/>
    </xf>
    <xf numFmtId="3" fontId="130" fillId="29" borderId="15" xfId="80" applyNumberFormat="1" applyFont="1" applyFill="1" applyBorder="1" applyAlignment="1">
      <alignment horizontal="right"/>
    </xf>
    <xf numFmtId="0" fontId="122" fillId="41" borderId="15" xfId="80" applyFont="1" applyFill="1" applyBorder="1" applyAlignment="1">
      <alignment horizontal="center"/>
    </xf>
    <xf numFmtId="0" fontId="131" fillId="29" borderId="22" xfId="80" applyFont="1" applyFill="1" applyBorder="1" applyAlignment="1">
      <alignment horizontal="center"/>
    </xf>
    <xf numFmtId="0" fontId="109" fillId="0" borderId="27" xfId="80" applyFont="1" applyBorder="1" applyAlignment="1">
      <alignment horizontal="center"/>
    </xf>
    <xf numFmtId="0" fontId="109" fillId="0" borderId="70" xfId="80" applyFont="1" applyBorder="1" applyAlignment="1">
      <alignment horizontal="center"/>
    </xf>
    <xf numFmtId="0" fontId="109" fillId="0" borderId="12" xfId="80" applyFont="1" applyBorder="1" applyAlignment="1"/>
    <xf numFmtId="0" fontId="109" fillId="0" borderId="187" xfId="80" applyFont="1" applyBorder="1"/>
    <xf numFmtId="3" fontId="123" fillId="25" borderId="188" xfId="80" applyNumberFormat="1" applyFont="1" applyFill="1" applyBorder="1" applyAlignment="1">
      <alignment horizontal="right"/>
    </xf>
    <xf numFmtId="3" fontId="123" fillId="25" borderId="35" xfId="80" applyNumberFormat="1" applyFont="1" applyFill="1" applyBorder="1" applyAlignment="1">
      <alignment horizontal="right"/>
    </xf>
    <xf numFmtId="3" fontId="123" fillId="43" borderId="35" xfId="80" applyNumberFormat="1" applyFont="1" applyFill="1" applyBorder="1" applyAlignment="1">
      <alignment horizontal="right"/>
    </xf>
    <xf numFmtId="0" fontId="125" fillId="0" borderId="35" xfId="80" applyFont="1" applyBorder="1" applyAlignment="1">
      <alignment horizontal="center"/>
    </xf>
    <xf numFmtId="3" fontId="130" fillId="29" borderId="22" xfId="80" applyNumberFormat="1" applyFont="1" applyFill="1" applyBorder="1"/>
    <xf numFmtId="0" fontId="131" fillId="41" borderId="22" xfId="80" applyFont="1" applyFill="1" applyBorder="1" applyAlignment="1">
      <alignment horizontal="center"/>
    </xf>
    <xf numFmtId="3" fontId="133" fillId="0" borderId="65" xfId="80" applyNumberFormat="1" applyFont="1" applyFill="1" applyBorder="1"/>
    <xf numFmtId="0" fontId="109" fillId="0" borderId="37" xfId="80" applyFont="1" applyBorder="1" applyAlignment="1"/>
    <xf numFmtId="0" fontId="109" fillId="0" borderId="171" xfId="80" applyFont="1" applyBorder="1" applyAlignment="1">
      <alignment horizontal="left"/>
    </xf>
    <xf numFmtId="0" fontId="109" fillId="0" borderId="36" xfId="80" applyFont="1" applyBorder="1" applyAlignment="1">
      <alignment horizontal="center"/>
    </xf>
    <xf numFmtId="3" fontId="130" fillId="0" borderId="65" xfId="80" applyNumberFormat="1" applyFont="1" applyFill="1" applyBorder="1"/>
    <xf numFmtId="3" fontId="130" fillId="0" borderId="22" xfId="80" applyNumberFormat="1" applyFont="1" applyFill="1" applyBorder="1"/>
    <xf numFmtId="3" fontId="123" fillId="25" borderId="74" xfId="80" applyNumberFormat="1" applyFont="1" applyFill="1" applyBorder="1" applyAlignment="1">
      <alignment horizontal="right"/>
    </xf>
    <xf numFmtId="3" fontId="123" fillId="25" borderId="38" xfId="80" applyNumberFormat="1" applyFont="1" applyFill="1" applyBorder="1" applyAlignment="1">
      <alignment horizontal="right"/>
    </xf>
    <xf numFmtId="3" fontId="123" fillId="0" borderId="74" xfId="80" applyNumberFormat="1" applyFont="1" applyFill="1" applyBorder="1" applyAlignment="1">
      <alignment horizontal="right"/>
    </xf>
    <xf numFmtId="3" fontId="123" fillId="0" borderId="38" xfId="80" applyNumberFormat="1" applyFont="1" applyFill="1" applyBorder="1" applyAlignment="1">
      <alignment horizontal="right"/>
    </xf>
    <xf numFmtId="0" fontId="128" fillId="0" borderId="160" xfId="80" applyFont="1" applyBorder="1"/>
    <xf numFmtId="0" fontId="124" fillId="33" borderId="96" xfId="80" applyFont="1" applyFill="1" applyBorder="1" applyAlignment="1">
      <alignment horizontal="left"/>
    </xf>
    <xf numFmtId="3" fontId="124" fillId="33" borderId="61" xfId="80" applyNumberFormat="1" applyFont="1" applyFill="1" applyBorder="1"/>
    <xf numFmtId="3" fontId="124" fillId="33" borderId="23" xfId="80" applyNumberFormat="1" applyFont="1" applyFill="1" applyBorder="1"/>
    <xf numFmtId="3" fontId="124" fillId="33" borderId="17" xfId="80" applyNumberFormat="1" applyFont="1" applyFill="1" applyBorder="1"/>
    <xf numFmtId="3" fontId="126" fillId="33" borderId="23" xfId="80" applyNumberFormat="1" applyFont="1" applyFill="1" applyBorder="1"/>
    <xf numFmtId="3" fontId="126" fillId="33" borderId="17" xfId="80" applyNumberFormat="1" applyFont="1" applyFill="1" applyBorder="1"/>
    <xf numFmtId="0" fontId="109" fillId="0" borderId="187" xfId="80" applyFont="1" applyBorder="1" applyAlignment="1">
      <alignment horizontal="center"/>
    </xf>
    <xf numFmtId="0" fontId="109" fillId="0" borderId="187" xfId="80" applyFont="1" applyBorder="1" applyAlignment="1"/>
    <xf numFmtId="3" fontId="132" fillId="0" borderId="188" xfId="80" applyNumberFormat="1" applyFont="1" applyBorder="1"/>
    <xf numFmtId="3" fontId="132" fillId="0" borderId="35" xfId="80" applyNumberFormat="1" applyFont="1" applyBorder="1"/>
    <xf numFmtId="3" fontId="132" fillId="43" borderId="35" xfId="80" applyNumberFormat="1" applyFont="1" applyFill="1" applyBorder="1"/>
    <xf numFmtId="2" fontId="109" fillId="0" borderId="187" xfId="80" applyNumberFormat="1" applyFont="1" applyBorder="1"/>
    <xf numFmtId="0" fontId="109" fillId="0" borderId="64" xfId="80" applyFont="1" applyBorder="1" applyAlignment="1">
      <alignment horizontal="center"/>
    </xf>
    <xf numFmtId="0" fontId="109" fillId="0" borderId="160" xfId="80" applyFont="1" applyBorder="1" applyAlignment="1">
      <alignment horizontal="center"/>
    </xf>
    <xf numFmtId="3" fontId="132" fillId="25" borderId="65" xfId="80" applyNumberFormat="1" applyFont="1" applyFill="1" applyBorder="1"/>
    <xf numFmtId="3" fontId="132" fillId="25" borderId="22" xfId="80" applyNumberFormat="1" applyFont="1" applyFill="1" applyBorder="1"/>
    <xf numFmtId="3" fontId="132" fillId="43" borderId="22" xfId="80" applyNumberFormat="1" applyFont="1" applyFill="1" applyBorder="1"/>
    <xf numFmtId="2" fontId="109" fillId="25" borderId="160" xfId="80" applyNumberFormat="1" applyFont="1" applyFill="1" applyBorder="1"/>
    <xf numFmtId="0" fontId="109" fillId="0" borderId="160" xfId="80" applyFont="1" applyBorder="1" applyAlignment="1"/>
    <xf numFmtId="2" fontId="109" fillId="0" borderId="160" xfId="80" applyNumberFormat="1" applyFont="1" applyFill="1" applyBorder="1"/>
    <xf numFmtId="49" fontId="118" fillId="0" borderId="0" xfId="80" applyNumberFormat="1" applyFont="1" applyAlignment="1">
      <alignment horizontal="left" wrapText="1"/>
    </xf>
    <xf numFmtId="0" fontId="109" fillId="0" borderId="173" xfId="80" applyFont="1" applyBorder="1" applyAlignment="1">
      <alignment horizontal="center"/>
    </xf>
    <xf numFmtId="0" fontId="109" fillId="0" borderId="173" xfId="80" applyFont="1" applyBorder="1" applyAlignment="1"/>
    <xf numFmtId="0" fontId="109" fillId="0" borderId="173" xfId="80" applyFont="1" applyBorder="1"/>
    <xf numFmtId="3" fontId="123" fillId="37" borderId="16" xfId="80" applyNumberFormat="1" applyFont="1" applyFill="1" applyBorder="1"/>
    <xf numFmtId="3" fontId="123" fillId="25" borderId="112" xfId="80" applyNumberFormat="1" applyFont="1" applyFill="1" applyBorder="1"/>
    <xf numFmtId="3" fontId="109" fillId="0" borderId="112" xfId="80" applyNumberFormat="1" applyFont="1" applyFill="1" applyBorder="1"/>
    <xf numFmtId="2" fontId="109" fillId="25" borderId="173" xfId="80" applyNumberFormat="1" applyFont="1" applyFill="1" applyBorder="1"/>
    <xf numFmtId="2" fontId="125" fillId="0" borderId="0" xfId="80" applyNumberFormat="1" applyFont="1" applyFill="1" applyAlignment="1">
      <alignment horizontal="left" vertical="center"/>
    </xf>
    <xf numFmtId="0" fontId="115" fillId="0" borderId="0" xfId="80" applyFont="1" applyAlignment="1">
      <alignment vertical="center"/>
    </xf>
    <xf numFmtId="0" fontId="134" fillId="0" borderId="0" xfId="80" applyFont="1"/>
    <xf numFmtId="0" fontId="135" fillId="0" borderId="0" xfId="80" applyFont="1"/>
    <xf numFmtId="0" fontId="109" fillId="0" borderId="45" xfId="80" applyFont="1" applyBorder="1" applyAlignment="1">
      <alignment horizontal="center"/>
    </xf>
    <xf numFmtId="0" fontId="109" fillId="0" borderId="45" xfId="80" applyFont="1" applyBorder="1" applyAlignment="1"/>
    <xf numFmtId="0" fontId="109" fillId="0" borderId="45" xfId="80" applyFont="1" applyBorder="1"/>
    <xf numFmtId="0" fontId="132" fillId="0" borderId="45" xfId="80" applyFont="1" applyBorder="1"/>
    <xf numFmtId="0" fontId="122" fillId="0" borderId="45" xfId="80" applyFont="1" applyBorder="1" applyAlignment="1">
      <alignment horizontal="left"/>
    </xf>
    <xf numFmtId="0" fontId="131" fillId="0" borderId="45" xfId="80" applyFont="1" applyBorder="1" applyAlignment="1">
      <alignment horizontal="left"/>
    </xf>
    <xf numFmtId="3" fontId="124" fillId="33" borderId="18" xfId="80" applyNumberFormat="1" applyFont="1" applyFill="1" applyBorder="1"/>
    <xf numFmtId="0" fontId="122" fillId="0" borderId="0" xfId="80" applyFont="1" applyAlignment="1">
      <alignment horizontal="left"/>
    </xf>
    <xf numFmtId="0" fontId="131" fillId="0" borderId="0" xfId="80" applyFont="1" applyAlignment="1">
      <alignment horizontal="left"/>
    </xf>
    <xf numFmtId="0" fontId="124" fillId="0" borderId="0" xfId="80" applyFont="1" applyFill="1" applyBorder="1" applyAlignment="1">
      <alignment horizontal="center"/>
    </xf>
    <xf numFmtId="0" fontId="124" fillId="0" borderId="0" xfId="80" applyFont="1" applyFill="1" applyBorder="1" applyAlignment="1"/>
    <xf numFmtId="3" fontId="124" fillId="0" borderId="0" xfId="80" applyNumberFormat="1" applyFont="1" applyFill="1" applyBorder="1"/>
    <xf numFmtId="3" fontId="132" fillId="0" borderId="0" xfId="80" applyNumberFormat="1" applyFont="1" applyFill="1" applyBorder="1"/>
    <xf numFmtId="0" fontId="115" fillId="0" borderId="0" xfId="80" applyFont="1" applyFill="1" applyBorder="1" applyAlignment="1">
      <alignment horizontal="center"/>
    </xf>
    <xf numFmtId="0" fontId="115" fillId="0" borderId="0" xfId="80" applyFont="1" applyFill="1" applyBorder="1" applyAlignment="1"/>
    <xf numFmtId="0" fontId="136" fillId="0" borderId="0" xfId="80" applyFont="1" applyFill="1" applyBorder="1" applyAlignment="1">
      <alignment horizontal="right"/>
    </xf>
    <xf numFmtId="9" fontId="118" fillId="0" borderId="0" xfId="80" applyNumberFormat="1" applyFont="1" applyFill="1" applyBorder="1"/>
    <xf numFmtId="0" fontId="132" fillId="0" borderId="0" xfId="80" applyFont="1"/>
    <xf numFmtId="0" fontId="137" fillId="0" borderId="0" xfId="80" applyFont="1" applyFill="1" applyBorder="1" applyAlignment="1">
      <alignment horizontal="right"/>
    </xf>
    <xf numFmtId="3" fontId="118" fillId="0" borderId="0" xfId="80" applyNumberFormat="1" applyFont="1" applyFill="1" applyBorder="1"/>
    <xf numFmtId="3" fontId="138" fillId="0" borderId="0" xfId="80" applyNumberFormat="1" applyFont="1" applyFill="1" applyBorder="1"/>
    <xf numFmtId="0" fontId="136" fillId="0" borderId="0" xfId="80" applyFont="1" applyFill="1" applyBorder="1" applyAlignment="1">
      <alignment horizontal="center"/>
    </xf>
    <xf numFmtId="0" fontId="109" fillId="0" borderId="0" xfId="80" applyFont="1" applyFill="1" applyBorder="1" applyAlignment="1">
      <alignment horizontal="left"/>
    </xf>
    <xf numFmtId="0" fontId="115" fillId="0" borderId="0" xfId="80" applyFont="1" applyFill="1" applyBorder="1"/>
    <xf numFmtId="0" fontId="109" fillId="0" borderId="39" xfId="80" applyFont="1" applyBorder="1" applyAlignment="1">
      <alignment horizontal="center"/>
    </xf>
    <xf numFmtId="0" fontId="109" fillId="0" borderId="31" xfId="80" applyFont="1" applyBorder="1" applyAlignment="1">
      <alignment horizontal="center"/>
    </xf>
    <xf numFmtId="0" fontId="109" fillId="0" borderId="31" xfId="80" applyFont="1" applyBorder="1" applyAlignment="1"/>
    <xf numFmtId="0" fontId="109" fillId="0" borderId="62" xfId="80" applyFont="1" applyBorder="1"/>
    <xf numFmtId="3" fontId="123" fillId="37" borderId="61" xfId="80" applyNumberFormat="1" applyFont="1" applyFill="1" applyBorder="1"/>
    <xf numFmtId="3" fontId="123" fillId="45" borderId="17" xfId="80" applyNumberFormat="1" applyFont="1" applyFill="1" applyBorder="1"/>
    <xf numFmtId="3" fontId="123" fillId="45" borderId="23" xfId="80" applyNumberFormat="1" applyFont="1" applyFill="1" applyBorder="1"/>
    <xf numFmtId="0" fontId="123" fillId="43" borderId="39" xfId="80" applyFont="1" applyFill="1" applyBorder="1" applyAlignment="1">
      <alignment horizontal="center"/>
    </xf>
    <xf numFmtId="0" fontId="123" fillId="43" borderId="31" xfId="80" applyFont="1" applyFill="1" applyBorder="1" applyAlignment="1">
      <alignment horizontal="center"/>
    </xf>
    <xf numFmtId="0" fontId="123" fillId="43" borderId="31" xfId="80" applyFont="1" applyFill="1" applyBorder="1" applyAlignment="1"/>
    <xf numFmtId="0" fontId="123" fillId="43" borderId="62" xfId="80" applyFont="1" applyFill="1" applyBorder="1"/>
    <xf numFmtId="3" fontId="123" fillId="43" borderId="61" xfId="80" applyNumberFormat="1" applyFont="1" applyFill="1" applyBorder="1"/>
    <xf numFmtId="3" fontId="123" fillId="43" borderId="17" xfId="80" applyNumberFormat="1" applyFont="1" applyFill="1" applyBorder="1"/>
    <xf numFmtId="3" fontId="123" fillId="43" borderId="23" xfId="80" applyNumberFormat="1" applyFont="1" applyFill="1" applyBorder="1"/>
    <xf numFmtId="0" fontId="115" fillId="0" borderId="0" xfId="80" applyFont="1" applyFill="1" applyBorder="1" applyAlignment="1">
      <alignment horizontal="right"/>
    </xf>
    <xf numFmtId="0" fontId="109" fillId="0" borderId="0" xfId="80" applyFont="1" applyFill="1" applyBorder="1"/>
    <xf numFmtId="3" fontId="132" fillId="0" borderId="82" xfId="80" applyNumberFormat="1" applyFont="1" applyFill="1" applyBorder="1"/>
    <xf numFmtId="0" fontId="121" fillId="0" borderId="0" xfId="80" applyFont="1" applyFill="1" applyBorder="1" applyAlignment="1">
      <alignment horizontal="center"/>
    </xf>
    <xf numFmtId="0" fontId="121" fillId="0" borderId="0" xfId="80" applyFont="1" applyFill="1" applyBorder="1" applyAlignment="1"/>
    <xf numFmtId="0" fontId="121" fillId="0" borderId="0" xfId="80" applyFont="1" applyFill="1" applyBorder="1"/>
    <xf numFmtId="0" fontId="139" fillId="0" borderId="0" xfId="80" applyFont="1" applyFill="1" applyBorder="1" applyAlignment="1">
      <alignment horizontal="center"/>
    </xf>
    <xf numFmtId="49" fontId="118" fillId="0" borderId="0" xfId="80" applyNumberFormat="1" applyFont="1" applyFill="1" applyBorder="1" applyAlignment="1">
      <alignment horizontal="center" wrapText="1"/>
    </xf>
    <xf numFmtId="0" fontId="123" fillId="0" borderId="0" xfId="80" applyFont="1"/>
    <xf numFmtId="0" fontId="136" fillId="0" borderId="0" xfId="80" applyFont="1" applyAlignment="1">
      <alignment horizontal="center"/>
    </xf>
    <xf numFmtId="3" fontId="140" fillId="33" borderId="18" xfId="80" applyNumberFormat="1" applyFont="1" applyFill="1" applyBorder="1"/>
    <xf numFmtId="167" fontId="55" fillId="0" borderId="22" xfId="0" applyNumberFormat="1" applyFont="1" applyFill="1" applyBorder="1"/>
    <xf numFmtId="167" fontId="55" fillId="0" borderId="34" xfId="0" applyNumberFormat="1" applyFont="1" applyFill="1" applyBorder="1"/>
    <xf numFmtId="3" fontId="55" fillId="36" borderId="63" xfId="0" applyNumberFormat="1" applyFont="1" applyFill="1" applyBorder="1"/>
    <xf numFmtId="3" fontId="55" fillId="36" borderId="61" xfId="0" applyNumberFormat="1" applyFont="1" applyFill="1" applyBorder="1"/>
    <xf numFmtId="3" fontId="55" fillId="41" borderId="61" xfId="0" applyNumberFormat="1" applyFont="1" applyFill="1" applyBorder="1"/>
    <xf numFmtId="0" fontId="125" fillId="0" borderId="0" xfId="80" applyFont="1" applyAlignment="1">
      <alignment wrapText="1"/>
    </xf>
    <xf numFmtId="0" fontId="125" fillId="0" borderId="0" xfId="80" applyFont="1" applyAlignment="1">
      <alignment horizontal="left"/>
    </xf>
    <xf numFmtId="0" fontId="109" fillId="0" borderId="0" xfId="80" applyFont="1" applyAlignment="1">
      <alignment wrapText="1"/>
    </xf>
    <xf numFmtId="0" fontId="141" fillId="0" borderId="0" xfId="80" applyFont="1" applyAlignment="1">
      <alignment wrapText="1"/>
    </xf>
    <xf numFmtId="0" fontId="124" fillId="33" borderId="39" xfId="80" applyFont="1" applyFill="1" applyBorder="1" applyAlignment="1">
      <alignment horizontal="center"/>
    </xf>
    <xf numFmtId="0" fontId="124" fillId="33" borderId="31" xfId="80" applyFont="1" applyFill="1" applyBorder="1" applyAlignment="1">
      <alignment horizontal="center"/>
    </xf>
    <xf numFmtId="0" fontId="140" fillId="33" borderId="161" xfId="80" applyFont="1" applyFill="1" applyBorder="1"/>
    <xf numFmtId="0" fontId="109" fillId="34" borderId="31" xfId="80" applyFont="1" applyFill="1" applyBorder="1" applyAlignment="1">
      <alignment horizontal="center"/>
    </xf>
    <xf numFmtId="0" fontId="109" fillId="34" borderId="18" xfId="80" applyFont="1" applyFill="1" applyBorder="1" applyAlignment="1"/>
    <xf numFmtId="0" fontId="109" fillId="34" borderId="60" xfId="80" applyFont="1" applyFill="1" applyBorder="1"/>
    <xf numFmtId="3" fontId="129" fillId="34" borderId="61" xfId="80" applyNumberFormat="1" applyFont="1" applyFill="1" applyBorder="1"/>
    <xf numFmtId="3" fontId="129" fillId="34" borderId="17" xfId="80" applyNumberFormat="1" applyFont="1" applyFill="1" applyBorder="1"/>
    <xf numFmtId="3" fontId="109" fillId="34" borderId="23" xfId="80" applyNumberFormat="1" applyFont="1" applyFill="1" applyBorder="1"/>
    <xf numFmtId="4" fontId="142" fillId="0" borderId="0" xfId="80" applyNumberFormat="1" applyFont="1" applyFill="1" applyBorder="1" applyAlignment="1">
      <alignment horizontal="left" wrapText="1"/>
    </xf>
    <xf numFmtId="49" fontId="143" fillId="0" borderId="0" xfId="80" applyNumberFormat="1" applyFont="1" applyAlignment="1">
      <alignment horizontal="left" wrapText="1"/>
    </xf>
    <xf numFmtId="0" fontId="55" fillId="38" borderId="39" xfId="0" applyFont="1" applyFill="1" applyBorder="1" applyAlignment="1">
      <alignment horizontal="center" wrapText="1"/>
    </xf>
    <xf numFmtId="3" fontId="55" fillId="38" borderId="61" xfId="0" applyNumberFormat="1" applyFont="1" applyFill="1" applyBorder="1"/>
    <xf numFmtId="3" fontId="82" fillId="36" borderId="106" xfId="0" applyNumberFormat="1" applyFont="1" applyFill="1" applyBorder="1"/>
    <xf numFmtId="3" fontId="79" fillId="0" borderId="143" xfId="0" applyNumberFormat="1" applyFont="1" applyFill="1" applyBorder="1"/>
    <xf numFmtId="3" fontId="123" fillId="29" borderId="160" xfId="80" applyNumberFormat="1" applyFont="1" applyFill="1" applyBorder="1"/>
    <xf numFmtId="3" fontId="123" fillId="29" borderId="160" xfId="80" applyNumberFormat="1" applyFont="1" applyFill="1" applyBorder="1" applyAlignment="1">
      <alignment horizontal="right"/>
    </xf>
    <xf numFmtId="3" fontId="123" fillId="41" borderId="173" xfId="80" applyNumberFormat="1" applyFont="1" applyFill="1" applyBorder="1" applyAlignment="1">
      <alignment horizontal="right" vertical="center"/>
    </xf>
    <xf numFmtId="3" fontId="124" fillId="33" borderId="187" xfId="80" applyNumberFormat="1" applyFont="1" applyFill="1" applyBorder="1" applyAlignment="1">
      <alignment horizontal="right"/>
    </xf>
    <xf numFmtId="3" fontId="124" fillId="33" borderId="186" xfId="80" applyNumberFormat="1" applyFont="1" applyFill="1" applyBorder="1" applyAlignment="1">
      <alignment horizontal="right"/>
    </xf>
    <xf numFmtId="3" fontId="123" fillId="44" borderId="160" xfId="80" applyNumberFormat="1" applyFont="1" applyFill="1" applyBorder="1"/>
    <xf numFmtId="3" fontId="109" fillId="34" borderId="60" xfId="80" applyNumberFormat="1" applyFont="1" applyFill="1" applyBorder="1"/>
    <xf numFmtId="3" fontId="130" fillId="41" borderId="160" xfId="80" applyNumberFormat="1" applyFont="1" applyFill="1" applyBorder="1"/>
    <xf numFmtId="3" fontId="130" fillId="29" borderId="160" xfId="80" applyNumberFormat="1" applyFont="1" applyFill="1" applyBorder="1" applyAlignment="1">
      <alignment horizontal="right"/>
    </xf>
    <xf numFmtId="3" fontId="130" fillId="29" borderId="160" xfId="80" applyNumberFormat="1" applyFont="1" applyFill="1" applyBorder="1"/>
    <xf numFmtId="3" fontId="124" fillId="33" borderId="60" xfId="80" applyNumberFormat="1" applyFont="1" applyFill="1" applyBorder="1"/>
    <xf numFmtId="0" fontId="123" fillId="43" borderId="33" xfId="80" applyFont="1" applyFill="1" applyBorder="1" applyAlignment="1">
      <alignment horizontal="center"/>
    </xf>
    <xf numFmtId="0" fontId="123" fillId="43" borderId="38" xfId="80" applyFont="1" applyFill="1" applyBorder="1" applyAlignment="1">
      <alignment horizontal="center"/>
    </xf>
    <xf numFmtId="3" fontId="140" fillId="33" borderId="23" xfId="80" applyNumberFormat="1" applyFont="1" applyFill="1" applyBorder="1"/>
    <xf numFmtId="3" fontId="123" fillId="45" borderId="60" xfId="80" applyNumberFormat="1" applyFont="1" applyFill="1" applyBorder="1"/>
    <xf numFmtId="3" fontId="123" fillId="43" borderId="60" xfId="80" applyNumberFormat="1" applyFont="1" applyFill="1" applyBorder="1"/>
    <xf numFmtId="0" fontId="109" fillId="0" borderId="171" xfId="80" applyFont="1" applyFill="1" applyBorder="1"/>
    <xf numFmtId="0" fontId="125" fillId="34" borderId="62" xfId="80" applyFont="1" applyFill="1" applyBorder="1" applyAlignment="1">
      <alignment horizontal="center"/>
    </xf>
    <xf numFmtId="0" fontId="125" fillId="34" borderId="17" xfId="80" applyFont="1" applyFill="1" applyBorder="1" applyAlignment="1">
      <alignment horizontal="center"/>
    </xf>
    <xf numFmtId="0" fontId="109" fillId="0" borderId="173" xfId="80" applyFont="1" applyFill="1" applyBorder="1"/>
    <xf numFmtId="3" fontId="123" fillId="0" borderId="16" xfId="80" applyNumberFormat="1" applyFont="1" applyFill="1" applyBorder="1"/>
    <xf numFmtId="3" fontId="123" fillId="0" borderId="112" xfId="80" applyNumberFormat="1" applyFont="1" applyFill="1" applyBorder="1"/>
    <xf numFmtId="49" fontId="125" fillId="0" borderId="19" xfId="80" applyNumberFormat="1" applyFont="1" applyFill="1" applyBorder="1" applyAlignment="1">
      <alignment horizontal="center"/>
    </xf>
    <xf numFmtId="0" fontId="125" fillId="0" borderId="112" xfId="80" applyFont="1" applyBorder="1" applyAlignment="1">
      <alignment horizontal="center"/>
    </xf>
    <xf numFmtId="49" fontId="144" fillId="0" borderId="15" xfId="80" applyNumberFormat="1" applyFont="1" applyFill="1" applyBorder="1" applyAlignment="1">
      <alignment horizontal="center"/>
    </xf>
    <xf numFmtId="3" fontId="123" fillId="0" borderId="68" xfId="80" applyNumberFormat="1" applyFont="1" applyFill="1" applyBorder="1"/>
    <xf numFmtId="3" fontId="123" fillId="45" borderId="18" xfId="80" applyNumberFormat="1" applyFont="1" applyFill="1" applyBorder="1"/>
    <xf numFmtId="0" fontId="123" fillId="0" borderId="13" xfId="80" applyFont="1" applyFill="1" applyBorder="1" applyAlignment="1">
      <alignment horizontal="center"/>
    </xf>
    <xf numFmtId="0" fontId="123" fillId="0" borderId="186" xfId="80" applyFont="1" applyFill="1" applyBorder="1" applyAlignment="1">
      <alignment horizontal="center"/>
    </xf>
    <xf numFmtId="0" fontId="123" fillId="0" borderId="198" xfId="80" applyFont="1" applyFill="1" applyBorder="1" applyAlignment="1">
      <alignment horizontal="center"/>
    </xf>
    <xf numFmtId="0" fontId="123" fillId="0" borderId="193" xfId="80" applyFont="1" applyFill="1" applyBorder="1" applyAlignment="1">
      <alignment horizontal="center"/>
    </xf>
    <xf numFmtId="3" fontId="123" fillId="0" borderId="160" xfId="80" applyNumberFormat="1" applyFont="1" applyFill="1" applyBorder="1"/>
    <xf numFmtId="3" fontId="123" fillId="0" borderId="160" xfId="80" applyNumberFormat="1" applyFont="1" applyFill="1" applyBorder="1" applyAlignment="1">
      <alignment horizontal="right"/>
    </xf>
    <xf numFmtId="3" fontId="123" fillId="0" borderId="36" xfId="80" applyNumberFormat="1" applyFont="1" applyFill="1" applyBorder="1"/>
    <xf numFmtId="3" fontId="123" fillId="0" borderId="171" xfId="80" applyNumberFormat="1" applyFont="1" applyFill="1" applyBorder="1"/>
    <xf numFmtId="3" fontId="123" fillId="0" borderId="19" xfId="80" applyNumberFormat="1" applyFont="1" applyFill="1" applyBorder="1"/>
    <xf numFmtId="3" fontId="123" fillId="0" borderId="173" xfId="80" applyNumberFormat="1" applyFont="1" applyFill="1" applyBorder="1"/>
    <xf numFmtId="3" fontId="123" fillId="0" borderId="27" xfId="80" applyNumberFormat="1" applyFont="1" applyFill="1" applyBorder="1" applyAlignment="1">
      <alignment horizontal="right"/>
    </xf>
    <xf numFmtId="3" fontId="123" fillId="0" borderId="187" xfId="80" applyNumberFormat="1" applyFont="1" applyFill="1" applyBorder="1" applyAlignment="1">
      <alignment horizontal="right"/>
    </xf>
    <xf numFmtId="3" fontId="130" fillId="0" borderId="15" xfId="80" applyNumberFormat="1" applyFont="1" applyFill="1" applyBorder="1"/>
    <xf numFmtId="3" fontId="130" fillId="0" borderId="160" xfId="80" applyNumberFormat="1" applyFont="1" applyFill="1" applyBorder="1"/>
    <xf numFmtId="0" fontId="123" fillId="0" borderId="15" xfId="80" applyFont="1" applyFill="1" applyBorder="1"/>
    <xf numFmtId="0" fontId="123" fillId="0" borderId="160" xfId="80" applyFont="1" applyFill="1" applyBorder="1"/>
    <xf numFmtId="3" fontId="123" fillId="0" borderId="36" xfId="80" applyNumberFormat="1" applyFont="1" applyFill="1" applyBorder="1" applyAlignment="1">
      <alignment horizontal="right"/>
    </xf>
    <xf numFmtId="3" fontId="123" fillId="0" borderId="171" xfId="80" applyNumberFormat="1" applyFont="1" applyFill="1" applyBorder="1" applyAlignment="1">
      <alignment horizontal="right"/>
    </xf>
    <xf numFmtId="3" fontId="123" fillId="0" borderId="27" xfId="80" applyNumberFormat="1" applyFont="1" applyFill="1" applyBorder="1"/>
    <xf numFmtId="3" fontId="123" fillId="0" borderId="187" xfId="80" applyNumberFormat="1" applyFont="1" applyFill="1" applyBorder="1"/>
    <xf numFmtId="0" fontId="57" fillId="0" borderId="43" xfId="0" applyFont="1" applyBorder="1" applyAlignment="1">
      <alignment horizontal="center"/>
    </xf>
    <xf numFmtId="0" fontId="57" fillId="0" borderId="106" xfId="0" applyFont="1" applyBorder="1" applyAlignment="1">
      <alignment horizontal="center"/>
    </xf>
    <xf numFmtId="3" fontId="57" fillId="0" borderId="140" xfId="0" applyNumberFormat="1" applyFont="1" applyBorder="1"/>
    <xf numFmtId="3" fontId="55" fillId="0" borderId="52" xfId="0" applyNumberFormat="1" applyFont="1" applyBorder="1"/>
    <xf numFmtId="3" fontId="57" fillId="0" borderId="54" xfId="0" applyNumberFormat="1" applyFont="1" applyBorder="1"/>
    <xf numFmtId="3" fontId="57" fillId="0" borderId="84" xfId="0" applyNumberFormat="1" applyFont="1" applyBorder="1"/>
    <xf numFmtId="3" fontId="56" fillId="0" borderId="55" xfId="0" applyNumberFormat="1" applyFont="1" applyBorder="1"/>
    <xf numFmtId="3" fontId="57" fillId="0" borderId="29" xfId="0" applyNumberFormat="1" applyFont="1" applyBorder="1"/>
    <xf numFmtId="3" fontId="57" fillId="0" borderId="87" xfId="0" applyNumberFormat="1" applyFont="1" applyBorder="1"/>
    <xf numFmtId="3" fontId="56" fillId="0" borderId="81" xfId="0" applyNumberFormat="1" applyFont="1" applyBorder="1"/>
    <xf numFmtId="0" fontId="55" fillId="35" borderId="10" xfId="0" applyFont="1" applyFill="1" applyBorder="1"/>
    <xf numFmtId="169" fontId="55" fillId="0" borderId="0" xfId="0" applyNumberFormat="1" applyFont="1"/>
    <xf numFmtId="2" fontId="55" fillId="0" borderId="0" xfId="0" applyNumberFormat="1" applyFont="1"/>
    <xf numFmtId="0" fontId="70" fillId="0" borderId="67" xfId="0" applyFont="1" applyFill="1" applyBorder="1" applyAlignment="1"/>
    <xf numFmtId="166" fontId="56" fillId="0" borderId="10" xfId="0" applyNumberFormat="1" applyFont="1" applyFill="1" applyBorder="1"/>
    <xf numFmtId="3" fontId="55" fillId="41" borderId="63" xfId="0" applyNumberFormat="1" applyFont="1" applyFill="1" applyBorder="1"/>
    <xf numFmtId="3" fontId="55" fillId="36" borderId="65" xfId="0" applyNumberFormat="1" applyFont="1" applyFill="1" applyBorder="1"/>
    <xf numFmtId="3" fontId="55" fillId="41" borderId="65" xfId="0" applyNumberFormat="1" applyFont="1" applyFill="1" applyBorder="1"/>
    <xf numFmtId="3" fontId="55" fillId="39" borderId="65" xfId="0" applyNumberFormat="1" applyFont="1" applyFill="1" applyBorder="1"/>
    <xf numFmtId="3" fontId="55" fillId="36" borderId="16" xfId="0" applyNumberFormat="1" applyFont="1" applyFill="1" applyBorder="1"/>
    <xf numFmtId="3" fontId="55" fillId="39" borderId="16" xfId="0" applyNumberFormat="1" applyFont="1" applyFill="1" applyBorder="1"/>
    <xf numFmtId="3" fontId="79" fillId="0" borderId="119" xfId="0" applyNumberFormat="1" applyFont="1" applyFill="1" applyBorder="1"/>
    <xf numFmtId="3" fontId="123" fillId="26" borderId="61" xfId="0" applyNumberFormat="1" applyFont="1" applyFill="1" applyBorder="1"/>
    <xf numFmtId="4" fontId="56" fillId="0" borderId="27" xfId="0" applyNumberFormat="1" applyFont="1" applyFill="1" applyBorder="1"/>
    <xf numFmtId="167" fontId="56" fillId="0" borderId="12" xfId="0" applyNumberFormat="1" applyFont="1" applyFill="1" applyBorder="1"/>
    <xf numFmtId="3" fontId="56" fillId="40" borderId="35" xfId="0" applyNumberFormat="1" applyFont="1" applyFill="1" applyBorder="1"/>
    <xf numFmtId="4" fontId="56" fillId="0" borderId="12" xfId="0" applyNumberFormat="1" applyFont="1" applyFill="1" applyBorder="1"/>
    <xf numFmtId="3" fontId="56" fillId="0" borderId="12" xfId="0" applyNumberFormat="1" applyFont="1" applyFill="1" applyBorder="1"/>
    <xf numFmtId="166" fontId="56" fillId="0" borderId="12" xfId="0" applyNumberFormat="1" applyFont="1" applyFill="1" applyBorder="1"/>
    <xf numFmtId="3" fontId="56" fillId="0" borderId="27" xfId="0" applyNumberFormat="1" applyFont="1" applyFill="1" applyBorder="1"/>
    <xf numFmtId="3" fontId="56" fillId="26" borderId="188" xfId="0" applyNumberFormat="1" applyFont="1" applyFill="1" applyBorder="1"/>
    <xf numFmtId="0" fontId="56" fillId="0" borderId="48" xfId="0" applyFont="1" applyFill="1" applyBorder="1" applyAlignment="1">
      <alignment horizontal="center" wrapText="1"/>
    </xf>
    <xf numFmtId="0" fontId="56" fillId="0" borderId="43" xfId="0" applyFont="1" applyFill="1" applyBorder="1" applyAlignment="1">
      <alignment horizontal="center" wrapText="1"/>
    </xf>
    <xf numFmtId="49" fontId="56" fillId="0" borderId="19" xfId="0" applyNumberFormat="1" applyFont="1" applyFill="1" applyBorder="1" applyAlignment="1">
      <alignment horizontal="center" vertical="top" wrapText="1"/>
    </xf>
    <xf numFmtId="49" fontId="56" fillId="0" borderId="20" xfId="0" applyNumberFormat="1" applyFont="1" applyFill="1" applyBorder="1" applyAlignment="1">
      <alignment horizontal="center" vertical="top" wrapText="1"/>
    </xf>
    <xf numFmtId="49" fontId="56" fillId="40" borderId="112" xfId="0" applyNumberFormat="1" applyFont="1" applyFill="1" applyBorder="1" applyAlignment="1">
      <alignment horizontal="center" vertical="top" wrapText="1"/>
    </xf>
    <xf numFmtId="49" fontId="56" fillId="26" borderId="50" xfId="0" applyNumberFormat="1" applyFont="1" applyFill="1" applyBorder="1" applyAlignment="1">
      <alignment horizontal="center" wrapText="1"/>
    </xf>
    <xf numFmtId="3" fontId="145" fillId="0" borderId="37" xfId="0" applyNumberFormat="1" applyFont="1" applyFill="1" applyBorder="1"/>
    <xf numFmtId="3" fontId="58" fillId="0" borderId="38" xfId="0" applyNumberFormat="1" applyFont="1" applyFill="1" applyBorder="1"/>
    <xf numFmtId="3" fontId="57" fillId="0" borderId="38" xfId="0" applyNumberFormat="1" applyFont="1" applyFill="1" applyBorder="1"/>
    <xf numFmtId="0" fontId="61" fillId="0" borderId="60" xfId="0" applyFont="1" applyFill="1" applyBorder="1"/>
    <xf numFmtId="3" fontId="58" fillId="0" borderId="17" xfId="0" applyNumberFormat="1" applyFont="1" applyFill="1" applyBorder="1"/>
    <xf numFmtId="3" fontId="58" fillId="0" borderId="18" xfId="0" applyNumberFormat="1" applyFont="1" applyFill="1" applyBorder="1"/>
    <xf numFmtId="3" fontId="58" fillId="0" borderId="23" xfId="0" applyNumberFormat="1" applyFont="1" applyFill="1" applyBorder="1"/>
    <xf numFmtId="3" fontId="58" fillId="0" borderId="161" xfId="0" applyNumberFormat="1" applyFont="1" applyFill="1" applyBorder="1"/>
    <xf numFmtId="0" fontId="61" fillId="0" borderId="17" xfId="0" applyFont="1" applyFill="1" applyBorder="1"/>
    <xf numFmtId="3" fontId="66" fillId="0" borderId="0" xfId="0" applyNumberFormat="1" applyFont="1" applyFill="1"/>
    <xf numFmtId="3" fontId="41" fillId="0" borderId="12" xfId="0" applyNumberFormat="1" applyFont="1" applyBorder="1"/>
    <xf numFmtId="3" fontId="41" fillId="0" borderId="37" xfId="0" applyNumberFormat="1" applyFont="1" applyBorder="1"/>
    <xf numFmtId="3" fontId="41" fillId="0" borderId="37" xfId="0" applyNumberFormat="1" applyFont="1" applyFill="1" applyBorder="1"/>
    <xf numFmtId="3" fontId="40" fillId="0" borderId="18" xfId="0" applyNumberFormat="1" applyFont="1" applyBorder="1"/>
    <xf numFmtId="0" fontId="57" fillId="0" borderId="141" xfId="0" applyFont="1" applyBorder="1" applyAlignment="1">
      <alignment horizontal="center"/>
    </xf>
    <xf numFmtId="0" fontId="57" fillId="0" borderId="40" xfId="0" applyFont="1" applyBorder="1" applyAlignment="1">
      <alignment horizontal="center" wrapText="1"/>
    </xf>
    <xf numFmtId="0" fontId="57" fillId="0" borderId="40" xfId="0" applyFont="1" applyBorder="1" applyAlignment="1">
      <alignment horizontal="center"/>
    </xf>
    <xf numFmtId="0" fontId="57" fillId="38" borderId="40" xfId="0" applyFont="1" applyFill="1" applyBorder="1" applyAlignment="1">
      <alignment horizontal="center"/>
    </xf>
    <xf numFmtId="0" fontId="57" fillId="36" borderId="40" xfId="0" applyFont="1" applyFill="1" applyBorder="1" applyAlignment="1">
      <alignment horizontal="center"/>
    </xf>
    <xf numFmtId="0" fontId="57" fillId="38" borderId="41" xfId="0" applyFont="1" applyFill="1" applyBorder="1" applyAlignment="1">
      <alignment horizontal="center"/>
    </xf>
    <xf numFmtId="0" fontId="0" fillId="0" borderId="0" xfId="0" applyFill="1"/>
    <xf numFmtId="0" fontId="39" fillId="0" borderId="14" xfId="0" applyFont="1" applyFill="1" applyBorder="1" applyAlignment="1">
      <alignment horizontal="center"/>
    </xf>
    <xf numFmtId="3" fontId="41" fillId="0" borderId="12" xfId="0" applyNumberFormat="1" applyFont="1" applyFill="1" applyBorder="1"/>
    <xf numFmtId="3" fontId="41" fillId="0" borderId="10" xfId="0" applyNumberFormat="1" applyFont="1" applyFill="1" applyBorder="1"/>
    <xf numFmtId="3" fontId="40" fillId="0" borderId="18" xfId="0" applyNumberFormat="1" applyFont="1" applyFill="1" applyBorder="1"/>
    <xf numFmtId="3" fontId="42" fillId="0" borderId="10" xfId="0" applyNumberFormat="1" applyFont="1" applyFill="1" applyBorder="1"/>
    <xf numFmtId="0" fontId="39" fillId="0" borderId="0" xfId="100" applyFont="1"/>
    <xf numFmtId="0" fontId="5" fillId="0" borderId="0" xfId="100"/>
    <xf numFmtId="3" fontId="50" fillId="29" borderId="61" xfId="100" applyNumberFormat="1" applyFont="1" applyFill="1" applyBorder="1"/>
    <xf numFmtId="0" fontId="42" fillId="0" borderId="0" xfId="100" applyFont="1" applyAlignment="1">
      <alignment horizontal="right"/>
    </xf>
    <xf numFmtId="0" fontId="55" fillId="0" borderId="42" xfId="100" applyFont="1" applyBorder="1"/>
    <xf numFmtId="0" fontId="55" fillId="0" borderId="44" xfId="100" applyFont="1" applyBorder="1"/>
    <xf numFmtId="0" fontId="55" fillId="0" borderId="45" xfId="100" applyFont="1" applyBorder="1"/>
    <xf numFmtId="0" fontId="61" fillId="29" borderId="46" xfId="100" applyFont="1" applyFill="1" applyBorder="1" applyAlignment="1">
      <alignment horizontal="center"/>
    </xf>
    <xf numFmtId="0" fontId="55" fillId="0" borderId="48" xfId="100" applyFont="1" applyBorder="1" applyAlignment="1">
      <alignment horizontal="center"/>
    </xf>
    <xf numFmtId="0" fontId="55" fillId="0" borderId="49" xfId="100" applyFont="1" applyBorder="1"/>
    <xf numFmtId="0" fontId="55" fillId="0" borderId="43" xfId="100" applyFont="1" applyBorder="1"/>
    <xf numFmtId="0" fontId="61" fillId="29" borderId="50" xfId="100" applyFont="1" applyFill="1" applyBorder="1" applyAlignment="1">
      <alignment horizontal="center"/>
    </xf>
    <xf numFmtId="0" fontId="55" fillId="0" borderId="42" xfId="100" applyFont="1" applyBorder="1" applyAlignment="1">
      <alignment horizontal="center"/>
    </xf>
    <xf numFmtId="0" fontId="55" fillId="0" borderId="45" xfId="100" applyFont="1" applyBorder="1" applyAlignment="1">
      <alignment horizontal="right"/>
    </xf>
    <xf numFmtId="0" fontId="55" fillId="0" borderId="44" xfId="100" applyFont="1" applyBorder="1" applyAlignment="1">
      <alignment horizontal="center" wrapText="1"/>
    </xf>
    <xf numFmtId="0" fontId="55" fillId="0" borderId="36" xfId="100" applyFont="1" applyBorder="1" applyAlignment="1">
      <alignment horizontal="center"/>
    </xf>
    <xf numFmtId="0" fontId="55" fillId="0" borderId="37" xfId="100" applyFont="1" applyBorder="1" applyAlignment="1">
      <alignment horizontal="center"/>
    </xf>
    <xf numFmtId="0" fontId="55" fillId="0" borderId="82" xfId="100" applyFont="1" applyBorder="1"/>
    <xf numFmtId="10" fontId="55" fillId="0" borderId="159" xfId="100" applyNumberFormat="1" applyFont="1" applyBorder="1"/>
    <xf numFmtId="3" fontId="61" fillId="29" borderId="163" xfId="100" applyNumberFormat="1" applyFont="1" applyFill="1" applyBorder="1"/>
    <xf numFmtId="0" fontId="55" fillId="0" borderId="80" xfId="100" applyFont="1" applyBorder="1" applyAlignment="1">
      <alignment horizontal="center"/>
    </xf>
    <xf numFmtId="0" fontId="55" fillId="0" borderId="133" xfId="100" applyFont="1" applyBorder="1" applyAlignment="1">
      <alignment horizontal="center"/>
    </xf>
    <xf numFmtId="0" fontId="55" fillId="0" borderId="29" xfId="100" applyFont="1" applyBorder="1"/>
    <xf numFmtId="0" fontId="55" fillId="0" borderId="25" xfId="100" applyFont="1" applyBorder="1" applyAlignment="1">
      <alignment horizontal="center"/>
    </xf>
    <xf numFmtId="0" fontId="55" fillId="0" borderId="27" xfId="100" applyFont="1" applyBorder="1" applyAlignment="1">
      <alignment horizontal="center"/>
    </xf>
    <xf numFmtId="0" fontId="55" fillId="0" borderId="184" xfId="100" applyFont="1" applyBorder="1" applyAlignment="1">
      <alignment horizontal="center"/>
    </xf>
    <xf numFmtId="0" fontId="55" fillId="0" borderId="134" xfId="100" applyFont="1" applyBorder="1"/>
    <xf numFmtId="10" fontId="55" fillId="38" borderId="160" xfId="100" applyNumberFormat="1" applyFont="1" applyFill="1" applyBorder="1"/>
    <xf numFmtId="3" fontId="61" fillId="38" borderId="65" xfId="100" applyNumberFormat="1" applyFont="1" applyFill="1" applyBorder="1"/>
    <xf numFmtId="0" fontId="55" fillId="0" borderId="15" xfId="100" applyFont="1" applyBorder="1" applyAlignment="1">
      <alignment horizontal="center"/>
    </xf>
    <xf numFmtId="0" fontId="55" fillId="0" borderId="10" xfId="100" applyFont="1" applyBorder="1" applyAlignment="1">
      <alignment horizontal="center"/>
    </xf>
    <xf numFmtId="0" fontId="55" fillId="0" borderId="10" xfId="100" applyFont="1" applyBorder="1"/>
    <xf numFmtId="0" fontId="55" fillId="0" borderId="82" xfId="100" applyFont="1" applyBorder="1" applyAlignment="1">
      <alignment horizontal="center"/>
    </xf>
    <xf numFmtId="0" fontId="43" fillId="38" borderId="171" xfId="100" applyFont="1" applyFill="1" applyBorder="1"/>
    <xf numFmtId="3" fontId="88" fillId="38" borderId="74" xfId="100" applyNumberFormat="1" applyFont="1" applyFill="1" applyBorder="1"/>
    <xf numFmtId="0" fontId="55" fillId="0" borderId="17" xfId="100" applyFont="1" applyBorder="1" applyAlignment="1">
      <alignment horizontal="center"/>
    </xf>
    <xf numFmtId="0" fontId="55" fillId="0" borderId="18" xfId="100" applyFont="1" applyBorder="1" applyAlignment="1">
      <alignment horizontal="center"/>
    </xf>
    <xf numFmtId="0" fontId="55" fillId="0" borderId="31" xfId="100" applyFont="1" applyBorder="1"/>
    <xf numFmtId="10" fontId="55" fillId="0" borderId="60" xfId="100" applyNumberFormat="1" applyFont="1" applyBorder="1"/>
    <xf numFmtId="3" fontId="61" fillId="29" borderId="61" xfId="100" applyNumberFormat="1" applyFont="1" applyFill="1" applyBorder="1"/>
    <xf numFmtId="170" fontId="5" fillId="0" borderId="0" xfId="100" applyNumberFormat="1"/>
    <xf numFmtId="10" fontId="55" fillId="0" borderId="117" xfId="100" applyNumberFormat="1" applyFont="1" applyBorder="1"/>
    <xf numFmtId="3" fontId="61" fillId="29" borderId="81" xfId="100" applyNumberFormat="1" applyFont="1" applyFill="1" applyBorder="1"/>
    <xf numFmtId="10" fontId="55" fillId="0" borderId="139" xfId="100" applyNumberFormat="1" applyFont="1" applyBorder="1"/>
    <xf numFmtId="3" fontId="61" fillId="29" borderId="146" xfId="100" applyNumberFormat="1" applyFont="1" applyFill="1" applyBorder="1"/>
    <xf numFmtId="10" fontId="55" fillId="0" borderId="160" xfId="100" applyNumberFormat="1" applyFont="1" applyBorder="1"/>
    <xf numFmtId="3" fontId="61" fillId="29" borderId="65" xfId="100" applyNumberFormat="1" applyFont="1" applyFill="1" applyBorder="1"/>
    <xf numFmtId="10" fontId="55" fillId="0" borderId="171" xfId="100" applyNumberFormat="1" applyFont="1" applyBorder="1"/>
    <xf numFmtId="3" fontId="61" fillId="29" borderId="74" xfId="100" applyNumberFormat="1" applyFont="1" applyFill="1" applyBorder="1"/>
    <xf numFmtId="3" fontId="146" fillId="42" borderId="15" xfId="0" applyNumberFormat="1" applyFont="1" applyFill="1" applyBorder="1"/>
    <xf numFmtId="0" fontId="123" fillId="0" borderId="44" xfId="80" applyFont="1" applyFill="1" applyBorder="1" applyAlignment="1">
      <alignment horizontal="center"/>
    </xf>
    <xf numFmtId="0" fontId="123" fillId="0" borderId="171" xfId="80" applyFont="1" applyFill="1" applyBorder="1" applyAlignment="1">
      <alignment horizontal="center"/>
    </xf>
    <xf numFmtId="49" fontId="125" fillId="0" borderId="36" xfId="80" applyNumberFormat="1" applyFont="1" applyFill="1" applyBorder="1" applyAlignment="1">
      <alignment horizontal="center"/>
    </xf>
    <xf numFmtId="0" fontId="29" fillId="0" borderId="0" xfId="0" applyFont="1" applyFill="1"/>
    <xf numFmtId="3" fontId="57" fillId="0" borderId="37" xfId="0" applyNumberFormat="1" applyFont="1" applyFill="1" applyBorder="1"/>
    <xf numFmtId="0" fontId="119" fillId="0" borderId="14" xfId="0" applyFont="1" applyFill="1" applyBorder="1" applyAlignment="1">
      <alignment horizontal="center"/>
    </xf>
    <xf numFmtId="0" fontId="119" fillId="0" borderId="21" xfId="0" applyFont="1" applyFill="1" applyBorder="1" applyAlignment="1">
      <alignment horizontal="center"/>
    </xf>
    <xf numFmtId="0" fontId="119" fillId="36" borderId="46" xfId="0" applyFont="1" applyFill="1" applyBorder="1" applyAlignment="1">
      <alignment horizontal="center"/>
    </xf>
    <xf numFmtId="0" fontId="119" fillId="41" borderId="46" xfId="0" applyFont="1" applyFill="1" applyBorder="1" applyAlignment="1">
      <alignment horizontal="center"/>
    </xf>
    <xf numFmtId="0" fontId="119" fillId="39" borderId="46" xfId="0" applyFont="1" applyFill="1" applyBorder="1" applyAlignment="1">
      <alignment horizontal="center"/>
    </xf>
    <xf numFmtId="0" fontId="119" fillId="0" borderId="20" xfId="0" applyFont="1" applyFill="1" applyBorder="1" applyAlignment="1">
      <alignment horizontal="center" wrapText="1"/>
    </xf>
    <xf numFmtId="0" fontId="119" fillId="0" borderId="112" xfId="0" applyFont="1" applyFill="1" applyBorder="1" applyAlignment="1">
      <alignment horizontal="center" wrapText="1"/>
    </xf>
    <xf numFmtId="0" fontId="119" fillId="36" borderId="50" xfId="0" applyFont="1" applyFill="1" applyBorder="1" applyAlignment="1">
      <alignment horizontal="center"/>
    </xf>
    <xf numFmtId="0" fontId="119" fillId="41" borderId="50" xfId="0" applyFont="1" applyFill="1" applyBorder="1" applyAlignment="1">
      <alignment horizontal="center"/>
    </xf>
    <xf numFmtId="0" fontId="119" fillId="39" borderId="50" xfId="0" applyFont="1" applyFill="1" applyBorder="1" applyAlignment="1">
      <alignment horizontal="center"/>
    </xf>
    <xf numFmtId="165" fontId="150" fillId="0" borderId="0" xfId="103" applyNumberFormat="1" applyFont="1"/>
    <xf numFmtId="165" fontId="152" fillId="0" borderId="0" xfId="103" applyNumberFormat="1" applyFont="1"/>
    <xf numFmtId="165" fontId="158" fillId="0" borderId="0" xfId="103" applyNumberFormat="1" applyFont="1"/>
    <xf numFmtId="165" fontId="158" fillId="0" borderId="0" xfId="103" applyNumberFormat="1" applyFont="1" applyFill="1" applyAlignment="1"/>
    <xf numFmtId="165" fontId="50" fillId="0" borderId="0" xfId="103" applyNumberFormat="1" applyFont="1"/>
    <xf numFmtId="165" fontId="50" fillId="0" borderId="0" xfId="103" applyNumberFormat="1" applyFont="1" applyFill="1" applyBorder="1"/>
    <xf numFmtId="165" fontId="158" fillId="0" borderId="0" xfId="103" applyNumberFormat="1" applyFont="1" applyFill="1"/>
    <xf numFmtId="49" fontId="158" fillId="0" borderId="0" xfId="103" applyNumberFormat="1" applyFont="1"/>
    <xf numFmtId="165" fontId="158" fillId="0" borderId="0" xfId="103" applyNumberFormat="1" applyFont="1" applyAlignment="1">
      <alignment wrapText="1"/>
    </xf>
    <xf numFmtId="3" fontId="158" fillId="0" borderId="0" xfId="103" applyNumberFormat="1" applyFont="1"/>
    <xf numFmtId="0" fontId="158" fillId="0" borderId="0" xfId="103" applyNumberFormat="1" applyFont="1" applyAlignment="1">
      <alignment wrapText="1"/>
    </xf>
    <xf numFmtId="0" fontId="55" fillId="0" borderId="31" xfId="0" applyFont="1" applyBorder="1" applyAlignment="1">
      <alignment horizontal="center"/>
    </xf>
    <xf numFmtId="0" fontId="147" fillId="0" borderId="0" xfId="105" applyFont="1"/>
    <xf numFmtId="0" fontId="2" fillId="0" borderId="0" xfId="105"/>
    <xf numFmtId="0" fontId="148" fillId="0" borderId="0" xfId="105" applyFont="1"/>
    <xf numFmtId="14" fontId="2" fillId="0" borderId="0" xfId="105" applyNumberFormat="1"/>
    <xf numFmtId="0" fontId="110" fillId="46" borderId="39" xfId="105" applyFont="1" applyFill="1" applyBorder="1" applyAlignment="1">
      <alignment horizontal="right"/>
    </xf>
    <xf numFmtId="3" fontId="110" fillId="46" borderId="62" xfId="105" applyNumberFormat="1" applyFont="1" applyFill="1" applyBorder="1"/>
    <xf numFmtId="0" fontId="102" fillId="0" borderId="0" xfId="105" applyFont="1"/>
    <xf numFmtId="0" fontId="110" fillId="47" borderId="10" xfId="105" applyFont="1" applyFill="1" applyBorder="1"/>
    <xf numFmtId="3" fontId="103" fillId="0" borderId="10" xfId="105" applyNumberFormat="1" applyFont="1" applyFill="1" applyBorder="1" applyAlignment="1">
      <alignment horizontal="center" vertical="center"/>
    </xf>
    <xf numFmtId="1" fontId="103" fillId="0" borderId="10" xfId="105" applyNumberFormat="1" applyFont="1" applyFill="1" applyBorder="1" applyAlignment="1">
      <alignment horizontal="center" vertical="center"/>
    </xf>
    <xf numFmtId="3" fontId="103" fillId="0" borderId="10" xfId="105" applyNumberFormat="1" applyFont="1" applyFill="1" applyBorder="1" applyAlignment="1">
      <alignment vertical="center"/>
    </xf>
    <xf numFmtId="3" fontId="149" fillId="47" borderId="160" xfId="105" applyNumberFormat="1" applyFont="1" applyFill="1" applyBorder="1" applyAlignment="1">
      <alignment horizontal="center" vertical="center"/>
    </xf>
    <xf numFmtId="3" fontId="149" fillId="47" borderId="71" xfId="105" applyNumberFormat="1" applyFont="1" applyFill="1" applyBorder="1" applyAlignment="1">
      <alignment horizontal="center" vertical="center"/>
    </xf>
    <xf numFmtId="3" fontId="149" fillId="47" borderId="10" xfId="105" applyNumberFormat="1" applyFont="1" applyFill="1" applyBorder="1" applyAlignment="1">
      <alignment vertical="center"/>
    </xf>
    <xf numFmtId="0" fontId="2" fillId="0" borderId="0" xfId="105" applyFill="1"/>
    <xf numFmtId="3" fontId="68" fillId="0" borderId="0" xfId="0" applyNumberFormat="1" applyFont="1" applyBorder="1" applyAlignment="1">
      <alignment horizontal="center" vertical="center"/>
    </xf>
    <xf numFmtId="0" fontId="39" fillId="0" borderId="186" xfId="0" applyFont="1" applyBorder="1" applyAlignment="1">
      <alignment horizontal="center"/>
    </xf>
    <xf numFmtId="3" fontId="41" fillId="0" borderId="187" xfId="0" applyNumberFormat="1" applyFont="1" applyBorder="1"/>
    <xf numFmtId="3" fontId="41" fillId="0" borderId="160" xfId="0" applyNumberFormat="1" applyFont="1" applyBorder="1"/>
    <xf numFmtId="3" fontId="41" fillId="0" borderId="171" xfId="0" applyNumberFormat="1" applyFont="1" applyBorder="1"/>
    <xf numFmtId="3" fontId="40" fillId="0" borderId="60" xfId="0" applyNumberFormat="1" applyFont="1" applyBorder="1"/>
    <xf numFmtId="0" fontId="0" fillId="0" borderId="10" xfId="0" applyBorder="1"/>
    <xf numFmtId="3" fontId="165" fillId="0" borderId="15" xfId="0" applyNumberFormat="1" applyFont="1" applyBorder="1"/>
    <xf numFmtId="0" fontId="0" fillId="0" borderId="22" xfId="0" applyBorder="1"/>
    <xf numFmtId="0" fontId="0" fillId="51" borderId="10" xfId="0" applyFill="1" applyBorder="1"/>
    <xf numFmtId="0" fontId="0" fillId="51" borderId="22" xfId="0" applyFill="1" applyBorder="1"/>
    <xf numFmtId="0" fontId="0" fillId="51" borderId="12" xfId="0" applyFill="1" applyBorder="1"/>
    <xf numFmtId="0" fontId="0" fillId="51" borderId="35" xfId="0" applyFill="1" applyBorder="1"/>
    <xf numFmtId="3" fontId="165" fillId="0" borderId="36" xfId="0" applyNumberFormat="1" applyFont="1" applyBorder="1"/>
    <xf numFmtId="0" fontId="0" fillId="0" borderId="37" xfId="0" applyBorder="1"/>
    <xf numFmtId="0" fontId="0" fillId="0" borderId="38" xfId="0" applyBorder="1"/>
    <xf numFmtId="3" fontId="166" fillId="0" borderId="17" xfId="0" applyNumberFormat="1" applyFont="1" applyBorder="1"/>
    <xf numFmtId="0" fontId="164" fillId="0" borderId="19" xfId="0" applyFont="1" applyBorder="1" applyAlignment="1">
      <alignment horizontal="center" vertical="center" wrapText="1"/>
    </xf>
    <xf numFmtId="0" fontId="168" fillId="0" borderId="20" xfId="0" applyFont="1" applyFill="1" applyBorder="1" applyAlignment="1">
      <alignment horizontal="center" vertical="center"/>
    </xf>
    <xf numFmtId="0" fontId="168" fillId="0" borderId="112" xfId="0" applyFont="1" applyFill="1" applyBorder="1" applyAlignment="1">
      <alignment horizontal="center" vertical="center"/>
    </xf>
    <xf numFmtId="0" fontId="110" fillId="0" borderId="12" xfId="0" applyFont="1" applyBorder="1" applyAlignment="1">
      <alignment horizontal="center"/>
    </xf>
    <xf numFmtId="0" fontId="110" fillId="0" borderId="12" xfId="0" applyFont="1" applyFill="1" applyBorder="1" applyAlignment="1">
      <alignment horizontal="center"/>
    </xf>
    <xf numFmtId="0" fontId="168" fillId="0" borderId="12" xfId="0" applyFont="1" applyFill="1" applyBorder="1" applyAlignment="1">
      <alignment horizontal="center" vertical="center"/>
    </xf>
    <xf numFmtId="0" fontId="110" fillId="0" borderId="187" xfId="0" applyFont="1" applyBorder="1" applyAlignment="1">
      <alignment horizontal="center"/>
    </xf>
    <xf numFmtId="0" fontId="164" fillId="0" borderId="27" xfId="0" applyFont="1" applyBorder="1" applyAlignment="1">
      <alignment horizontal="center" vertical="center" wrapText="1"/>
    </xf>
    <xf numFmtId="0" fontId="168" fillId="0" borderId="35" xfId="0" applyFont="1" applyFill="1" applyBorder="1" applyAlignment="1">
      <alignment horizontal="center" vertical="center"/>
    </xf>
    <xf numFmtId="0" fontId="110" fillId="0" borderId="189" xfId="0" applyFont="1" applyBorder="1" applyAlignment="1">
      <alignment horizontal="center"/>
    </xf>
    <xf numFmtId="3" fontId="41" fillId="0" borderId="189" xfId="0" applyNumberFormat="1" applyFont="1" applyBorder="1"/>
    <xf numFmtId="3" fontId="41" fillId="0" borderId="72" xfId="0" applyNumberFormat="1" applyFont="1" applyBorder="1"/>
    <xf numFmtId="3" fontId="41" fillId="0" borderId="78" xfId="0" applyNumberFormat="1" applyFont="1" applyBorder="1"/>
    <xf numFmtId="3" fontId="40" fillId="0" borderId="161" xfId="0" applyNumberFormat="1" applyFont="1" applyBorder="1"/>
    <xf numFmtId="0" fontId="39" fillId="0" borderId="188" xfId="0" applyFont="1" applyBorder="1" applyAlignment="1">
      <alignment horizontal="center" vertical="center"/>
    </xf>
    <xf numFmtId="0" fontId="41" fillId="0" borderId="188" xfId="0" applyFont="1" applyBorder="1"/>
    <xf numFmtId="0" fontId="41" fillId="0" borderId="65" xfId="0" applyFont="1" applyBorder="1"/>
    <xf numFmtId="0" fontId="41" fillId="0" borderId="74" xfId="0" applyFont="1" applyBorder="1"/>
    <xf numFmtId="0" fontId="40" fillId="0" borderId="61" xfId="0" applyFont="1" applyBorder="1"/>
    <xf numFmtId="0" fontId="164" fillId="0" borderId="18" xfId="0" applyFont="1" applyBorder="1"/>
    <xf numFmtId="0" fontId="164" fillId="0" borderId="23" xfId="0" applyFont="1" applyBorder="1"/>
    <xf numFmtId="0" fontId="55" fillId="0" borderId="97" xfId="0" applyFont="1" applyBorder="1" applyAlignment="1">
      <alignment horizontal="center"/>
    </xf>
    <xf numFmtId="0" fontId="110" fillId="0" borderId="200" xfId="0" applyFont="1" applyBorder="1" applyAlignment="1">
      <alignment horizontal="center" vertical="center"/>
    </xf>
    <xf numFmtId="0" fontId="110" fillId="0" borderId="20" xfId="0" applyFont="1" applyBorder="1" applyAlignment="1">
      <alignment horizontal="center" vertical="center"/>
    </xf>
    <xf numFmtId="0" fontId="110" fillId="0" borderId="20" xfId="0" applyFont="1" applyFill="1" applyBorder="1" applyAlignment="1">
      <alignment horizontal="center" vertical="center"/>
    </xf>
    <xf numFmtId="0" fontId="110" fillId="0" borderId="173" xfId="0" applyFont="1" applyBorder="1" applyAlignment="1">
      <alignment horizontal="center" vertical="center"/>
    </xf>
    <xf numFmtId="0" fontId="169" fillId="0" borderId="0" xfId="0" applyFont="1" applyFill="1" applyBorder="1" applyAlignment="1">
      <alignment horizontal="left"/>
    </xf>
    <xf numFmtId="165" fontId="150" fillId="0" borderId="0" xfId="106" applyNumberFormat="1" applyFont="1" applyFill="1"/>
    <xf numFmtId="165" fontId="170" fillId="0" borderId="0" xfId="106" applyNumberFormat="1" applyFont="1" applyAlignment="1">
      <alignment vertical="top"/>
    </xf>
    <xf numFmtId="49" fontId="170" fillId="0" borderId="0" xfId="106" applyNumberFormat="1" applyFont="1"/>
    <xf numFmtId="165" fontId="170" fillId="0" borderId="0" xfId="106" applyNumberFormat="1" applyFont="1" applyAlignment="1">
      <alignment wrapText="1"/>
    </xf>
    <xf numFmtId="165" fontId="160" fillId="0" borderId="0" xfId="106" applyNumberFormat="1" applyFont="1"/>
    <xf numFmtId="165" fontId="171" fillId="0" borderId="0" xfId="106" applyNumberFormat="1" applyFont="1" applyAlignment="1"/>
    <xf numFmtId="49" fontId="151" fillId="0" borderId="0" xfId="106" applyNumberFormat="1" applyFont="1" applyAlignment="1"/>
    <xf numFmtId="165" fontId="151" fillId="0" borderId="0" xfId="106" applyNumberFormat="1" applyFont="1"/>
    <xf numFmtId="165" fontId="47" fillId="0" borderId="0" xfId="106" applyNumberFormat="1" applyFont="1" applyAlignment="1"/>
    <xf numFmtId="165" fontId="152" fillId="0" borderId="0" xfId="106" applyNumberFormat="1" applyFont="1" applyFill="1"/>
    <xf numFmtId="49" fontId="171" fillId="0" borderId="0" xfId="106" applyNumberFormat="1" applyFont="1"/>
    <xf numFmtId="165" fontId="171" fillId="0" borderId="0" xfId="106" applyNumberFormat="1" applyFont="1" applyAlignment="1">
      <alignment wrapText="1"/>
    </xf>
    <xf numFmtId="165" fontId="172" fillId="0" borderId="0" xfId="106" applyNumberFormat="1" applyFont="1"/>
    <xf numFmtId="165" fontId="171" fillId="0" borderId="0" xfId="106" applyNumberFormat="1" applyFont="1" applyBorder="1" applyAlignment="1"/>
    <xf numFmtId="165" fontId="47" fillId="0" borderId="0" xfId="106" applyNumberFormat="1" applyFont="1" applyBorder="1" applyAlignment="1"/>
    <xf numFmtId="165" fontId="153" fillId="0" borderId="0" xfId="106" applyNumberFormat="1" applyFont="1" applyFill="1"/>
    <xf numFmtId="49" fontId="154" fillId="46" borderId="79" xfId="106" applyNumberFormat="1" applyFont="1" applyFill="1" applyBorder="1" applyAlignment="1">
      <alignment horizontal="center" wrapText="1"/>
    </xf>
    <xf numFmtId="165" fontId="154" fillId="46" borderId="32" xfId="106" applyNumberFormat="1" applyFont="1" applyFill="1" applyBorder="1" applyAlignment="1">
      <alignment wrapText="1"/>
    </xf>
    <xf numFmtId="165" fontId="50" fillId="46" borderId="45" xfId="106" applyNumberFormat="1" applyFont="1" applyFill="1" applyBorder="1"/>
    <xf numFmtId="3" fontId="154" fillId="46" borderId="32" xfId="106" applyNumberFormat="1" applyFont="1" applyFill="1" applyBorder="1"/>
    <xf numFmtId="3" fontId="155" fillId="46" borderId="46" xfId="106" applyNumberFormat="1" applyFont="1" applyFill="1" applyBorder="1" applyAlignment="1">
      <alignment horizontal="center"/>
    </xf>
    <xf numFmtId="165" fontId="153" fillId="35" borderId="45" xfId="106" applyNumberFormat="1" applyFont="1" applyFill="1" applyBorder="1"/>
    <xf numFmtId="165" fontId="153" fillId="0" borderId="0" xfId="106" applyNumberFormat="1" applyFont="1" applyFill="1" applyAlignment="1"/>
    <xf numFmtId="49" fontId="154" fillId="46" borderId="10" xfId="106" applyNumberFormat="1" applyFont="1" applyFill="1" applyBorder="1" applyAlignment="1">
      <alignment wrapText="1"/>
    </xf>
    <xf numFmtId="165" fontId="154" fillId="46" borderId="10" xfId="106" applyNumberFormat="1" applyFont="1" applyFill="1" applyBorder="1" applyAlignment="1">
      <alignment wrapText="1"/>
    </xf>
    <xf numFmtId="165" fontId="50" fillId="46" borderId="10" xfId="106" applyNumberFormat="1" applyFont="1" applyFill="1" applyBorder="1" applyAlignment="1"/>
    <xf numFmtId="3" fontId="154" fillId="46" borderId="10" xfId="106" applyNumberFormat="1" applyFont="1" applyFill="1" applyBorder="1" applyAlignment="1"/>
    <xf numFmtId="3" fontId="154" fillId="46" borderId="65" xfId="106" applyNumberFormat="1" applyFont="1" applyFill="1" applyBorder="1" applyAlignment="1">
      <alignment horizontal="center"/>
    </xf>
    <xf numFmtId="1" fontId="154" fillId="35" borderId="72" xfId="106" applyNumberFormat="1" applyFont="1" applyFill="1" applyBorder="1" applyAlignment="1">
      <alignment horizontal="center"/>
    </xf>
    <xf numFmtId="1" fontId="154" fillId="29" borderId="22" xfId="106" applyNumberFormat="1" applyFont="1" applyFill="1" applyBorder="1" applyAlignment="1">
      <alignment horizontal="center"/>
    </xf>
    <xf numFmtId="165" fontId="153" fillId="35" borderId="0" xfId="106" applyNumberFormat="1" applyFont="1" applyFill="1" applyBorder="1" applyAlignment="1"/>
    <xf numFmtId="165" fontId="50" fillId="0" borderId="0" xfId="106" applyNumberFormat="1" applyFont="1" applyFill="1"/>
    <xf numFmtId="49" fontId="173" fillId="46" borderId="199" xfId="106" applyNumberFormat="1" applyFont="1" applyFill="1" applyBorder="1" applyAlignment="1">
      <alignment horizontal="center" wrapText="1"/>
    </xf>
    <xf numFmtId="165" fontId="156" fillId="46" borderId="40" xfId="106" applyNumberFormat="1" applyFont="1" applyFill="1" applyBorder="1" applyAlignment="1">
      <alignment wrapText="1"/>
    </xf>
    <xf numFmtId="165" fontId="50" fillId="46" borderId="43" xfId="106" applyNumberFormat="1" applyFont="1" applyFill="1" applyBorder="1"/>
    <xf numFmtId="3" fontId="156" fillId="46" borderId="40" xfId="106" applyNumberFormat="1" applyFont="1" applyFill="1" applyBorder="1" applyAlignment="1">
      <alignment horizontal="center" wrapText="1"/>
    </xf>
    <xf numFmtId="3" fontId="156" fillId="46" borderId="50" xfId="106" applyNumberFormat="1" applyFont="1" applyFill="1" applyBorder="1" applyAlignment="1">
      <alignment horizontal="center" wrapText="1"/>
    </xf>
    <xf numFmtId="3" fontId="173" fillId="48" borderId="199" xfId="106" applyNumberFormat="1" applyFont="1" applyFill="1" applyBorder="1" applyAlignment="1">
      <alignment horizontal="center" wrapText="1"/>
    </xf>
    <xf numFmtId="3" fontId="173" fillId="48" borderId="40" xfId="106" applyNumberFormat="1" applyFont="1" applyFill="1" applyBorder="1" applyAlignment="1">
      <alignment horizontal="center" wrapText="1"/>
    </xf>
    <xf numFmtId="3" fontId="173" fillId="48" borderId="41" xfId="106" applyNumberFormat="1" applyFont="1" applyFill="1" applyBorder="1" applyAlignment="1">
      <alignment horizontal="center" wrapText="1"/>
    </xf>
    <xf numFmtId="165" fontId="50" fillId="35" borderId="43" xfId="106" applyNumberFormat="1" applyFont="1" applyFill="1" applyBorder="1"/>
    <xf numFmtId="165" fontId="50" fillId="0" borderId="0" xfId="106" applyNumberFormat="1" applyFont="1" applyFill="1" applyBorder="1"/>
    <xf numFmtId="165" fontId="174" fillId="0" borderId="0" xfId="106" applyNumberFormat="1" applyFont="1" applyFill="1"/>
    <xf numFmtId="49" fontId="174" fillId="0" borderId="140" xfId="106" applyNumberFormat="1" applyFont="1" applyFill="1" applyBorder="1"/>
    <xf numFmtId="165" fontId="174" fillId="0" borderId="140" xfId="106" applyNumberFormat="1" applyFont="1" applyFill="1" applyBorder="1" applyAlignment="1">
      <alignment horizontal="left" wrapText="1"/>
    </xf>
    <xf numFmtId="165" fontId="159" fillId="0" borderId="140" xfId="106" applyNumberFormat="1" applyFont="1" applyFill="1" applyBorder="1" applyAlignment="1">
      <alignment horizontal="left" wrapText="1"/>
    </xf>
    <xf numFmtId="3" fontId="174" fillId="0" borderId="202" xfId="106" applyNumberFormat="1" applyFont="1" applyFill="1" applyBorder="1" applyAlignment="1">
      <alignment horizontal="right"/>
    </xf>
    <xf numFmtId="3" fontId="157" fillId="0" borderId="163" xfId="106" applyNumberFormat="1" applyFont="1" applyFill="1" applyBorder="1"/>
    <xf numFmtId="3" fontId="157" fillId="0" borderId="182" xfId="106" applyNumberFormat="1" applyFont="1" applyFill="1" applyBorder="1"/>
    <xf numFmtId="3" fontId="157" fillId="0" borderId="140" xfId="106" applyNumberFormat="1" applyFont="1" applyFill="1" applyBorder="1"/>
    <xf numFmtId="3" fontId="174" fillId="0" borderId="203" xfId="106" applyNumberFormat="1" applyFont="1" applyFill="1" applyBorder="1"/>
    <xf numFmtId="165" fontId="157" fillId="0" borderId="0" xfId="103" applyNumberFormat="1" applyFont="1"/>
    <xf numFmtId="49" fontId="157" fillId="0" borderId="87" xfId="106" applyNumberFormat="1" applyFont="1" applyFill="1" applyBorder="1"/>
    <xf numFmtId="165" fontId="174" fillId="0" borderId="87" xfId="106" applyNumberFormat="1" applyFont="1" applyFill="1" applyBorder="1" applyAlignment="1">
      <alignment horizontal="left" wrapText="1"/>
    </xf>
    <xf numFmtId="165" fontId="159" fillId="0" borderId="87" xfId="106" applyNumberFormat="1" applyFont="1" applyFill="1" applyBorder="1" applyAlignment="1">
      <alignment horizontal="left" wrapText="1"/>
    </xf>
    <xf numFmtId="3" fontId="174" fillId="0" borderId="88" xfId="106" applyNumberFormat="1" applyFont="1" applyFill="1" applyBorder="1" applyAlignment="1">
      <alignment horizontal="right"/>
    </xf>
    <xf numFmtId="3" fontId="157" fillId="0" borderId="81" xfId="106" applyNumberFormat="1" applyFont="1" applyFill="1" applyBorder="1"/>
    <xf numFmtId="3" fontId="157" fillId="0" borderId="86" xfId="106" applyNumberFormat="1" applyFont="1" applyFill="1" applyBorder="1"/>
    <xf numFmtId="3" fontId="157" fillId="0" borderId="87" xfId="106" applyNumberFormat="1" applyFont="1" applyFill="1" applyBorder="1"/>
    <xf numFmtId="3" fontId="174" fillId="0" borderId="205" xfId="106" applyNumberFormat="1" applyFont="1" applyFill="1" applyBorder="1"/>
    <xf numFmtId="165" fontId="157" fillId="0" borderId="0" xfId="103" applyNumberFormat="1" applyFont="1" applyFill="1"/>
    <xf numFmtId="165" fontId="154" fillId="0" borderId="0" xfId="106" applyNumberFormat="1" applyFont="1" applyFill="1"/>
    <xf numFmtId="49" fontId="154" fillId="0" borderId="87" xfId="106" applyNumberFormat="1" applyFont="1" applyFill="1" applyBorder="1"/>
    <xf numFmtId="165" fontId="154" fillId="0" borderId="87" xfId="106" applyNumberFormat="1" applyFont="1" applyFill="1" applyBorder="1" applyAlignment="1">
      <alignment horizontal="left" wrapText="1"/>
    </xf>
    <xf numFmtId="165" fontId="50" fillId="0" borderId="87" xfId="106" applyNumberFormat="1" applyFont="1" applyFill="1" applyBorder="1" applyAlignment="1">
      <alignment horizontal="left"/>
    </xf>
    <xf numFmtId="3" fontId="162" fillId="0" borderId="88" xfId="106" applyNumberFormat="1" applyFont="1" applyFill="1" applyBorder="1" applyAlignment="1">
      <alignment horizontal="right"/>
    </xf>
    <xf numFmtId="3" fontId="154" fillId="43" borderId="81" xfId="106" applyNumberFormat="1" applyFont="1" applyFill="1" applyBorder="1"/>
    <xf numFmtId="3" fontId="154" fillId="0" borderId="86" xfId="106" applyNumberFormat="1" applyFont="1" applyFill="1" applyBorder="1"/>
    <xf numFmtId="3" fontId="154" fillId="0" borderId="87" xfId="106" applyNumberFormat="1" applyFont="1" applyFill="1" applyBorder="1"/>
    <xf numFmtId="3" fontId="154" fillId="0" borderId="205" xfId="106" applyNumberFormat="1" applyFont="1" applyFill="1" applyBorder="1"/>
    <xf numFmtId="165" fontId="174" fillId="49" borderId="206" xfId="106" applyNumberFormat="1" applyFont="1" applyFill="1" applyBorder="1" applyAlignment="1">
      <alignment vertical="top"/>
    </xf>
    <xf numFmtId="49" fontId="174" fillId="49" borderId="135" xfId="106" applyNumberFormat="1" applyFont="1" applyFill="1" applyBorder="1"/>
    <xf numFmtId="165" fontId="174" fillId="49" borderId="135" xfId="106" applyNumberFormat="1" applyFont="1" applyFill="1" applyBorder="1" applyAlignment="1">
      <alignment horizontal="left" wrapText="1"/>
    </xf>
    <xf numFmtId="165" fontId="159" fillId="49" borderId="135" xfId="106" applyNumberFormat="1" applyFont="1" applyFill="1" applyBorder="1" applyAlignment="1">
      <alignment horizontal="left"/>
    </xf>
    <xf numFmtId="3" fontId="174" fillId="49" borderId="169" xfId="106" applyNumberFormat="1" applyFont="1" applyFill="1" applyBorder="1" applyAlignment="1">
      <alignment horizontal="right"/>
    </xf>
    <xf numFmtId="3" fontId="157" fillId="52" borderId="146" xfId="106" applyNumberFormat="1" applyFont="1" applyFill="1" applyBorder="1"/>
    <xf numFmtId="3" fontId="176" fillId="49" borderId="155" xfId="106" applyNumberFormat="1" applyFont="1" applyFill="1" applyBorder="1"/>
    <xf numFmtId="3" fontId="174" fillId="49" borderId="135" xfId="106" applyNumberFormat="1" applyFont="1" applyFill="1" applyBorder="1"/>
    <xf numFmtId="3" fontId="174" fillId="49" borderId="207" xfId="106" applyNumberFormat="1" applyFont="1" applyFill="1" applyBorder="1"/>
    <xf numFmtId="165" fontId="174" fillId="49" borderId="0" xfId="106" applyNumberFormat="1" applyFont="1" applyFill="1"/>
    <xf numFmtId="49" fontId="157" fillId="0" borderId="140" xfId="106" applyNumberFormat="1" applyFont="1" applyFill="1" applyBorder="1"/>
    <xf numFmtId="3" fontId="174" fillId="0" borderId="140" xfId="106" applyNumberFormat="1" applyFont="1" applyFill="1" applyBorder="1"/>
    <xf numFmtId="49" fontId="174" fillId="0" borderId="87" xfId="106" applyNumberFormat="1" applyFont="1" applyFill="1" applyBorder="1"/>
    <xf numFmtId="3" fontId="174" fillId="0" borderId="87" xfId="106" applyNumberFormat="1" applyFont="1" applyFill="1" applyBorder="1"/>
    <xf numFmtId="3" fontId="174" fillId="52" borderId="146" xfId="106" applyNumberFormat="1" applyFont="1" applyFill="1" applyBorder="1"/>
    <xf numFmtId="3" fontId="159" fillId="0" borderId="140" xfId="106" applyNumberFormat="1" applyFont="1" applyFill="1" applyBorder="1" applyAlignment="1">
      <alignment horizontal="left"/>
    </xf>
    <xf numFmtId="3" fontId="174" fillId="0" borderId="88" xfId="106" applyNumberFormat="1" applyFont="1" applyFill="1" applyBorder="1" applyAlignment="1">
      <alignment horizontal="right" wrapText="1"/>
    </xf>
    <xf numFmtId="165" fontId="154" fillId="0" borderId="0" xfId="103" applyNumberFormat="1" applyFont="1" applyFill="1"/>
    <xf numFmtId="165" fontId="174" fillId="50" borderId="206" xfId="106" applyNumberFormat="1" applyFont="1" applyFill="1" applyBorder="1" applyAlignment="1">
      <alignment vertical="top"/>
    </xf>
    <xf numFmtId="49" fontId="174" fillId="50" borderId="135" xfId="106" applyNumberFormat="1" applyFont="1" applyFill="1" applyBorder="1"/>
    <xf numFmtId="165" fontId="174" fillId="50" borderId="135" xfId="106" applyNumberFormat="1" applyFont="1" applyFill="1" applyBorder="1" applyAlignment="1">
      <alignment horizontal="left" wrapText="1"/>
    </xf>
    <xf numFmtId="165" fontId="159" fillId="50" borderId="135" xfId="106" applyNumberFormat="1" applyFont="1" applyFill="1" applyBorder="1" applyAlignment="1">
      <alignment horizontal="left"/>
    </xf>
    <xf numFmtId="3" fontId="174" fillId="50" borderId="169" xfId="106" applyNumberFormat="1" applyFont="1" applyFill="1" applyBorder="1" applyAlignment="1">
      <alignment horizontal="right"/>
    </xf>
    <xf numFmtId="3" fontId="176" fillId="50" borderId="155" xfId="106" applyNumberFormat="1" applyFont="1" applyFill="1" applyBorder="1"/>
    <xf numFmtId="3" fontId="174" fillId="50" borderId="135" xfId="106" applyNumberFormat="1" applyFont="1" applyFill="1" applyBorder="1"/>
    <xf numFmtId="3" fontId="174" fillId="50" borderId="207" xfId="106" applyNumberFormat="1" applyFont="1" applyFill="1" applyBorder="1"/>
    <xf numFmtId="165" fontId="159" fillId="0" borderId="140" xfId="106" applyNumberFormat="1" applyFont="1" applyFill="1" applyBorder="1" applyAlignment="1">
      <alignment horizontal="left"/>
    </xf>
    <xf numFmtId="3" fontId="174" fillId="0" borderId="163" xfId="106" applyNumberFormat="1" applyFont="1" applyFill="1" applyBorder="1"/>
    <xf numFmtId="3" fontId="157" fillId="0" borderId="182" xfId="106" applyNumberFormat="1" applyFont="1" applyFill="1" applyBorder="1" applyAlignment="1">
      <alignment horizontal="right" vertical="center"/>
    </xf>
    <xf numFmtId="165" fontId="159" fillId="0" borderId="87" xfId="106" applyNumberFormat="1" applyFont="1" applyFill="1" applyBorder="1" applyAlignment="1">
      <alignment horizontal="left"/>
    </xf>
    <xf numFmtId="49" fontId="174" fillId="0" borderId="140" xfId="106" applyNumberFormat="1" applyFont="1" applyFill="1" applyBorder="1" applyAlignment="1">
      <alignment vertical="center"/>
    </xf>
    <xf numFmtId="49" fontId="174" fillId="0" borderId="87" xfId="106" applyNumberFormat="1" applyFont="1" applyFill="1" applyBorder="1" applyAlignment="1">
      <alignment vertical="center"/>
    </xf>
    <xf numFmtId="165" fontId="175" fillId="0" borderId="0" xfId="106" applyNumberFormat="1" applyFont="1" applyFill="1"/>
    <xf numFmtId="49" fontId="175" fillId="0" borderId="87" xfId="106" applyNumberFormat="1" applyFont="1" applyFill="1" applyBorder="1" applyAlignment="1">
      <alignment vertical="center"/>
    </xf>
    <xf numFmtId="165" fontId="175" fillId="0" borderId="87" xfId="106" applyNumberFormat="1" applyFont="1" applyFill="1" applyBorder="1" applyAlignment="1">
      <alignment horizontal="left" wrapText="1"/>
    </xf>
    <xf numFmtId="165" fontId="177" fillId="0" borderId="87" xfId="106" applyNumberFormat="1" applyFont="1" applyFill="1" applyBorder="1" applyAlignment="1">
      <alignment horizontal="left"/>
    </xf>
    <xf numFmtId="3" fontId="178" fillId="0" borderId="88" xfId="106" applyNumberFormat="1" applyFont="1" applyFill="1" applyBorder="1" applyAlignment="1">
      <alignment horizontal="right"/>
    </xf>
    <xf numFmtId="3" fontId="175" fillId="0" borderId="87" xfId="106" applyNumberFormat="1" applyFont="1" applyFill="1" applyBorder="1"/>
    <xf numFmtId="3" fontId="175" fillId="0" borderId="205" xfId="106" applyNumberFormat="1" applyFont="1" applyFill="1" applyBorder="1"/>
    <xf numFmtId="165" fontId="154" fillId="0" borderId="0" xfId="103" applyNumberFormat="1" applyFont="1"/>
    <xf numFmtId="165" fontId="175" fillId="43" borderId="206" xfId="106" applyNumberFormat="1" applyFont="1" applyFill="1" applyBorder="1" applyAlignment="1">
      <alignment vertical="top"/>
    </xf>
    <xf numFmtId="49" fontId="174" fillId="43" borderId="135" xfId="106" applyNumberFormat="1" applyFont="1" applyFill="1" applyBorder="1" applyAlignment="1">
      <alignment vertical="center"/>
    </xf>
    <xf numFmtId="165" fontId="174" fillId="43" borderId="135" xfId="106" applyNumberFormat="1" applyFont="1" applyFill="1" applyBorder="1" applyAlignment="1">
      <alignment horizontal="left" wrapText="1"/>
    </xf>
    <xf numFmtId="165" fontId="159" fillId="43" borderId="135" xfId="106" applyNumberFormat="1" applyFont="1" applyFill="1" applyBorder="1" applyAlignment="1">
      <alignment horizontal="left"/>
    </xf>
    <xf numFmtId="3" fontId="174" fillId="43" borderId="169" xfId="106" applyNumberFormat="1" applyFont="1" applyFill="1" applyBorder="1" applyAlignment="1">
      <alignment horizontal="right"/>
    </xf>
    <xf numFmtId="3" fontId="157" fillId="43" borderId="155" xfId="106" applyNumberFormat="1" applyFont="1" applyFill="1" applyBorder="1"/>
    <xf numFmtId="3" fontId="174" fillId="43" borderId="135" xfId="106" applyNumberFormat="1" applyFont="1" applyFill="1" applyBorder="1"/>
    <xf numFmtId="3" fontId="174" fillId="43" borderId="207" xfId="106" applyNumberFormat="1" applyFont="1" applyFill="1" applyBorder="1"/>
    <xf numFmtId="165" fontId="174" fillId="49" borderId="135" xfId="106" applyNumberFormat="1" applyFont="1" applyFill="1" applyBorder="1" applyAlignment="1">
      <alignment horizontal="left"/>
    </xf>
    <xf numFmtId="165" fontId="179" fillId="0" borderId="87" xfId="106" applyNumberFormat="1" applyFont="1" applyFill="1" applyBorder="1" applyAlignment="1">
      <alignment horizontal="left" wrapText="1"/>
    </xf>
    <xf numFmtId="165" fontId="180" fillId="0" borderId="87" xfId="106" applyNumberFormat="1" applyFont="1" applyFill="1" applyBorder="1" applyAlignment="1">
      <alignment horizontal="left" wrapText="1"/>
    </xf>
    <xf numFmtId="3" fontId="179" fillId="0" borderId="88" xfId="106" applyNumberFormat="1" applyFont="1" applyFill="1" applyBorder="1" applyAlignment="1">
      <alignment horizontal="right"/>
    </xf>
    <xf numFmtId="3" fontId="179" fillId="0" borderId="81" xfId="106" applyNumberFormat="1" applyFont="1" applyFill="1" applyBorder="1"/>
    <xf numFmtId="3" fontId="179" fillId="0" borderId="86" xfId="106" applyNumberFormat="1" applyFont="1" applyFill="1" applyBorder="1"/>
    <xf numFmtId="165" fontId="179" fillId="0" borderId="0" xfId="103" applyNumberFormat="1" applyFont="1" applyFill="1"/>
    <xf numFmtId="165" fontId="162" fillId="0" borderId="87" xfId="106" applyNumberFormat="1" applyFont="1" applyFill="1" applyBorder="1" applyAlignment="1">
      <alignment horizontal="left" wrapText="1"/>
    </xf>
    <xf numFmtId="165" fontId="174" fillId="49" borderId="135" xfId="106" applyNumberFormat="1" applyFont="1" applyFill="1" applyBorder="1" applyAlignment="1">
      <alignment wrapText="1"/>
    </xf>
    <xf numFmtId="165" fontId="159" fillId="49" borderId="135" xfId="106" applyNumberFormat="1" applyFont="1" applyFill="1" applyBorder="1" applyAlignment="1"/>
    <xf numFmtId="3" fontId="176" fillId="49" borderId="90" xfId="106" applyNumberFormat="1" applyFont="1" applyFill="1" applyBorder="1"/>
    <xf numFmtId="3" fontId="174" fillId="49" borderId="91" xfId="106" applyNumberFormat="1" applyFont="1" applyFill="1" applyBorder="1"/>
    <xf numFmtId="165" fontId="162" fillId="0" borderId="0" xfId="106" applyNumberFormat="1" applyFont="1" applyFill="1"/>
    <xf numFmtId="165" fontId="156" fillId="49" borderId="43" xfId="106" applyNumberFormat="1" applyFont="1" applyFill="1" applyBorder="1" applyAlignment="1">
      <alignment wrapText="1"/>
    </xf>
    <xf numFmtId="165" fontId="160" fillId="49" borderId="43" xfId="106" applyNumberFormat="1" applyFont="1" applyFill="1" applyBorder="1" applyAlignment="1"/>
    <xf numFmtId="3" fontId="162" fillId="49" borderId="43" xfId="106" applyNumberFormat="1" applyFont="1" applyFill="1" applyBorder="1" applyAlignment="1">
      <alignment horizontal="right"/>
    </xf>
    <xf numFmtId="3" fontId="162" fillId="52" borderId="50" xfId="106" applyNumberFormat="1" applyFont="1" applyFill="1" applyBorder="1"/>
    <xf numFmtId="3" fontId="162" fillId="49" borderId="61" xfId="106" applyNumberFormat="1" applyFont="1" applyFill="1" applyBorder="1"/>
    <xf numFmtId="3" fontId="162" fillId="49" borderId="51" xfId="106" applyNumberFormat="1" applyFont="1" applyFill="1" applyBorder="1"/>
    <xf numFmtId="165" fontId="162" fillId="49" borderId="0" xfId="106" applyNumberFormat="1" applyFont="1" applyFill="1"/>
    <xf numFmtId="165" fontId="162" fillId="0" borderId="0" xfId="103" applyNumberFormat="1" applyFont="1" applyFill="1"/>
    <xf numFmtId="165" fontId="170" fillId="0" borderId="0" xfId="106" applyNumberFormat="1" applyFont="1" applyFill="1"/>
    <xf numFmtId="165" fontId="170" fillId="0" borderId="40" xfId="106" applyNumberFormat="1" applyFont="1" applyFill="1" applyBorder="1" applyAlignment="1">
      <alignment wrapText="1"/>
    </xf>
    <xf numFmtId="165" fontId="160" fillId="0" borderId="49" xfId="106" applyNumberFormat="1" applyFont="1" applyFill="1" applyBorder="1" applyAlignment="1"/>
    <xf numFmtId="3" fontId="170" fillId="0" borderId="48" xfId="106" applyNumberFormat="1" applyFont="1" applyFill="1" applyBorder="1" applyAlignment="1">
      <alignment horizontal="right"/>
    </xf>
    <xf numFmtId="3" fontId="170" fillId="52" borderId="50" xfId="106" applyNumberFormat="1" applyFont="1" applyFill="1" applyBorder="1"/>
    <xf numFmtId="3" fontId="170" fillId="0" borderId="50" xfId="106" applyNumberFormat="1" applyFont="1" applyFill="1" applyBorder="1"/>
    <xf numFmtId="165" fontId="181" fillId="0" borderId="0" xfId="103" applyNumberFormat="1" applyFont="1"/>
    <xf numFmtId="165" fontId="159" fillId="0" borderId="0" xfId="106" applyNumberFormat="1" applyFont="1" applyFill="1"/>
    <xf numFmtId="3" fontId="153" fillId="0" borderId="0" xfId="106" applyNumberFormat="1" applyFont="1" applyFill="1"/>
    <xf numFmtId="3" fontId="161" fillId="0" borderId="0" xfId="106" applyNumberFormat="1" applyFont="1" applyFill="1"/>
    <xf numFmtId="165" fontId="50" fillId="0" borderId="0" xfId="103" applyNumberFormat="1" applyFont="1" applyAlignment="1">
      <alignment vertical="top"/>
    </xf>
    <xf numFmtId="171" fontId="158" fillId="0" borderId="0" xfId="107" applyNumberFormat="1" applyFont="1"/>
    <xf numFmtId="0" fontId="183" fillId="44" borderId="13" xfId="0" applyFont="1" applyFill="1" applyBorder="1" applyAlignment="1">
      <alignment horizontal="center" vertical="center"/>
    </xf>
    <xf numFmtId="0" fontId="183" fillId="47" borderId="14" xfId="0" applyFont="1" applyFill="1" applyBorder="1" applyAlignment="1">
      <alignment horizontal="center" vertical="center" wrapText="1"/>
    </xf>
    <xf numFmtId="0" fontId="183" fillId="38" borderId="14" xfId="0" applyFont="1" applyFill="1" applyBorder="1" applyAlignment="1">
      <alignment horizontal="center" vertical="center"/>
    </xf>
    <xf numFmtId="0" fontId="183" fillId="53" borderId="14" xfId="0" applyFont="1" applyFill="1" applyBorder="1" applyAlignment="1">
      <alignment horizontal="center" vertical="center"/>
    </xf>
    <xf numFmtId="0" fontId="183" fillId="54" borderId="21" xfId="0" applyFont="1" applyFill="1" applyBorder="1" applyAlignment="1">
      <alignment horizontal="center" vertical="center" wrapText="1"/>
    </xf>
    <xf numFmtId="3" fontId="0" fillId="0" borderId="19" xfId="0" applyNumberFormat="1" applyBorder="1"/>
    <xf numFmtId="3" fontId="0" fillId="0" borderId="20" xfId="0" applyNumberFormat="1" applyBorder="1"/>
    <xf numFmtId="3" fontId="0" fillId="0" borderId="112" xfId="0" applyNumberFormat="1" applyBorder="1"/>
    <xf numFmtId="0" fontId="183" fillId="47" borderId="13" xfId="0" applyFont="1" applyFill="1" applyBorder="1" applyAlignment="1">
      <alignment horizontal="center" vertical="center"/>
    </xf>
    <xf numFmtId="0" fontId="183" fillId="55" borderId="14" xfId="0" applyFont="1" applyFill="1" applyBorder="1" applyAlignment="1">
      <alignment horizontal="center" vertical="center" wrapText="1"/>
    </xf>
    <xf numFmtId="0" fontId="183" fillId="53" borderId="14" xfId="0" applyFont="1" applyFill="1" applyBorder="1" applyAlignment="1">
      <alignment horizontal="center" vertical="center" wrapText="1"/>
    </xf>
    <xf numFmtId="0" fontId="183" fillId="54" borderId="14" xfId="0" applyFont="1" applyFill="1" applyBorder="1" applyAlignment="1">
      <alignment horizontal="center" vertical="center" wrapText="1"/>
    </xf>
    <xf numFmtId="0" fontId="183" fillId="38" borderId="186" xfId="0" applyFont="1" applyFill="1" applyBorder="1" applyAlignment="1">
      <alignment horizontal="center" vertical="center" wrapText="1"/>
    </xf>
    <xf numFmtId="0" fontId="183" fillId="47" borderId="63" xfId="0" applyFont="1" applyFill="1" applyBorder="1" applyAlignment="1">
      <alignment horizontal="center" vertical="center" wrapText="1"/>
    </xf>
    <xf numFmtId="0" fontId="184" fillId="0" borderId="15" xfId="0" applyFont="1" applyBorder="1"/>
    <xf numFmtId="3" fontId="0" fillId="0" borderId="160" xfId="0" applyNumberFormat="1" applyBorder="1"/>
    <xf numFmtId="3" fontId="0" fillId="0" borderId="65" xfId="0" applyNumberFormat="1" applyBorder="1"/>
    <xf numFmtId="0" fontId="185" fillId="0" borderId="15" xfId="0" applyFont="1" applyBorder="1"/>
    <xf numFmtId="0" fontId="183" fillId="47" borderId="19" xfId="0" applyFont="1" applyFill="1" applyBorder="1"/>
    <xf numFmtId="3" fontId="110" fillId="47" borderId="20" xfId="0" applyNumberFormat="1" applyFont="1" applyFill="1" applyBorder="1"/>
    <xf numFmtId="3" fontId="110" fillId="47" borderId="173" xfId="0" applyNumberFormat="1" applyFont="1" applyFill="1" applyBorder="1"/>
    <xf numFmtId="3" fontId="110" fillId="47" borderId="16" xfId="0" applyNumberFormat="1" applyFont="1" applyFill="1" applyBorder="1"/>
    <xf numFmtId="0" fontId="79" fillId="0" borderId="122" xfId="0" applyFont="1" applyFill="1" applyBorder="1"/>
    <xf numFmtId="3" fontId="79" fillId="36" borderId="209" xfId="0" applyNumberFormat="1" applyFont="1" applyFill="1" applyBorder="1"/>
    <xf numFmtId="3" fontId="79" fillId="0" borderId="125" xfId="0" applyNumberFormat="1" applyFont="1" applyFill="1" applyBorder="1"/>
    <xf numFmtId="3" fontId="79" fillId="0" borderId="126" xfId="0" applyNumberFormat="1" applyFont="1" applyFill="1" applyBorder="1"/>
    <xf numFmtId="10" fontId="79" fillId="0" borderId="126" xfId="0" applyNumberFormat="1" applyFont="1" applyFill="1" applyBorder="1"/>
    <xf numFmtId="3" fontId="79" fillId="36" borderId="100" xfId="0" applyNumberFormat="1" applyFont="1" applyFill="1" applyBorder="1"/>
    <xf numFmtId="3" fontId="79" fillId="0" borderId="210" xfId="0" applyNumberFormat="1" applyFont="1" applyFill="1" applyBorder="1"/>
    <xf numFmtId="4" fontId="79" fillId="0" borderId="122" xfId="0" applyNumberFormat="1" applyFont="1" applyFill="1" applyBorder="1"/>
    <xf numFmtId="0" fontId="79" fillId="0" borderId="39" xfId="0" applyFont="1" applyFill="1" applyBorder="1"/>
    <xf numFmtId="0" fontId="79" fillId="36" borderId="211" xfId="0" applyFont="1" applyFill="1" applyBorder="1" applyAlignment="1">
      <alignment horizontal="center"/>
    </xf>
    <xf numFmtId="0" fontId="79" fillId="0" borderId="94" xfId="0" applyFont="1" applyFill="1" applyBorder="1" applyAlignment="1">
      <alignment horizontal="center"/>
    </xf>
    <xf numFmtId="0" fontId="79" fillId="0" borderId="95" xfId="0" applyFont="1" applyFill="1" applyBorder="1" applyAlignment="1">
      <alignment horizontal="center"/>
    </xf>
    <xf numFmtId="0" fontId="79" fillId="36" borderId="95" xfId="0" applyFont="1" applyFill="1" applyBorder="1" applyAlignment="1">
      <alignment horizontal="center"/>
    </xf>
    <xf numFmtId="1" fontId="79" fillId="0" borderId="96" xfId="0" applyNumberFormat="1" applyFont="1" applyFill="1" applyBorder="1" applyAlignment="1">
      <alignment horizontal="center"/>
    </xf>
    <xf numFmtId="1" fontId="79" fillId="0" borderId="39" xfId="0" applyNumberFormat="1" applyFont="1" applyFill="1" applyBorder="1" applyAlignment="1">
      <alignment horizontal="center"/>
    </xf>
    <xf numFmtId="16" fontId="79" fillId="36" borderId="61" xfId="0" applyNumberFormat="1" applyFont="1" applyFill="1" applyBorder="1" applyAlignment="1">
      <alignment horizontal="center"/>
    </xf>
    <xf numFmtId="1" fontId="79" fillId="38" borderId="61" xfId="0" applyNumberFormat="1" applyFont="1" applyFill="1" applyBorder="1" applyAlignment="1">
      <alignment horizontal="center"/>
    </xf>
    <xf numFmtId="0" fontId="82" fillId="0" borderId="57" xfId="0" applyFont="1" applyFill="1" applyBorder="1" applyAlignment="1">
      <alignment horizontal="center"/>
    </xf>
    <xf numFmtId="0" fontId="123" fillId="0" borderId="0" xfId="0" applyFont="1" applyFill="1"/>
    <xf numFmtId="0" fontId="55" fillId="0" borderId="0" xfId="0" applyFont="1" applyFill="1" applyAlignment="1">
      <alignment wrapText="1"/>
    </xf>
    <xf numFmtId="0" fontId="119" fillId="0" borderId="42" xfId="0" applyFont="1" applyFill="1" applyBorder="1" applyAlignment="1">
      <alignment horizontal="center" vertical="center" wrapText="1"/>
    </xf>
    <xf numFmtId="0" fontId="119" fillId="0" borderId="45" xfId="0" applyFont="1" applyBorder="1" applyAlignment="1">
      <alignment horizontal="center" vertical="center" wrapText="1"/>
    </xf>
    <xf numFmtId="0" fontId="119" fillId="0" borderId="57" xfId="0" applyFont="1" applyBorder="1" applyAlignment="1">
      <alignment horizontal="center" vertical="center" wrapText="1"/>
    </xf>
    <xf numFmtId="0" fontId="119" fillId="0" borderId="0" xfId="0" applyFont="1" applyBorder="1" applyAlignment="1">
      <alignment horizontal="center" vertical="center" wrapText="1"/>
    </xf>
    <xf numFmtId="0" fontId="119" fillId="0" borderId="24" xfId="0" applyFont="1" applyFill="1" applyBorder="1" applyAlignment="1">
      <alignment horizontal="center" vertical="center"/>
    </xf>
    <xf numFmtId="0" fontId="119" fillId="0" borderId="141" xfId="0" applyFont="1" applyFill="1" applyBorder="1" applyAlignment="1">
      <alignment horizontal="center" vertical="center"/>
    </xf>
    <xf numFmtId="0" fontId="56" fillId="0" borderId="42" xfId="0" applyFont="1" applyFill="1" applyBorder="1" applyAlignment="1">
      <alignment wrapText="1"/>
    </xf>
    <xf numFmtId="0" fontId="56" fillId="0" borderId="45" xfId="0" applyFont="1" applyBorder="1" applyAlignment="1">
      <alignment wrapText="1"/>
    </xf>
    <xf numFmtId="0" fontId="57" fillId="0" borderId="42" xfId="0" applyFont="1" applyFill="1" applyBorder="1" applyAlignment="1">
      <alignment wrapText="1"/>
    </xf>
    <xf numFmtId="0" fontId="57" fillId="0" borderId="45" xfId="0" applyFont="1" applyBorder="1" applyAlignment="1">
      <alignment wrapText="1"/>
    </xf>
    <xf numFmtId="0" fontId="57" fillId="0" borderId="57" xfId="0" applyFont="1" applyBorder="1" applyAlignment="1">
      <alignment wrapText="1"/>
    </xf>
    <xf numFmtId="0" fontId="57" fillId="0" borderId="0" xfId="0" applyFont="1" applyBorder="1" applyAlignment="1">
      <alignment wrapText="1"/>
    </xf>
    <xf numFmtId="0" fontId="56" fillId="0" borderId="69" xfId="0" applyFont="1" applyFill="1" applyBorder="1" applyAlignment="1">
      <alignment horizontal="center" wrapText="1"/>
    </xf>
    <xf numFmtId="0" fontId="56" fillId="0" borderId="190" xfId="0" applyFont="1" applyFill="1" applyBorder="1" applyAlignment="1">
      <alignment horizontal="center" wrapText="1"/>
    </xf>
    <xf numFmtId="49" fontId="56" fillId="26" borderId="46" xfId="0" applyNumberFormat="1" applyFont="1" applyFill="1" applyBorder="1" applyAlignment="1">
      <alignment horizontal="center" wrapText="1"/>
    </xf>
    <xf numFmtId="49" fontId="56" fillId="26" borderId="188" xfId="0" applyNumberFormat="1" applyFont="1" applyFill="1" applyBorder="1" applyAlignment="1">
      <alignment horizontal="center" wrapText="1"/>
    </xf>
    <xf numFmtId="0" fontId="186" fillId="0" borderId="45" xfId="0" applyFont="1" applyBorder="1" applyAlignment="1">
      <alignment horizontal="left" wrapText="1"/>
    </xf>
    <xf numFmtId="0" fontId="186" fillId="0" borderId="0" xfId="0" applyFont="1" applyAlignment="1">
      <alignment horizontal="left" wrapText="1"/>
    </xf>
    <xf numFmtId="0" fontId="61" fillId="0" borderId="60" xfId="0" applyFont="1" applyFill="1" applyBorder="1" applyAlignment="1">
      <alignment horizontal="center"/>
    </xf>
    <xf numFmtId="0" fontId="55" fillId="0" borderId="31" xfId="0" applyFont="1" applyBorder="1" applyAlignment="1">
      <alignment horizontal="center"/>
    </xf>
    <xf numFmtId="0" fontId="55" fillId="0" borderId="62" xfId="0" applyFont="1" applyBorder="1" applyAlignment="1">
      <alignment horizontal="center"/>
    </xf>
    <xf numFmtId="0" fontId="61" fillId="0" borderId="66" xfId="0" applyFont="1" applyFill="1" applyBorder="1" applyAlignment="1">
      <alignment horizontal="center"/>
    </xf>
    <xf numFmtId="0" fontId="61" fillId="0" borderId="73" xfId="0" applyFont="1" applyFill="1" applyBorder="1" applyAlignment="1">
      <alignment horizontal="center"/>
    </xf>
    <xf numFmtId="0" fontId="61" fillId="0" borderId="67" xfId="0" applyFont="1" applyFill="1" applyBorder="1" applyAlignment="1">
      <alignment horizontal="center"/>
    </xf>
    <xf numFmtId="0" fontId="55" fillId="0" borderId="73" xfId="0" applyFont="1" applyFill="1" applyBorder="1" applyAlignment="1">
      <alignment horizontal="center"/>
    </xf>
    <xf numFmtId="0" fontId="55" fillId="0" borderId="67" xfId="0" applyFont="1" applyFill="1" applyBorder="1" applyAlignment="1">
      <alignment horizontal="center"/>
    </xf>
    <xf numFmtId="0" fontId="79" fillId="0" borderId="186" xfId="0" applyFont="1" applyFill="1" applyBorder="1" applyAlignment="1">
      <alignment horizontal="left"/>
    </xf>
    <xf numFmtId="0" fontId="55" fillId="0" borderId="73" xfId="0" applyFont="1" applyBorder="1" applyAlignment="1">
      <alignment horizontal="left"/>
    </xf>
    <xf numFmtId="0" fontId="55" fillId="0" borderId="67" xfId="0" applyFont="1" applyBorder="1" applyAlignment="1">
      <alignment horizontal="left"/>
    </xf>
    <xf numFmtId="0" fontId="55" fillId="0" borderId="48" xfId="0" applyFont="1" applyFill="1" applyBorder="1" applyAlignment="1">
      <alignment horizontal="center"/>
    </xf>
    <xf numFmtId="0" fontId="55" fillId="0" borderId="51" xfId="0" applyFont="1" applyFill="1" applyBorder="1" applyAlignment="1">
      <alignment horizontal="center"/>
    </xf>
    <xf numFmtId="0" fontId="56" fillId="0" borderId="20" xfId="0" applyFont="1" applyFill="1" applyBorder="1" applyAlignment="1">
      <alignment horizontal="left"/>
    </xf>
    <xf numFmtId="0" fontId="56" fillId="0" borderId="14" xfId="0" applyFont="1" applyFill="1" applyBorder="1" applyAlignment="1">
      <alignment horizontal="left"/>
    </xf>
    <xf numFmtId="0" fontId="56" fillId="0" borderId="10" xfId="0" applyFont="1" applyFill="1" applyBorder="1" applyAlignment="1">
      <alignment horizontal="left"/>
    </xf>
    <xf numFmtId="0" fontId="79" fillId="38" borderId="46" xfId="0" applyFont="1" applyFill="1" applyBorder="1" applyAlignment="1">
      <alignment horizontal="center" vertical="center"/>
    </xf>
    <xf numFmtId="0" fontId="79" fillId="38" borderId="58" xfId="0" applyFont="1" applyFill="1" applyBorder="1" applyAlignment="1">
      <alignment horizontal="center" vertical="center"/>
    </xf>
    <xf numFmtId="0" fontId="79" fillId="38" borderId="50" xfId="0" applyFont="1" applyFill="1" applyBorder="1" applyAlignment="1">
      <alignment horizontal="center" vertical="center"/>
    </xf>
    <xf numFmtId="0" fontId="79" fillId="0" borderId="208" xfId="0" applyFont="1" applyFill="1" applyBorder="1" applyAlignment="1">
      <alignment horizontal="center" vertical="center"/>
    </xf>
    <xf numFmtId="0" fontId="79" fillId="0" borderId="148" xfId="0" applyFont="1" applyFill="1" applyBorder="1" applyAlignment="1">
      <alignment horizontal="center" vertical="center"/>
    </xf>
    <xf numFmtId="0" fontId="79" fillId="0" borderId="115" xfId="0" applyFont="1" applyFill="1" applyBorder="1" applyAlignment="1">
      <alignment horizontal="center" vertical="center"/>
    </xf>
    <xf numFmtId="0" fontId="79" fillId="0" borderId="46" xfId="0" applyFont="1" applyFill="1" applyBorder="1" applyAlignment="1">
      <alignment horizontal="center" vertical="center" wrapText="1"/>
    </xf>
    <xf numFmtId="0" fontId="79" fillId="0" borderId="58" xfId="0" applyFont="1" applyFill="1" applyBorder="1" applyAlignment="1">
      <alignment horizontal="center" vertical="center"/>
    </xf>
    <xf numFmtId="0" fontId="79" fillId="0" borderId="50" xfId="0" applyFont="1" applyFill="1" applyBorder="1" applyAlignment="1">
      <alignment horizontal="center" vertical="center"/>
    </xf>
    <xf numFmtId="0" fontId="79" fillId="36" borderId="212" xfId="0" applyFont="1" applyFill="1" applyBorder="1" applyAlignment="1">
      <alignment horizontal="center" vertical="center"/>
    </xf>
    <xf numFmtId="0" fontId="79" fillId="36" borderId="213" xfId="0" applyFont="1" applyFill="1" applyBorder="1" applyAlignment="1">
      <alignment horizontal="center" vertical="center"/>
    </xf>
    <xf numFmtId="0" fontId="79" fillId="36" borderId="214" xfId="0" applyFont="1" applyFill="1" applyBorder="1" applyAlignment="1">
      <alignment horizontal="center" vertical="center"/>
    </xf>
    <xf numFmtId="0" fontId="79" fillId="0" borderId="98" xfId="0" applyFont="1" applyFill="1" applyBorder="1" applyAlignment="1">
      <alignment horizontal="center" vertical="center" wrapText="1"/>
    </xf>
    <xf numFmtId="0" fontId="79" fillId="0" borderId="100" xfId="0" applyFont="1" applyFill="1" applyBorder="1" applyAlignment="1">
      <alignment horizontal="center" vertical="center" wrapText="1"/>
    </xf>
    <xf numFmtId="0" fontId="79" fillId="0" borderId="102" xfId="0" applyFont="1" applyFill="1" applyBorder="1" applyAlignment="1">
      <alignment horizontal="center" vertical="center" wrapText="1"/>
    </xf>
    <xf numFmtId="0" fontId="79" fillId="36" borderId="46" xfId="0" applyFont="1" applyFill="1" applyBorder="1" applyAlignment="1">
      <alignment horizontal="center" vertical="center"/>
    </xf>
    <xf numFmtId="0" fontId="79" fillId="36" borderId="58" xfId="0" applyFont="1" applyFill="1" applyBorder="1" applyAlignment="1">
      <alignment horizontal="center" vertical="center"/>
    </xf>
    <xf numFmtId="0" fontId="79" fillId="36" borderId="50" xfId="0" applyFont="1" applyFill="1" applyBorder="1" applyAlignment="1">
      <alignment horizontal="center" vertical="center"/>
    </xf>
    <xf numFmtId="3" fontId="79" fillId="36" borderId="98" xfId="0" applyNumberFormat="1" applyFont="1" applyFill="1" applyBorder="1" applyAlignment="1">
      <alignment horizontal="center" vertical="center" wrapText="1"/>
    </xf>
    <xf numFmtId="3" fontId="79" fillId="36" borderId="100" xfId="0" applyNumberFormat="1" applyFont="1" applyFill="1" applyBorder="1" applyAlignment="1">
      <alignment horizontal="center" vertical="center"/>
    </xf>
    <xf numFmtId="3" fontId="79" fillId="36" borderId="102" xfId="0" applyNumberFormat="1" applyFont="1" applyFill="1" applyBorder="1" applyAlignment="1">
      <alignment horizontal="center" vertical="center"/>
    </xf>
    <xf numFmtId="0" fontId="79" fillId="0" borderId="98" xfId="0" applyFont="1" applyFill="1" applyBorder="1" applyAlignment="1">
      <alignment horizontal="center" vertical="top" wrapText="1"/>
    </xf>
    <xf numFmtId="0" fontId="79" fillId="0" borderId="100" xfId="0" applyFont="1" applyFill="1" applyBorder="1" applyAlignment="1">
      <alignment horizontal="center" vertical="top" wrapText="1"/>
    </xf>
    <xf numFmtId="0" fontId="79" fillId="0" borderId="102" xfId="0" applyFont="1" applyFill="1" applyBorder="1" applyAlignment="1">
      <alignment horizontal="center" vertical="top" wrapText="1"/>
    </xf>
    <xf numFmtId="0" fontId="61" fillId="0" borderId="66" xfId="0" applyFont="1" applyBorder="1" applyAlignment="1">
      <alignment horizontal="center"/>
    </xf>
    <xf numFmtId="0" fontId="61" fillId="0" borderId="73" xfId="0" applyFont="1" applyBorder="1" applyAlignment="1">
      <alignment horizontal="center"/>
    </xf>
    <xf numFmtId="0" fontId="61" fillId="0" borderId="67" xfId="0" applyFont="1" applyBorder="1" applyAlignment="1">
      <alignment horizontal="center"/>
    </xf>
    <xf numFmtId="0" fontId="55" fillId="0" borderId="42" xfId="0" applyFont="1" applyBorder="1" applyAlignment="1">
      <alignment horizontal="center"/>
    </xf>
    <xf numFmtId="0" fontId="55" fillId="0" borderId="45" xfId="0" applyFont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0" borderId="71" xfId="0" applyFont="1" applyBorder="1" applyAlignment="1">
      <alignment horizontal="center"/>
    </xf>
    <xf numFmtId="3" fontId="112" fillId="0" borderId="186" xfId="0" applyNumberFormat="1" applyFont="1" applyBorder="1" applyAlignment="1">
      <alignment horizontal="center" vertical="center"/>
    </xf>
    <xf numFmtId="3" fontId="112" fillId="0" borderId="73" xfId="0" applyNumberFormat="1" applyFont="1" applyBorder="1" applyAlignment="1">
      <alignment horizontal="center" vertical="center"/>
    </xf>
    <xf numFmtId="3" fontId="112" fillId="0" borderId="77" xfId="0" applyNumberFormat="1" applyFont="1" applyBorder="1" applyAlignment="1">
      <alignment horizontal="center" vertical="center"/>
    </xf>
    <xf numFmtId="0" fontId="68" fillId="0" borderId="187" xfId="0" applyFont="1" applyBorder="1" applyAlignment="1">
      <alignment horizontal="center"/>
    </xf>
    <xf numFmtId="0" fontId="68" fillId="0" borderId="70" xfId="0" applyFont="1" applyBorder="1" applyAlignment="1">
      <alignment horizontal="center"/>
    </xf>
    <xf numFmtId="3" fontId="68" fillId="0" borderId="186" xfId="0" applyNumberFormat="1" applyFont="1" applyBorder="1" applyAlignment="1">
      <alignment horizontal="center" vertical="center"/>
    </xf>
    <xf numFmtId="3" fontId="68" fillId="0" borderId="77" xfId="0" applyNumberFormat="1" applyFont="1" applyBorder="1" applyAlignment="1">
      <alignment horizontal="center" vertical="center"/>
    </xf>
    <xf numFmtId="0" fontId="55" fillId="0" borderId="160" xfId="0" applyFont="1" applyBorder="1" applyAlignment="1">
      <alignment horizontal="center"/>
    </xf>
    <xf numFmtId="0" fontId="55" fillId="0" borderId="66" xfId="0" applyFont="1" applyBorder="1" applyAlignment="1">
      <alignment horizontal="center"/>
    </xf>
    <xf numFmtId="0" fontId="55" fillId="0" borderId="73" xfId="0" applyFont="1" applyBorder="1" applyAlignment="1">
      <alignment horizontal="center"/>
    </xf>
    <xf numFmtId="0" fontId="55" fillId="0" borderId="67" xfId="0" applyFont="1" applyBorder="1" applyAlignment="1">
      <alignment horizontal="center"/>
    </xf>
    <xf numFmtId="3" fontId="55" fillId="0" borderId="187" xfId="0" applyNumberFormat="1" applyFont="1" applyBorder="1" applyAlignment="1">
      <alignment horizontal="center"/>
    </xf>
    <xf numFmtId="3" fontId="55" fillId="0" borderId="189" xfId="0" applyNumberFormat="1" applyFont="1" applyBorder="1" applyAlignment="1">
      <alignment horizontal="center"/>
    </xf>
    <xf numFmtId="0" fontId="55" fillId="0" borderId="37" xfId="0" applyFont="1" applyBorder="1" applyAlignment="1">
      <alignment horizontal="center" vertical="center"/>
    </xf>
    <xf numFmtId="0" fontId="55" fillId="0" borderId="40" xfId="0" applyFont="1" applyBorder="1" applyAlignment="1">
      <alignment horizontal="center" vertical="center"/>
    </xf>
    <xf numFmtId="3" fontId="68" fillId="0" borderId="160" xfId="0" applyNumberFormat="1" applyFont="1" applyBorder="1" applyAlignment="1">
      <alignment horizontal="center" vertical="center"/>
    </xf>
    <xf numFmtId="3" fontId="68" fillId="0" borderId="72" xfId="0" applyNumberFormat="1" applyFont="1" applyBorder="1" applyAlignment="1">
      <alignment horizontal="center" vertical="center"/>
    </xf>
    <xf numFmtId="3" fontId="68" fillId="0" borderId="71" xfId="0" applyNumberFormat="1" applyFont="1" applyBorder="1" applyAlignment="1">
      <alignment horizontal="center" vertical="center"/>
    </xf>
    <xf numFmtId="3" fontId="68" fillId="0" borderId="78" xfId="0" applyNumberFormat="1" applyFont="1" applyBorder="1" applyAlignment="1">
      <alignment horizontal="center" vertical="center"/>
    </xf>
    <xf numFmtId="0" fontId="55" fillId="0" borderId="68" xfId="0" applyFont="1" applyBorder="1" applyAlignment="1">
      <alignment horizontal="center"/>
    </xf>
    <xf numFmtId="0" fontId="68" fillId="0" borderId="77" xfId="0" applyFont="1" applyBorder="1" applyAlignment="1">
      <alignment horizontal="center" vertical="center"/>
    </xf>
    <xf numFmtId="0" fontId="0" fillId="0" borderId="73" xfId="0" applyBorder="1" applyAlignment="1">
      <alignment horizontal="center"/>
    </xf>
    <xf numFmtId="0" fontId="0" fillId="0" borderId="77" xfId="0" applyBorder="1" applyAlignment="1">
      <alignment horizontal="center"/>
    </xf>
    <xf numFmtId="0" fontId="164" fillId="0" borderId="13" xfId="0" applyFont="1" applyBorder="1" applyAlignment="1">
      <alignment horizontal="center" vertical="center" wrapText="1"/>
    </xf>
    <xf numFmtId="0" fontId="164" fillId="0" borderId="14" xfId="0" applyFont="1" applyBorder="1" applyAlignment="1">
      <alignment horizontal="center" vertical="center" wrapText="1"/>
    </xf>
    <xf numFmtId="0" fontId="164" fillId="0" borderId="21" xfId="0" applyFont="1" applyBorder="1" applyAlignment="1">
      <alignment horizontal="center" vertical="center" wrapText="1"/>
    </xf>
    <xf numFmtId="0" fontId="39" fillId="0" borderId="46" xfId="0" applyFont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165" fontId="175" fillId="0" borderId="201" xfId="106" applyNumberFormat="1" applyFont="1" applyFill="1" applyBorder="1" applyAlignment="1">
      <alignment horizontal="center" vertical="top"/>
    </xf>
    <xf numFmtId="165" fontId="175" fillId="0" borderId="204" xfId="106" applyNumberFormat="1" applyFont="1" applyFill="1" applyBorder="1" applyAlignment="1">
      <alignment horizontal="center" vertical="top"/>
    </xf>
    <xf numFmtId="165" fontId="154" fillId="46" borderId="24" xfId="106" applyNumberFormat="1" applyFont="1" applyFill="1" applyBorder="1" applyAlignment="1">
      <alignment horizontal="center" vertical="top" textRotation="90" wrapText="1"/>
    </xf>
    <xf numFmtId="165" fontId="154" fillId="46" borderId="25" xfId="106" applyNumberFormat="1" applyFont="1" applyFill="1" applyBorder="1" applyAlignment="1">
      <alignment horizontal="center" vertical="top" textRotation="90" wrapText="1"/>
    </xf>
    <xf numFmtId="165" fontId="154" fillId="46" borderId="141" xfId="106" applyNumberFormat="1" applyFont="1" applyFill="1" applyBorder="1" applyAlignment="1">
      <alignment horizontal="center" vertical="top" textRotation="90" wrapText="1"/>
    </xf>
    <xf numFmtId="3" fontId="154" fillId="48" borderId="66" xfId="106" applyNumberFormat="1" applyFont="1" applyFill="1" applyBorder="1" applyAlignment="1">
      <alignment horizontal="center"/>
    </xf>
    <xf numFmtId="3" fontId="154" fillId="48" borderId="73" xfId="106" applyNumberFormat="1" applyFont="1" applyFill="1" applyBorder="1" applyAlignment="1">
      <alignment horizontal="center"/>
    </xf>
    <xf numFmtId="3" fontId="154" fillId="48" borderId="67" xfId="106" applyNumberFormat="1" applyFont="1" applyFill="1" applyBorder="1" applyAlignment="1">
      <alignment horizontal="center"/>
    </xf>
    <xf numFmtId="165" fontId="154" fillId="0" borderId="0" xfId="106" applyNumberFormat="1" applyFont="1" applyFill="1" applyBorder="1" applyAlignment="1">
      <alignment horizontal="center" wrapText="1"/>
    </xf>
    <xf numFmtId="165" fontId="182" fillId="0" borderId="45" xfId="106" applyNumberFormat="1" applyFont="1" applyFill="1" applyBorder="1" applyAlignment="1">
      <alignment horizontal="left"/>
    </xf>
    <xf numFmtId="165" fontId="162" fillId="49" borderId="48" xfId="106" applyNumberFormat="1" applyFont="1" applyFill="1" applyBorder="1" applyAlignment="1">
      <alignment horizontal="center"/>
    </xf>
    <xf numFmtId="165" fontId="162" fillId="49" borderId="43" xfId="106" applyNumberFormat="1" applyFont="1" applyFill="1" applyBorder="1" applyAlignment="1">
      <alignment horizontal="center"/>
    </xf>
    <xf numFmtId="165" fontId="170" fillId="0" borderId="48" xfId="106" applyNumberFormat="1" applyFont="1" applyFill="1" applyBorder="1" applyAlignment="1">
      <alignment horizontal="center"/>
    </xf>
    <xf numFmtId="165" fontId="170" fillId="0" borderId="199" xfId="106" applyNumberFormat="1" applyFont="1" applyFill="1" applyBorder="1" applyAlignment="1">
      <alignment horizontal="center"/>
    </xf>
    <xf numFmtId="0" fontId="60" fillId="0" borderId="42" xfId="0" applyFont="1" applyBorder="1" applyAlignment="1">
      <alignment horizontal="center"/>
    </xf>
    <xf numFmtId="0" fontId="55" fillId="0" borderId="97" xfId="0" applyFont="1" applyBorder="1" applyAlignment="1">
      <alignment horizontal="center"/>
    </xf>
    <xf numFmtId="0" fontId="57" fillId="0" borderId="85" xfId="0" applyFont="1" applyBorder="1" applyAlignment="1">
      <alignment horizontal="center"/>
    </xf>
    <xf numFmtId="0" fontId="57" fillId="0" borderId="54" xfId="0" applyFont="1" applyBorder="1" applyAlignment="1">
      <alignment horizontal="center"/>
    </xf>
    <xf numFmtId="0" fontId="57" fillId="0" borderId="56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9" fillId="0" borderId="101" xfId="0" applyFont="1" applyBorder="1" applyAlignment="1">
      <alignment horizontal="center"/>
    </xf>
    <xf numFmtId="0" fontId="55" fillId="38" borderId="64" xfId="100" applyFont="1" applyFill="1" applyBorder="1" applyAlignment="1">
      <alignment horizontal="left"/>
    </xf>
    <xf numFmtId="0" fontId="55" fillId="38" borderId="71" xfId="100" applyFont="1" applyFill="1" applyBorder="1" applyAlignment="1">
      <alignment horizontal="left"/>
    </xf>
    <xf numFmtId="0" fontId="55" fillId="38" borderId="72" xfId="100" applyFont="1" applyFill="1" applyBorder="1" applyAlignment="1">
      <alignment horizontal="left"/>
    </xf>
    <xf numFmtId="0" fontId="55" fillId="38" borderId="152" xfId="100" applyFont="1" applyFill="1" applyBorder="1" applyAlignment="1">
      <alignment horizontal="left"/>
    </xf>
    <xf numFmtId="0" fontId="55" fillId="38" borderId="82" xfId="100" applyFont="1" applyFill="1" applyBorder="1" applyAlignment="1">
      <alignment horizontal="left"/>
    </xf>
    <xf numFmtId="0" fontId="55" fillId="38" borderId="78" xfId="100" applyFont="1" applyFill="1" applyBorder="1" applyAlignment="1">
      <alignment horizontal="left"/>
    </xf>
    <xf numFmtId="0" fontId="57" fillId="38" borderId="44" xfId="0" applyFont="1" applyFill="1" applyBorder="1" applyAlignment="1">
      <alignment horizontal="center"/>
    </xf>
    <xf numFmtId="0" fontId="57" fillId="38" borderId="79" xfId="0" applyFont="1" applyFill="1" applyBorder="1" applyAlignment="1">
      <alignment horizontal="center"/>
    </xf>
    <xf numFmtId="0" fontId="57" fillId="38" borderId="11" xfId="0" applyFont="1" applyFill="1" applyBorder="1" applyAlignment="1">
      <alignment horizontal="center"/>
    </xf>
    <xf numFmtId="0" fontId="57" fillId="38" borderId="164" xfId="0" applyFont="1" applyFill="1" applyBorder="1" applyAlignment="1">
      <alignment horizontal="center"/>
    </xf>
    <xf numFmtId="0" fontId="59" fillId="0" borderId="39" xfId="0" applyFont="1" applyFill="1" applyBorder="1" applyAlignment="1">
      <alignment horizontal="left"/>
    </xf>
    <xf numFmtId="0" fontId="59" fillId="0" borderId="62" xfId="0" applyFont="1" applyFill="1" applyBorder="1" applyAlignment="1">
      <alignment horizontal="left"/>
    </xf>
    <xf numFmtId="0" fontId="59" fillId="0" borderId="39" xfId="0" applyFont="1" applyBorder="1" applyAlignment="1">
      <alignment horizontal="left"/>
    </xf>
    <xf numFmtId="0" fontId="59" fillId="0" borderId="62" xfId="0" applyFont="1" applyBorder="1" applyAlignment="1">
      <alignment horizontal="left"/>
    </xf>
    <xf numFmtId="0" fontId="57" fillId="0" borderId="32" xfId="0" applyFont="1" applyBorder="1" applyAlignment="1">
      <alignment horizontal="center" wrapText="1"/>
    </xf>
    <xf numFmtId="0" fontId="57" fillId="0" borderId="26" xfId="0" applyFont="1" applyBorder="1" applyAlignment="1">
      <alignment horizontal="center" wrapText="1"/>
    </xf>
  </cellXfs>
  <cellStyles count="108">
    <cellStyle name="20 % – Zvýraznění1" xfId="1"/>
    <cellStyle name="20 % – Zvýraznění1 2" xfId="2"/>
    <cellStyle name="20 % – Zvýraznění2" xfId="3"/>
    <cellStyle name="20 % – Zvýraznění2 2" xfId="4"/>
    <cellStyle name="20 % – Zvýraznění3" xfId="5"/>
    <cellStyle name="20 % – Zvýraznění3 2" xfId="6"/>
    <cellStyle name="20 % – Zvýraznění4" xfId="7"/>
    <cellStyle name="20 % – Zvýraznění4 2" xfId="8"/>
    <cellStyle name="20 % – Zvýraznění5" xfId="9"/>
    <cellStyle name="20 % – Zvýraznění5 2" xfId="10"/>
    <cellStyle name="20 % – Zvýraznění6" xfId="11"/>
    <cellStyle name="20 % – Zvýraznění6 2" xfId="12"/>
    <cellStyle name="40 % – Zvýraznění1" xfId="13"/>
    <cellStyle name="40 % – Zvýraznění1 2" xfId="14"/>
    <cellStyle name="40 % – Zvýraznění2" xfId="15"/>
    <cellStyle name="40 % – Zvýraznění2 2" xfId="16"/>
    <cellStyle name="40 % – Zvýraznění3" xfId="17"/>
    <cellStyle name="40 % – Zvýraznění3 2" xfId="18"/>
    <cellStyle name="40 % – Zvýraznění4" xfId="19"/>
    <cellStyle name="40 % – Zvýraznění4 2" xfId="20"/>
    <cellStyle name="40 % – Zvýraznění5" xfId="21"/>
    <cellStyle name="40 % – Zvýraznění5 2" xfId="22"/>
    <cellStyle name="40 % – Zvýraznění6" xfId="23"/>
    <cellStyle name="40 % – Zvýraznění6 2" xfId="24"/>
    <cellStyle name="60 % – Zvýraznění1" xfId="25"/>
    <cellStyle name="60 % – Zvýraznění1 2" xfId="26"/>
    <cellStyle name="60 % – Zvýraznění2" xfId="27"/>
    <cellStyle name="60 % – Zvýraznění2 2" xfId="28"/>
    <cellStyle name="60 % – Zvýraznění3" xfId="29"/>
    <cellStyle name="60 % – Zvýraznění3 2" xfId="30"/>
    <cellStyle name="60 % – Zvýraznění4" xfId="31"/>
    <cellStyle name="60 % – Zvýraznění4 2" xfId="32"/>
    <cellStyle name="60 % – Zvýraznění5" xfId="33"/>
    <cellStyle name="60 % – Zvýraznění5 2" xfId="34"/>
    <cellStyle name="60 % – Zvýraznění6" xfId="35"/>
    <cellStyle name="60 % – Zvýraznění6 2" xfId="36"/>
    <cellStyle name="Celkem" xfId="37"/>
    <cellStyle name="Celkem 2" xfId="38"/>
    <cellStyle name="Comma 2" xfId="39"/>
    <cellStyle name="Čárka 2" xfId="104"/>
    <cellStyle name="Čárka 3" xfId="107"/>
    <cellStyle name="Chybně 2" xfId="40"/>
    <cellStyle name="Kontrolní buňka 2" xfId="41"/>
    <cellStyle name="Nadpis 1 2" xfId="42"/>
    <cellStyle name="Nadpis 2 2" xfId="43"/>
    <cellStyle name="Nadpis 3 2" xfId="44"/>
    <cellStyle name="Nadpis 4 2" xfId="45"/>
    <cellStyle name="Název" xfId="46"/>
    <cellStyle name="Název 2" xfId="47"/>
    <cellStyle name="Neutrální 2" xfId="48"/>
    <cellStyle name="Normal 2" xfId="49"/>
    <cellStyle name="Normal 3" xfId="50"/>
    <cellStyle name="Normální" xfId="0" builtinId="0"/>
    <cellStyle name="Normální 10" xfId="51"/>
    <cellStyle name="Normální 11" xfId="52"/>
    <cellStyle name="Normální 12" xfId="101"/>
    <cellStyle name="Normální 12 2" xfId="105"/>
    <cellStyle name="Normální 13" xfId="102"/>
    <cellStyle name="Normální 13 2" xfId="103"/>
    <cellStyle name="Normální 14" xfId="106"/>
    <cellStyle name="normální 2" xfId="53"/>
    <cellStyle name="normální 2 2" xfId="54"/>
    <cellStyle name="normální 2 3" xfId="55"/>
    <cellStyle name="normální 2 3 2" xfId="56"/>
    <cellStyle name="normální 2 3 2 2" xfId="57"/>
    <cellStyle name="normální 2 3 2_PV III. Rozpis rozpočtu VŠ 2011_final_PV" xfId="58"/>
    <cellStyle name="normální 2 3_PV III. Rozpis rozpočtu VŠ 2011_final_PV" xfId="59"/>
    <cellStyle name="normální 2 4" xfId="60"/>
    <cellStyle name="normální 2 4 2" xfId="61"/>
    <cellStyle name="normální 2 4_PV III. Rozpis rozpočtu VŠ 2011_final_PV" xfId="62"/>
    <cellStyle name="normální 2 5" xfId="63"/>
    <cellStyle name="Normální 2 6" xfId="100"/>
    <cellStyle name="normální 2_CP2012" xfId="64"/>
    <cellStyle name="normální 3" xfId="65"/>
    <cellStyle name="normální 3 2" xfId="66"/>
    <cellStyle name="normální 3_CP2012" xfId="67"/>
    <cellStyle name="normální 4" xfId="68"/>
    <cellStyle name="normální 4 2" xfId="69"/>
    <cellStyle name="normální 4_PV Rozpis rozpočtu VŠ 2011 III - tabulkové přílohy" xfId="70"/>
    <cellStyle name="Normální 5" xfId="71"/>
    <cellStyle name="normální 5 2" xfId="72"/>
    <cellStyle name="Normální 6" xfId="73"/>
    <cellStyle name="Normální 6 2" xfId="74"/>
    <cellStyle name="normální 7" xfId="75"/>
    <cellStyle name="Normální 8" xfId="76"/>
    <cellStyle name="Normální 8 2" xfId="77"/>
    <cellStyle name="Normální 9" xfId="78"/>
    <cellStyle name="normální_model_rozpocet_23112009-1" xfId="79"/>
    <cellStyle name="normální_návrh CP k 23.11.03" xfId="80"/>
    <cellStyle name="Poznámka 2" xfId="81"/>
    <cellStyle name="procent 2" xfId="82"/>
    <cellStyle name="procent 3" xfId="83"/>
    <cellStyle name="procent 4" xfId="84"/>
    <cellStyle name="Procenta 2" xfId="85"/>
    <cellStyle name="Propojená buňka 2" xfId="86"/>
    <cellStyle name="Správně 2" xfId="87"/>
    <cellStyle name="Text upozornění" xfId="88"/>
    <cellStyle name="Text upozornění 2" xfId="89"/>
    <cellStyle name="Vstup 2" xfId="90"/>
    <cellStyle name="Výpočet 2" xfId="91"/>
    <cellStyle name="Výstup 2" xfId="92"/>
    <cellStyle name="Vysvětlující text 2" xfId="93"/>
    <cellStyle name="Zvýraznění 1 2" xfId="94"/>
    <cellStyle name="Zvýraznění 2 2" xfId="95"/>
    <cellStyle name="Zvýraznění 3 2" xfId="96"/>
    <cellStyle name="Zvýraznění 4 2" xfId="97"/>
    <cellStyle name="Zvýraznění 5 2" xfId="98"/>
    <cellStyle name="Zvýraznění 6 2" xfId="9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Pozadavky_CP_rozpocet_2019_HS_IRP_CZS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EF-FINANCOVANI/ROZPOCTY/ROZPOCET_MU/2019/02_P&#345;&#237;prava/02_po&#382;adavky%20HS%20na%20CP/Konsolidovan&#233;%20po&#382;adavky_CP_2019_FINAL%20po%20porad&#283;%20veden&#237;%200502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EF-FINANCOVANI\ROZPOCTY\ROZPOCET_MU\2020\02_P&#345;&#237;prava\02_po&#382;adavky%20HS%20na%20CP\99%20RMU\KK_Po&#382;adavky_CP_rozpo&#269;et_2020_RM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%20Provozn&#237;%20v&#283;ci\3.%20Rozpo&#269;et%20OV\2020\2.%20Po&#382;adavky_CP_rozpo&#269;et_2020_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adavky HS na CP"/>
      <sheetName val="rozevírací seznamy"/>
    </sheetNames>
    <sheetDataSet>
      <sheetData sheetId="0" refreshError="1"/>
      <sheetData sheetId="1">
        <row r="2">
          <cell r="A2" t="str">
            <v>CP</v>
          </cell>
        </row>
        <row r="3">
          <cell r="A3" t="str">
            <v>SPOLUF NEI</v>
          </cell>
        </row>
        <row r="4">
          <cell r="A4" t="str">
            <v>SPOLUF INV</v>
          </cell>
        </row>
        <row r="5">
          <cell r="A5" t="str">
            <v>IRP</v>
          </cell>
        </row>
        <row r="6">
          <cell r="A6" t="str">
            <v>INV</v>
          </cell>
        </row>
        <row r="20">
          <cell r="A20" t="str">
            <v>Lékařská fakulta</v>
          </cell>
        </row>
        <row r="21">
          <cell r="A21" t="str">
            <v>Filozofická fakulta</v>
          </cell>
        </row>
        <row r="22">
          <cell r="A22" t="str">
            <v>Právnická fakulta</v>
          </cell>
        </row>
        <row r="23">
          <cell r="A23" t="str">
            <v>Fakulta sociálních studií</v>
          </cell>
        </row>
        <row r="24">
          <cell r="A24" t="str">
            <v>Přírodovědecká fakulta</v>
          </cell>
        </row>
        <row r="25">
          <cell r="A25" t="str">
            <v>Fakulta informatiky</v>
          </cell>
        </row>
        <row r="26">
          <cell r="A26" t="str">
            <v>Pedagogická fakulta</v>
          </cell>
        </row>
        <row r="27">
          <cell r="A27" t="str">
            <v>Fakulta sportovních studií</v>
          </cell>
        </row>
        <row r="28">
          <cell r="A28" t="str">
            <v>Ekonomicko-správní fakulta</v>
          </cell>
        </row>
        <row r="29">
          <cell r="A29" t="str">
            <v>CEITEC</v>
          </cell>
        </row>
        <row r="30">
          <cell r="A30" t="str">
            <v>Centrální řídící struktura CEITEC</v>
          </cell>
        </row>
        <row r="31">
          <cell r="A31" t="str">
            <v>Správa kolejí a menz</v>
          </cell>
        </row>
        <row r="32">
          <cell r="A32" t="str">
            <v>Správa UKB</v>
          </cell>
        </row>
        <row r="33">
          <cell r="A33" t="str">
            <v>Univerzitní centrum Telč</v>
          </cell>
        </row>
        <row r="34">
          <cell r="A34" t="str">
            <v>Stř.pro pomoc stud. se spec. nároky</v>
          </cell>
        </row>
        <row r="35">
          <cell r="A35" t="str">
            <v>Centrum pro transfer technologií</v>
          </cell>
        </row>
        <row r="36">
          <cell r="A36" t="str">
            <v>Ústav výpočetní techniky</v>
          </cell>
        </row>
        <row r="37">
          <cell r="A37" t="str">
            <v>Centrum jazykového vzdělávání</v>
          </cell>
        </row>
        <row r="38">
          <cell r="A38" t="str">
            <v>Centrum zahraniční spolupráce</v>
          </cell>
        </row>
        <row r="39">
          <cell r="A39" t="str">
            <v>Rektorát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 CELKEM"/>
      <sheetName val="CP RMU"/>
      <sheetName val="CJV+CUS"/>
      <sheetName val="IP"/>
      <sheetName val="jiné"/>
      <sheetName val="Pozadavky HS na CP"/>
      <sheetName val="Přehled navýšení 2019"/>
      <sheetName val="Pozadavky RMU na CP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CP</v>
          </cell>
        </row>
        <row r="3">
          <cell r="A3" t="str">
            <v>SPOLUF NEI</v>
          </cell>
        </row>
        <row r="4">
          <cell r="A4" t="str">
            <v>SPOLUF INV</v>
          </cell>
        </row>
        <row r="5">
          <cell r="A5" t="str">
            <v>INV</v>
          </cell>
        </row>
        <row r="9">
          <cell r="A9" t="str">
            <v>pror. pro internacionalizaci</v>
          </cell>
        </row>
        <row r="10">
          <cell r="A10" t="str">
            <v>pror. pro výzkum</v>
          </cell>
        </row>
        <row r="11">
          <cell r="A11" t="str">
            <v>pror. pro záležitosti studentů</v>
          </cell>
        </row>
        <row r="12">
          <cell r="A12" t="str">
            <v>pror. pro studium a IT</v>
          </cell>
        </row>
        <row r="13">
          <cell r="A13" t="str">
            <v>pror. pro rozvoj</v>
          </cell>
        </row>
        <row r="14">
          <cell r="A14" t="str">
            <v>pror. pro vnější vztahy</v>
          </cell>
        </row>
        <row r="15">
          <cell r="A15" t="str">
            <v>kvestorka</v>
          </cell>
        </row>
        <row r="16">
          <cell r="A16" t="str">
            <v>kancléřka</v>
          </cell>
        </row>
        <row r="17">
          <cell r="A17" t="str">
            <v>řed. pro komunikaci</v>
          </cell>
        </row>
        <row r="18">
          <cell r="A18" t="str">
            <v>řed. pro strategii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adavky RMU na CP"/>
      <sheetName val="Vzor pro vyplnění"/>
      <sheetName val="List1"/>
    </sheetNames>
    <sheetDataSet>
      <sheetData sheetId="0"/>
      <sheetData sheetId="1"/>
      <sheetData sheetId="2">
        <row r="2">
          <cell r="A2" t="str">
            <v>CP</v>
          </cell>
        </row>
        <row r="3">
          <cell r="A3" t="str">
            <v>SPOLUF NEI</v>
          </cell>
        </row>
        <row r="4">
          <cell r="A4" t="str">
            <v>SPOLUF INV</v>
          </cell>
        </row>
        <row r="5">
          <cell r="A5" t="str">
            <v>IRP</v>
          </cell>
        </row>
        <row r="6">
          <cell r="A6" t="str">
            <v>INV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adavky RMU na CP"/>
      <sheetName val="Vzor pro vyplnění"/>
      <sheetName val="List1"/>
    </sheetNames>
    <sheetDataSet>
      <sheetData sheetId="0" refreshError="1"/>
      <sheetData sheetId="1" refreshError="1"/>
      <sheetData sheetId="2">
        <row r="2">
          <cell r="A2" t="str">
            <v>CP</v>
          </cell>
        </row>
        <row r="3">
          <cell r="A3" t="str">
            <v>SPOLUF NEI</v>
          </cell>
        </row>
        <row r="4">
          <cell r="A4" t="str">
            <v>SPOLUF INV</v>
          </cell>
        </row>
        <row r="5">
          <cell r="A5" t="str">
            <v>IRP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55"/>
  <sheetViews>
    <sheetView showGridLines="0" workbookViewId="0"/>
  </sheetViews>
  <sheetFormatPr defaultColWidth="11.42578125" defaultRowHeight="12.75" x14ac:dyDescent="0.2"/>
  <cols>
    <col min="1" max="1" width="4.42578125" style="1" customWidth="1"/>
    <col min="2" max="2" width="10.140625" style="1" customWidth="1"/>
    <col min="3" max="3" width="13.5703125" style="1" customWidth="1"/>
    <col min="4" max="4" width="13.28515625" style="1" customWidth="1"/>
    <col min="5" max="5" width="12.7109375" style="1" customWidth="1"/>
    <col min="6" max="6" width="12.85546875" style="1" customWidth="1"/>
    <col min="7" max="7" width="12" style="1" customWidth="1"/>
    <col min="8" max="8" width="12.28515625" style="1" customWidth="1"/>
    <col min="9" max="9" width="11.5703125" style="1" customWidth="1"/>
    <col min="10" max="10" width="12.42578125" style="1" customWidth="1"/>
    <col min="11" max="11" width="11.28515625" style="1" customWidth="1"/>
    <col min="12" max="12" width="10" style="13" customWidth="1"/>
    <col min="13" max="13" width="10.5703125" style="1" customWidth="1"/>
    <col min="14" max="16384" width="11.42578125" style="1"/>
  </cols>
  <sheetData>
    <row r="1" spans="1:13" ht="26.25" x14ac:dyDescent="0.35">
      <c r="A1" s="83" t="s">
        <v>695</v>
      </c>
      <c r="B1" s="84"/>
      <c r="C1" s="12"/>
      <c r="D1" s="12"/>
      <c r="E1" s="12"/>
      <c r="F1" s="12"/>
      <c r="G1" s="12"/>
      <c r="H1" s="12"/>
      <c r="I1" s="12"/>
      <c r="J1" s="12"/>
      <c r="K1" s="12"/>
    </row>
    <row r="2" spans="1:13" ht="22.5" customHeight="1" x14ac:dyDescent="0.2">
      <c r="A2" s="1588" t="s">
        <v>625</v>
      </c>
      <c r="B2" s="1588"/>
      <c r="C2" s="1588"/>
      <c r="D2" s="1588"/>
      <c r="E2" s="1588"/>
      <c r="F2" s="1588"/>
      <c r="G2" s="1588"/>
      <c r="H2" s="1588"/>
      <c r="I2" s="1588"/>
      <c r="J2" s="1588"/>
      <c r="K2" s="1588"/>
      <c r="L2" s="1588"/>
      <c r="M2" s="1588"/>
    </row>
    <row r="3" spans="1:13" ht="22.5" customHeight="1" thickBot="1" x14ac:dyDescent="0.25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6.5" thickBot="1" x14ac:dyDescent="0.3">
      <c r="A4" s="71" t="s">
        <v>167</v>
      </c>
      <c r="B4" s="12"/>
      <c r="C4" s="12"/>
      <c r="D4" s="12"/>
      <c r="E4" s="12"/>
      <c r="G4" s="581">
        <v>0.76</v>
      </c>
      <c r="H4" s="582">
        <v>0.24</v>
      </c>
      <c r="I4" s="87"/>
      <c r="J4" s="13"/>
      <c r="K4" s="13"/>
      <c r="L4" s="86"/>
    </row>
    <row r="5" spans="1:13" x14ac:dyDescent="0.2">
      <c r="A5" s="88"/>
      <c r="B5" s="89"/>
      <c r="C5" s="90"/>
      <c r="D5" s="91"/>
      <c r="E5" s="92"/>
      <c r="F5" s="93"/>
      <c r="G5" s="94"/>
      <c r="H5" s="94"/>
      <c r="I5" s="94"/>
      <c r="J5" s="95" t="s">
        <v>2</v>
      </c>
      <c r="K5" s="12"/>
      <c r="L5" s="1"/>
    </row>
    <row r="6" spans="1:13" ht="13.5" thickBot="1" x14ac:dyDescent="0.25">
      <c r="A6" s="96" t="s">
        <v>3</v>
      </c>
      <c r="B6" s="97" t="s">
        <v>4</v>
      </c>
      <c r="C6" s="98"/>
      <c r="D6" s="99"/>
      <c r="E6" s="100" t="s">
        <v>589</v>
      </c>
      <c r="F6" s="101" t="s">
        <v>665</v>
      </c>
      <c r="G6" s="102" t="s">
        <v>521</v>
      </c>
      <c r="H6" s="102" t="s">
        <v>522</v>
      </c>
      <c r="I6" s="103" t="s">
        <v>678</v>
      </c>
      <c r="J6" s="104" t="s">
        <v>590</v>
      </c>
      <c r="K6" s="12"/>
      <c r="L6" s="1"/>
    </row>
    <row r="7" spans="1:13" x14ac:dyDescent="0.2">
      <c r="A7" s="105">
        <v>1</v>
      </c>
      <c r="B7" s="106" t="s">
        <v>90</v>
      </c>
      <c r="C7" s="107"/>
      <c r="D7" s="108"/>
      <c r="E7" s="109">
        <v>2211744.2738242401</v>
      </c>
      <c r="F7" s="110">
        <v>2319718.2259999998</v>
      </c>
      <c r="G7" s="111">
        <f>F7*G4</f>
        <v>1762985.8517599998</v>
      </c>
      <c r="H7" s="111">
        <f>F7*H4</f>
        <v>556732.37423999992</v>
      </c>
      <c r="I7" s="112"/>
      <c r="J7" s="113">
        <f>F7/E7</f>
        <v>1.0488184612722276</v>
      </c>
      <c r="K7" s="114">
        <v>45873.999999999767</v>
      </c>
      <c r="L7" s="1"/>
    </row>
    <row r="8" spans="1:13" ht="13.5" thickBot="1" x14ac:dyDescent="0.25">
      <c r="A8" s="115">
        <v>2</v>
      </c>
      <c r="B8" s="116" t="s">
        <v>143</v>
      </c>
      <c r="C8" s="117"/>
      <c r="D8" s="118"/>
      <c r="E8" s="119">
        <v>755071.54399999999</v>
      </c>
      <c r="F8" s="120">
        <v>885354.28799999994</v>
      </c>
      <c r="G8" s="121"/>
      <c r="H8" s="121"/>
      <c r="I8" s="122">
        <f>F8</f>
        <v>885354.28799999994</v>
      </c>
      <c r="J8" s="123">
        <f>F8/E8</f>
        <v>1.1725435755528881</v>
      </c>
      <c r="K8" s="12"/>
      <c r="L8" s="1"/>
    </row>
    <row r="9" spans="1:13" ht="13.5" thickBot="1" x14ac:dyDescent="0.25">
      <c r="A9" s="124">
        <v>3</v>
      </c>
      <c r="B9" s="125" t="s">
        <v>5</v>
      </c>
      <c r="C9" s="126"/>
      <c r="D9" s="127"/>
      <c r="E9" s="128">
        <v>2812629.9718242418</v>
      </c>
      <c r="F9" s="129">
        <f>SUM(F7:F8)</f>
        <v>3205072.5139999995</v>
      </c>
      <c r="G9" s="130"/>
      <c r="H9" s="130"/>
      <c r="I9" s="131"/>
      <c r="J9" s="132">
        <f>F9/E9</f>
        <v>1.1395286781791718</v>
      </c>
      <c r="K9" s="12"/>
      <c r="L9" s="1"/>
    </row>
    <row r="10" spans="1:13" x14ac:dyDescent="0.2">
      <c r="A10" s="133"/>
      <c r="B10" s="118"/>
      <c r="C10" s="117"/>
      <c r="D10" s="118"/>
      <c r="E10" s="117"/>
      <c r="F10" s="86"/>
      <c r="G10" s="86"/>
      <c r="H10" s="86"/>
      <c r="I10" s="86"/>
      <c r="J10" s="134"/>
      <c r="K10" s="12"/>
      <c r="L10" s="1"/>
    </row>
    <row r="11" spans="1:13" x14ac:dyDescent="0.2">
      <c r="A11" s="133"/>
      <c r="B11" s="118"/>
      <c r="C11" s="117"/>
      <c r="D11" s="118"/>
      <c r="E11" s="117"/>
      <c r="F11" s="86"/>
      <c r="G11" s="86"/>
      <c r="H11" s="86"/>
      <c r="I11" s="86"/>
      <c r="J11" s="134"/>
      <c r="K11" s="12"/>
      <c r="L11" s="1"/>
    </row>
    <row r="12" spans="1:13" x14ac:dyDescent="0.2">
      <c r="A12" s="12"/>
      <c r="B12" s="12"/>
      <c r="C12" s="12"/>
      <c r="D12" s="12"/>
      <c r="E12" s="12"/>
      <c r="G12" s="12"/>
      <c r="H12" s="12"/>
      <c r="I12" s="12"/>
      <c r="J12" s="12"/>
      <c r="K12" s="12"/>
    </row>
    <row r="13" spans="1:13" ht="16.5" thickBot="1" x14ac:dyDescent="0.3">
      <c r="A13" s="71" t="s">
        <v>666</v>
      </c>
      <c r="B13" s="12"/>
      <c r="C13" s="12"/>
      <c r="D13" s="12"/>
      <c r="E13" s="12"/>
      <c r="F13" s="12"/>
      <c r="G13" s="12"/>
      <c r="H13" s="135"/>
      <c r="I13" s="12"/>
      <c r="J13" s="12"/>
      <c r="K13" s="136"/>
      <c r="L13" s="137"/>
    </row>
    <row r="14" spans="1:13" ht="30" customHeight="1" x14ac:dyDescent="0.2">
      <c r="A14" s="1589" t="s">
        <v>406</v>
      </c>
      <c r="B14" s="1590"/>
      <c r="C14" s="1593" t="s">
        <v>523</v>
      </c>
      <c r="D14" s="1315" t="s">
        <v>245</v>
      </c>
      <c r="E14" s="1316" t="s">
        <v>246</v>
      </c>
      <c r="F14" s="1317" t="s">
        <v>524</v>
      </c>
      <c r="G14" s="1318" t="s">
        <v>248</v>
      </c>
      <c r="H14" s="1319" t="s">
        <v>248</v>
      </c>
      <c r="L14" s="1"/>
    </row>
    <row r="15" spans="1:13" ht="42.75" customHeight="1" thickBot="1" x14ac:dyDescent="0.25">
      <c r="A15" s="1591"/>
      <c r="B15" s="1592"/>
      <c r="C15" s="1594"/>
      <c r="D15" s="1320" t="s">
        <v>568</v>
      </c>
      <c r="E15" s="1321" t="s">
        <v>247</v>
      </c>
      <c r="F15" s="1322"/>
      <c r="G15" s="1323" t="s">
        <v>16</v>
      </c>
      <c r="H15" s="1324" t="s">
        <v>297</v>
      </c>
      <c r="L15" s="1"/>
    </row>
    <row r="16" spans="1:13" x14ac:dyDescent="0.2">
      <c r="A16" s="153">
        <v>11</v>
      </c>
      <c r="B16" s="154" t="s">
        <v>7</v>
      </c>
      <c r="C16" s="155">
        <v>333838.73133647168</v>
      </c>
      <c r="D16" s="811">
        <v>5.1759581824864773E-2</v>
      </c>
      <c r="E16" s="156">
        <v>4562.5705225125321</v>
      </c>
      <c r="F16" s="1128">
        <v>75248.757411963292</v>
      </c>
      <c r="G16" s="1212">
        <f>C16+E16+F16</f>
        <v>413650.05927094753</v>
      </c>
      <c r="H16" s="878">
        <f>ROUND(G16,1)</f>
        <v>413650.1</v>
      </c>
      <c r="L16" s="1"/>
    </row>
    <row r="17" spans="1:12" x14ac:dyDescent="0.2">
      <c r="A17" s="157">
        <v>21</v>
      </c>
      <c r="B17" s="158" t="s">
        <v>8</v>
      </c>
      <c r="C17" s="159">
        <v>298447.21977813879</v>
      </c>
      <c r="D17" s="797">
        <v>0.21210450475065953</v>
      </c>
      <c r="E17" s="161">
        <v>18696.862048498722</v>
      </c>
      <c r="F17" s="1213">
        <v>94148.14689386879</v>
      </c>
      <c r="G17" s="1214">
        <f t="shared" ref="G17:G27" si="0">C17+E17+F17</f>
        <v>411292.2287205063</v>
      </c>
      <c r="H17" s="1215">
        <f t="shared" ref="H17:H27" si="1">ROUND(G17,1)</f>
        <v>411292.2</v>
      </c>
      <c r="L17" s="1"/>
    </row>
    <row r="18" spans="1:12" x14ac:dyDescent="0.2">
      <c r="A18" s="157">
        <v>22</v>
      </c>
      <c r="B18" s="158" t="s">
        <v>9</v>
      </c>
      <c r="C18" s="159">
        <v>118309.51161573619</v>
      </c>
      <c r="D18" s="797">
        <v>3.4796425864665574E-2</v>
      </c>
      <c r="E18" s="161">
        <v>3067.2803245610567</v>
      </c>
      <c r="F18" s="1213">
        <v>31063.133965320056</v>
      </c>
      <c r="G18" s="1214">
        <f t="shared" si="0"/>
        <v>152439.9259056173</v>
      </c>
      <c r="H18" s="1215">
        <f t="shared" si="1"/>
        <v>152439.9</v>
      </c>
      <c r="L18" s="1"/>
    </row>
    <row r="19" spans="1:12" x14ac:dyDescent="0.2">
      <c r="A19" s="157">
        <v>23</v>
      </c>
      <c r="B19" s="158" t="s">
        <v>10</v>
      </c>
      <c r="C19" s="159">
        <v>125013.99523832442</v>
      </c>
      <c r="D19" s="797">
        <v>6.9831387639286008E-2</v>
      </c>
      <c r="E19" s="161">
        <v>6155.5874208414689</v>
      </c>
      <c r="F19" s="1213">
        <v>52163.884133762775</v>
      </c>
      <c r="G19" s="1214">
        <f t="shared" si="0"/>
        <v>183333.46679292867</v>
      </c>
      <c r="H19" s="1215">
        <f t="shared" si="1"/>
        <v>183333.5</v>
      </c>
      <c r="L19" s="1"/>
    </row>
    <row r="20" spans="1:12" x14ac:dyDescent="0.2">
      <c r="A20" s="157">
        <v>31</v>
      </c>
      <c r="B20" s="158" t="s">
        <v>11</v>
      </c>
      <c r="C20" s="159">
        <v>307403.78260132973</v>
      </c>
      <c r="D20" s="797">
        <v>0.1641875195843403</v>
      </c>
      <c r="E20" s="161">
        <v>14473.013703137993</v>
      </c>
      <c r="F20" s="1213">
        <v>145641.77593735227</v>
      </c>
      <c r="G20" s="1214">
        <f t="shared" si="0"/>
        <v>467518.57224181999</v>
      </c>
      <c r="H20" s="1215">
        <f t="shared" si="1"/>
        <v>467518.6</v>
      </c>
      <c r="L20" s="1"/>
    </row>
    <row r="21" spans="1:12" x14ac:dyDescent="0.2">
      <c r="A21" s="157">
        <v>33</v>
      </c>
      <c r="B21" s="158" t="s">
        <v>12</v>
      </c>
      <c r="C21" s="159">
        <v>122140.82301003768</v>
      </c>
      <c r="D21" s="797">
        <v>0.12273919459434261</v>
      </c>
      <c r="E21" s="161">
        <v>10819.373176312174</v>
      </c>
      <c r="F21" s="1213">
        <v>33029.363327356536</v>
      </c>
      <c r="G21" s="1214">
        <f t="shared" si="0"/>
        <v>165989.55951370636</v>
      </c>
      <c r="H21" s="1215">
        <f t="shared" si="1"/>
        <v>165989.6</v>
      </c>
      <c r="L21" s="1"/>
    </row>
    <row r="22" spans="1:12" x14ac:dyDescent="0.2">
      <c r="A22" s="157">
        <v>41</v>
      </c>
      <c r="B22" s="158" t="s">
        <v>13</v>
      </c>
      <c r="C22" s="159">
        <v>184841.80486699985</v>
      </c>
      <c r="D22" s="797">
        <v>0.15296928416457678</v>
      </c>
      <c r="E22" s="161">
        <v>13484.134186800193</v>
      </c>
      <c r="F22" s="1213">
        <v>39996.553044494634</v>
      </c>
      <c r="G22" s="1214">
        <f t="shared" si="0"/>
        <v>238322.49209829466</v>
      </c>
      <c r="H22" s="1215">
        <f t="shared" si="1"/>
        <v>238322.5</v>
      </c>
      <c r="L22" s="1"/>
    </row>
    <row r="23" spans="1:12" x14ac:dyDescent="0.2">
      <c r="A23" s="157">
        <v>51</v>
      </c>
      <c r="B23" s="158" t="s">
        <v>14</v>
      </c>
      <c r="C23" s="159">
        <v>74699.204072351495</v>
      </c>
      <c r="D23" s="797">
        <v>4.8482423698325811E-2</v>
      </c>
      <c r="E23" s="161">
        <v>4273.6913519591071</v>
      </c>
      <c r="F23" s="1213">
        <v>12417.144784784616</v>
      </c>
      <c r="G23" s="1214">
        <f t="shared" si="0"/>
        <v>91390.040209095212</v>
      </c>
      <c r="H23" s="1215">
        <f t="shared" si="1"/>
        <v>91390</v>
      </c>
      <c r="L23" s="1"/>
    </row>
    <row r="24" spans="1:12" x14ac:dyDescent="0.2">
      <c r="A24" s="157">
        <v>56</v>
      </c>
      <c r="B24" s="158" t="s">
        <v>15</v>
      </c>
      <c r="C24" s="159">
        <v>110141.48665260996</v>
      </c>
      <c r="D24" s="797">
        <v>0.14312967787893871</v>
      </c>
      <c r="E24" s="161">
        <v>12616.77985337676</v>
      </c>
      <c r="F24" s="1213">
        <v>33743.191779352848</v>
      </c>
      <c r="G24" s="1214">
        <f t="shared" si="0"/>
        <v>156501.45828533958</v>
      </c>
      <c r="H24" s="1215">
        <f t="shared" si="1"/>
        <v>156501.5</v>
      </c>
      <c r="L24" s="1"/>
    </row>
    <row r="25" spans="1:12" x14ac:dyDescent="0.2">
      <c r="A25" s="157">
        <v>71</v>
      </c>
      <c r="B25" s="162" t="s">
        <v>186</v>
      </c>
      <c r="C25" s="159"/>
      <c r="D25" s="160"/>
      <c r="E25" s="1126"/>
      <c r="F25" s="1213">
        <v>35482.303645874999</v>
      </c>
      <c r="G25" s="1214">
        <f t="shared" si="0"/>
        <v>35482.303645874999</v>
      </c>
      <c r="H25" s="1215">
        <f t="shared" si="1"/>
        <v>35482.300000000003</v>
      </c>
      <c r="L25" s="1"/>
    </row>
    <row r="26" spans="1:12" x14ac:dyDescent="0.2">
      <c r="A26" s="157">
        <v>85</v>
      </c>
      <c r="B26" s="162" t="s">
        <v>98</v>
      </c>
      <c r="C26" s="159"/>
      <c r="D26" s="160"/>
      <c r="E26" s="1126"/>
      <c r="F26" s="1213">
        <v>435.74212396720782</v>
      </c>
      <c r="G26" s="1214">
        <f t="shared" si="0"/>
        <v>435.74212396720782</v>
      </c>
      <c r="H26" s="1215">
        <f t="shared" si="1"/>
        <v>435.7</v>
      </c>
      <c r="L26" s="1"/>
    </row>
    <row r="27" spans="1:12" ht="13.5" thickBot="1" x14ac:dyDescent="0.25">
      <c r="A27" s="115">
        <v>92</v>
      </c>
      <c r="B27" s="163" t="s">
        <v>17</v>
      </c>
      <c r="C27" s="164"/>
      <c r="D27" s="165"/>
      <c r="E27" s="1127"/>
      <c r="F27" s="1216">
        <v>3362.3771919019005</v>
      </c>
      <c r="G27" s="1214">
        <f t="shared" si="0"/>
        <v>3362.3771919019005</v>
      </c>
      <c r="H27" s="1217">
        <f t="shared" si="1"/>
        <v>3362.4</v>
      </c>
      <c r="L27" s="1"/>
    </row>
    <row r="28" spans="1:12" ht="13.5" thickBot="1" x14ac:dyDescent="0.25">
      <c r="A28" s="166" t="s">
        <v>70</v>
      </c>
      <c r="B28" s="167"/>
      <c r="C28" s="168">
        <f t="shared" ref="C28:H28" si="2">SUM(C16:C27)</f>
        <v>1674836.5591719998</v>
      </c>
      <c r="D28" s="169">
        <f t="shared" si="2"/>
        <v>1</v>
      </c>
      <c r="E28" s="170">
        <f t="shared" si="2"/>
        <v>88149.292588000011</v>
      </c>
      <c r="F28" s="1129">
        <f t="shared" si="2"/>
        <v>556732.37423999992</v>
      </c>
      <c r="G28" s="1130">
        <f t="shared" si="2"/>
        <v>2319718.2259999989</v>
      </c>
      <c r="H28" s="879">
        <f t="shared" si="2"/>
        <v>2319718.3000000003</v>
      </c>
      <c r="L28" s="1"/>
    </row>
    <row r="29" spans="1:12" x14ac:dyDescent="0.2">
      <c r="A29" s="147"/>
      <c r="B29" s="118"/>
      <c r="C29" s="148"/>
      <c r="D29" s="148"/>
      <c r="E29" s="148"/>
      <c r="F29" s="148"/>
      <c r="G29" s="149"/>
      <c r="K29" s="73"/>
      <c r="L29" s="1"/>
    </row>
    <row r="30" spans="1:12" x14ac:dyDescent="0.2">
      <c r="F30" s="1" t="s">
        <v>526</v>
      </c>
    </row>
    <row r="31" spans="1:12" x14ac:dyDescent="0.2">
      <c r="C31" s="220"/>
    </row>
    <row r="43" spans="3:10" x14ac:dyDescent="0.2">
      <c r="I43" s="877"/>
      <c r="J43" s="877"/>
    </row>
    <row r="44" spans="3:10" x14ac:dyDescent="0.2">
      <c r="C44" s="73"/>
      <c r="D44" s="73"/>
      <c r="E44" s="73"/>
      <c r="F44" s="73"/>
      <c r="G44" s="73"/>
      <c r="I44" s="73"/>
      <c r="J44" s="73"/>
    </row>
    <row r="45" spans="3:10" x14ac:dyDescent="0.2">
      <c r="C45" s="73"/>
      <c r="D45" s="73"/>
      <c r="E45" s="73"/>
      <c r="F45" s="73"/>
      <c r="G45" s="73"/>
      <c r="I45" s="73"/>
      <c r="J45" s="73"/>
    </row>
    <row r="46" spans="3:10" x14ac:dyDescent="0.2">
      <c r="C46" s="73"/>
      <c r="D46" s="73"/>
      <c r="E46" s="73"/>
      <c r="F46" s="73"/>
      <c r="G46" s="73"/>
      <c r="I46" s="73"/>
      <c r="J46" s="73"/>
    </row>
    <row r="47" spans="3:10" x14ac:dyDescent="0.2">
      <c r="C47" s="73"/>
      <c r="D47" s="73"/>
      <c r="E47" s="73"/>
      <c r="F47" s="73"/>
      <c r="G47" s="73"/>
      <c r="I47" s="73"/>
      <c r="J47" s="73"/>
    </row>
    <row r="48" spans="3:10" x14ac:dyDescent="0.2">
      <c r="C48" s="73"/>
      <c r="D48" s="73"/>
      <c r="E48" s="73"/>
      <c r="F48" s="73"/>
      <c r="G48" s="73"/>
      <c r="I48" s="73"/>
      <c r="J48" s="73"/>
    </row>
    <row r="49" spans="3:10" x14ac:dyDescent="0.2">
      <c r="C49" s="73"/>
      <c r="D49" s="73"/>
      <c r="E49" s="73"/>
      <c r="F49" s="73"/>
      <c r="G49" s="73"/>
      <c r="I49" s="73"/>
      <c r="J49" s="73"/>
    </row>
    <row r="50" spans="3:10" x14ac:dyDescent="0.2">
      <c r="C50" s="73"/>
      <c r="D50" s="73"/>
      <c r="E50" s="73"/>
      <c r="F50" s="73"/>
      <c r="G50" s="73"/>
      <c r="I50" s="73"/>
      <c r="J50" s="73"/>
    </row>
    <row r="51" spans="3:10" x14ac:dyDescent="0.2">
      <c r="C51" s="73"/>
      <c r="D51" s="73"/>
      <c r="E51" s="73"/>
      <c r="F51" s="73"/>
      <c r="G51" s="73"/>
      <c r="I51" s="73"/>
      <c r="J51" s="73"/>
    </row>
    <row r="52" spans="3:10" x14ac:dyDescent="0.2">
      <c r="C52" s="73"/>
      <c r="D52" s="73"/>
      <c r="E52" s="73"/>
      <c r="F52" s="73"/>
      <c r="G52" s="73"/>
      <c r="I52" s="73"/>
      <c r="J52" s="73"/>
    </row>
    <row r="53" spans="3:10" x14ac:dyDescent="0.2">
      <c r="C53" s="73"/>
      <c r="D53" s="73"/>
      <c r="E53" s="73"/>
      <c r="F53" s="73"/>
      <c r="G53" s="73"/>
      <c r="I53" s="73"/>
      <c r="J53" s="73"/>
    </row>
    <row r="54" spans="3:10" x14ac:dyDescent="0.2">
      <c r="C54" s="73"/>
      <c r="D54" s="73"/>
      <c r="E54" s="73"/>
      <c r="F54" s="73"/>
      <c r="G54" s="73"/>
      <c r="I54" s="73"/>
      <c r="J54" s="73"/>
    </row>
    <row r="55" spans="3:10" x14ac:dyDescent="0.2">
      <c r="C55" s="73"/>
      <c r="D55" s="73"/>
      <c r="E55" s="73"/>
      <c r="F55" s="73"/>
      <c r="G55" s="73"/>
      <c r="I55" s="73"/>
      <c r="J55" s="73"/>
    </row>
  </sheetData>
  <mergeCells count="3">
    <mergeCell ref="A2:M2"/>
    <mergeCell ref="A14:B15"/>
    <mergeCell ref="C14:C15"/>
  </mergeCells>
  <phoneticPr fontId="0" type="noConversion"/>
  <pageMargins left="0.70866141732283472" right="0.27559055118110237" top="0.6692913385826772" bottom="0.62992125984251968" header="0.51181102362204722" footer="0.31496062992125984"/>
  <pageSetup paperSize="9" scale="85" orientation="landscape" horizontalDpi="300" verticalDpi="300" r:id="rId1"/>
  <headerFooter alignWithMargins="0">
    <oddFooter>&amp;C&amp;9&amp;P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selection sqref="A1:D1"/>
    </sheetView>
  </sheetViews>
  <sheetFormatPr defaultColWidth="8.7109375" defaultRowHeight="12.75" x14ac:dyDescent="0.2"/>
  <cols>
    <col min="1" max="1" width="8.28515625" style="1" customWidth="1"/>
    <col min="2" max="2" width="5.5703125" style="1" customWidth="1"/>
    <col min="3" max="3" width="6.28515625" style="1" customWidth="1"/>
    <col min="4" max="4" width="6.85546875" style="1" customWidth="1"/>
    <col min="5" max="5" width="23" style="1" customWidth="1"/>
    <col min="6" max="6" width="3.7109375" style="533" bestFit="1" customWidth="1"/>
    <col min="7" max="7" width="47.42578125" style="527" customWidth="1"/>
    <col min="8" max="8" width="10" style="1" customWidth="1"/>
    <col min="9" max="9" width="7.5703125" style="16" customWidth="1"/>
    <col min="10" max="13" width="8" style="16" customWidth="1"/>
    <col min="14" max="14" width="8.140625" style="16" customWidth="1"/>
    <col min="15" max="15" width="10.140625" style="13" customWidth="1"/>
    <col min="16" max="16" width="3.85546875" style="1" customWidth="1"/>
    <col min="17" max="16384" width="8.7109375" style="1"/>
  </cols>
  <sheetData>
    <row r="1" spans="1:18" ht="15.75" customHeight="1" x14ac:dyDescent="0.25">
      <c r="A1" s="1696" t="s">
        <v>627</v>
      </c>
      <c r="B1" s="1651"/>
      <c r="C1" s="1651"/>
      <c r="D1" s="1697"/>
      <c r="E1" s="1390"/>
      <c r="F1" s="458"/>
      <c r="G1" s="459"/>
      <c r="H1" s="460" t="s">
        <v>40</v>
      </c>
      <c r="I1" s="461" t="s">
        <v>77</v>
      </c>
      <c r="J1" s="1698" t="s">
        <v>101</v>
      </c>
      <c r="K1" s="1699"/>
      <c r="L1" s="1699"/>
      <c r="M1" s="1699"/>
      <c r="N1" s="1700"/>
      <c r="O1" s="462" t="s">
        <v>41</v>
      </c>
    </row>
    <row r="2" spans="1:18" ht="13.5" thickBot="1" x14ac:dyDescent="0.25">
      <c r="A2" s="463" t="s">
        <v>441</v>
      </c>
      <c r="B2" s="464"/>
      <c r="C2" s="464"/>
      <c r="D2" s="1701" t="s">
        <v>507</v>
      </c>
      <c r="E2" s="1702"/>
      <c r="F2" s="465" t="s">
        <v>33</v>
      </c>
      <c r="G2" s="466" t="s">
        <v>34</v>
      </c>
      <c r="H2" s="467">
        <v>2020</v>
      </c>
      <c r="I2" s="468" t="s">
        <v>102</v>
      </c>
      <c r="J2" s="1197" t="s">
        <v>103</v>
      </c>
      <c r="K2" s="469" t="s">
        <v>104</v>
      </c>
      <c r="L2" s="469" t="s">
        <v>105</v>
      </c>
      <c r="M2" s="1198" t="s">
        <v>134</v>
      </c>
      <c r="N2" s="468" t="s">
        <v>106</v>
      </c>
      <c r="O2" s="470">
        <v>2019</v>
      </c>
    </row>
    <row r="3" spans="1:18" ht="13.5" thickBot="1" x14ac:dyDescent="0.25">
      <c r="A3" s="471" t="s">
        <v>442</v>
      </c>
      <c r="B3" s="472"/>
      <c r="C3" s="472"/>
      <c r="D3" s="472"/>
      <c r="E3" s="472"/>
      <c r="F3" s="473">
        <v>1</v>
      </c>
      <c r="G3" s="474"/>
      <c r="H3" s="395">
        <f t="shared" ref="H3:O3" si="0">H4+SUM(H18:H27)</f>
        <v>0</v>
      </c>
      <c r="I3" s="476">
        <f t="shared" si="0"/>
        <v>0</v>
      </c>
      <c r="J3" s="477">
        <f t="shared" si="0"/>
        <v>0</v>
      </c>
      <c r="K3" s="477">
        <f t="shared" si="0"/>
        <v>0</v>
      </c>
      <c r="L3" s="477">
        <f t="shared" si="0"/>
        <v>0</v>
      </c>
      <c r="M3" s="477">
        <f t="shared" si="0"/>
        <v>0</v>
      </c>
      <c r="N3" s="476">
        <f t="shared" si="0"/>
        <v>0</v>
      </c>
      <c r="O3" s="478">
        <f t="shared" si="0"/>
        <v>0</v>
      </c>
    </row>
    <row r="4" spans="1:18" s="16" customFormat="1" ht="25.5" customHeight="1" x14ac:dyDescent="0.2">
      <c r="A4" s="801" t="s">
        <v>42</v>
      </c>
      <c r="B4" s="802" t="s">
        <v>107</v>
      </c>
      <c r="C4" s="802"/>
      <c r="D4" s="802"/>
      <c r="E4" s="802"/>
      <c r="F4" s="803">
        <f>F3+1</f>
        <v>2</v>
      </c>
      <c r="G4" s="804" t="s">
        <v>592</v>
      </c>
      <c r="H4" s="805">
        <f>SUM(H5:H15)</f>
        <v>0</v>
      </c>
      <c r="I4" s="806">
        <f t="shared" ref="I4:O4" si="1">SUM(I5:I15)</f>
        <v>0</v>
      </c>
      <c r="J4" s="807">
        <f t="shared" si="1"/>
        <v>0</v>
      </c>
      <c r="K4" s="807">
        <f t="shared" si="1"/>
        <v>0</v>
      </c>
      <c r="L4" s="807">
        <f t="shared" si="1"/>
        <v>0</v>
      </c>
      <c r="M4" s="807">
        <f t="shared" si="1"/>
        <v>0</v>
      </c>
      <c r="N4" s="806">
        <f t="shared" si="1"/>
        <v>0</v>
      </c>
      <c r="O4" s="808">
        <f t="shared" si="1"/>
        <v>0</v>
      </c>
    </row>
    <row r="5" spans="1:18" s="218" customFormat="1" x14ac:dyDescent="0.2">
      <c r="A5" s="480"/>
      <c r="B5" s="453"/>
      <c r="C5" s="453" t="s">
        <v>43</v>
      </c>
      <c r="D5" s="481" t="s">
        <v>44</v>
      </c>
      <c r="E5" s="481"/>
      <c r="F5" s="482">
        <f t="shared" ref="F5:F27" si="2">F4+1</f>
        <v>3</v>
      </c>
      <c r="G5" s="483"/>
      <c r="H5" s="484"/>
      <c r="I5" s="486"/>
      <c r="J5" s="486"/>
      <c r="K5" s="487"/>
      <c r="L5" s="487"/>
      <c r="M5" s="487"/>
      <c r="N5" s="485"/>
      <c r="O5" s="488"/>
    </row>
    <row r="6" spans="1:18" s="218" customFormat="1" x14ac:dyDescent="0.2">
      <c r="A6" s="480"/>
      <c r="B6" s="453"/>
      <c r="C6" s="453"/>
      <c r="D6" s="481" t="s">
        <v>45</v>
      </c>
      <c r="E6" s="481"/>
      <c r="F6" s="482">
        <f t="shared" si="2"/>
        <v>4</v>
      </c>
      <c r="G6" s="483"/>
      <c r="H6" s="484"/>
      <c r="I6" s="486"/>
      <c r="J6" s="486"/>
      <c r="K6" s="487"/>
      <c r="L6" s="487"/>
      <c r="M6" s="487"/>
      <c r="N6" s="485"/>
      <c r="O6" s="488"/>
    </row>
    <row r="7" spans="1:18" s="218" customFormat="1" x14ac:dyDescent="0.2">
      <c r="A7" s="480"/>
      <c r="B7" s="453"/>
      <c r="C7" s="453"/>
      <c r="D7" s="481" t="s">
        <v>122</v>
      </c>
      <c r="E7" s="481"/>
      <c r="F7" s="482">
        <f t="shared" si="2"/>
        <v>5</v>
      </c>
      <c r="G7" s="483"/>
      <c r="H7" s="484"/>
      <c r="I7" s="486"/>
      <c r="J7" s="486"/>
      <c r="K7" s="487"/>
      <c r="L7" s="487"/>
      <c r="M7" s="487"/>
      <c r="N7" s="485"/>
      <c r="O7" s="488"/>
    </row>
    <row r="8" spans="1:18" s="218" customFormat="1" x14ac:dyDescent="0.2">
      <c r="A8" s="480"/>
      <c r="B8" s="453"/>
      <c r="C8" s="453"/>
      <c r="D8" s="481" t="s">
        <v>46</v>
      </c>
      <c r="E8" s="481"/>
      <c r="F8" s="482">
        <f t="shared" si="2"/>
        <v>6</v>
      </c>
      <c r="G8" s="483"/>
      <c r="H8" s="484"/>
      <c r="I8" s="486"/>
      <c r="J8" s="486"/>
      <c r="K8" s="487"/>
      <c r="L8" s="487"/>
      <c r="M8" s="487"/>
      <c r="N8" s="485"/>
      <c r="O8" s="488"/>
    </row>
    <row r="9" spans="1:18" s="218" customFormat="1" x14ac:dyDescent="0.2">
      <c r="A9" s="480"/>
      <c r="B9" s="453"/>
      <c r="C9" s="453"/>
      <c r="D9" s="481" t="s">
        <v>47</v>
      </c>
      <c r="E9" s="481"/>
      <c r="F9" s="482">
        <f t="shared" si="2"/>
        <v>7</v>
      </c>
      <c r="G9" s="483"/>
      <c r="H9" s="484"/>
      <c r="I9" s="486"/>
      <c r="J9" s="486"/>
      <c r="K9" s="487"/>
      <c r="L9" s="487"/>
      <c r="M9" s="487"/>
      <c r="N9" s="485"/>
      <c r="O9" s="488"/>
    </row>
    <row r="10" spans="1:18" s="218" customFormat="1" x14ac:dyDescent="0.2">
      <c r="A10" s="480"/>
      <c r="B10" s="453"/>
      <c r="C10" s="453"/>
      <c r="D10" s="481" t="s">
        <v>48</v>
      </c>
      <c r="E10" s="481"/>
      <c r="F10" s="482">
        <f t="shared" si="2"/>
        <v>8</v>
      </c>
      <c r="G10" s="483"/>
      <c r="H10" s="484"/>
      <c r="I10" s="486"/>
      <c r="J10" s="486"/>
      <c r="K10" s="487"/>
      <c r="L10" s="487"/>
      <c r="M10" s="487"/>
      <c r="N10" s="485"/>
      <c r="O10" s="488"/>
      <c r="Q10" s="489"/>
      <c r="R10" s="489"/>
    </row>
    <row r="11" spans="1:18" s="218" customFormat="1" x14ac:dyDescent="0.2">
      <c r="A11" s="480"/>
      <c r="B11" s="453"/>
      <c r="C11" s="453"/>
      <c r="D11" s="481" t="s">
        <v>49</v>
      </c>
      <c r="E11" s="481"/>
      <c r="F11" s="482">
        <f t="shared" si="2"/>
        <v>9</v>
      </c>
      <c r="G11" s="483"/>
      <c r="H11" s="484"/>
      <c r="I11" s="486"/>
      <c r="J11" s="486"/>
      <c r="K11" s="487"/>
      <c r="L11" s="487"/>
      <c r="M11" s="487"/>
      <c r="N11" s="485"/>
      <c r="O11" s="488"/>
      <c r="Q11" s="489"/>
      <c r="R11" s="489"/>
    </row>
    <row r="12" spans="1:18" s="218" customFormat="1" x14ac:dyDescent="0.2">
      <c r="A12" s="480"/>
      <c r="B12" s="453"/>
      <c r="C12" s="453"/>
      <c r="D12" s="481" t="s">
        <v>50</v>
      </c>
      <c r="E12" s="481"/>
      <c r="F12" s="482">
        <f t="shared" si="2"/>
        <v>10</v>
      </c>
      <c r="G12" s="483"/>
      <c r="H12" s="484"/>
      <c r="I12" s="486"/>
      <c r="J12" s="486"/>
      <c r="K12" s="487"/>
      <c r="L12" s="487"/>
      <c r="M12" s="487"/>
      <c r="N12" s="485"/>
      <c r="O12" s="488"/>
    </row>
    <row r="13" spans="1:18" s="218" customFormat="1" x14ac:dyDescent="0.2">
      <c r="A13" s="480"/>
      <c r="B13" s="453"/>
      <c r="C13" s="453"/>
      <c r="D13" s="481" t="s">
        <v>22</v>
      </c>
      <c r="E13" s="481"/>
      <c r="F13" s="482">
        <f t="shared" si="2"/>
        <v>11</v>
      </c>
      <c r="G13" s="483"/>
      <c r="H13" s="484"/>
      <c r="I13" s="486"/>
      <c r="J13" s="486"/>
      <c r="K13" s="487"/>
      <c r="L13" s="487"/>
      <c r="M13" s="487"/>
      <c r="N13" s="485"/>
      <c r="O13" s="488"/>
    </row>
    <row r="14" spans="1:18" s="218" customFormat="1" x14ac:dyDescent="0.2">
      <c r="A14" s="480"/>
      <c r="B14" s="453"/>
      <c r="C14" s="453"/>
      <c r="D14" s="481" t="s">
        <v>51</v>
      </c>
      <c r="E14" s="481"/>
      <c r="F14" s="482">
        <f>F13+1</f>
        <v>12</v>
      </c>
      <c r="G14" s="483"/>
      <c r="H14" s="484"/>
      <c r="I14" s="486"/>
      <c r="J14" s="486"/>
      <c r="K14" s="487"/>
      <c r="L14" s="487"/>
      <c r="M14" s="487"/>
      <c r="N14" s="485"/>
      <c r="O14" s="488"/>
    </row>
    <row r="15" spans="1:18" s="218" customFormat="1" x14ac:dyDescent="0.2">
      <c r="A15" s="480"/>
      <c r="B15" s="453"/>
      <c r="C15" s="481"/>
      <c r="D15" s="481" t="s">
        <v>20</v>
      </c>
      <c r="E15" s="481"/>
      <c r="F15" s="482">
        <f t="shared" si="2"/>
        <v>13</v>
      </c>
      <c r="G15" s="483"/>
      <c r="H15" s="484"/>
      <c r="I15" s="486"/>
      <c r="J15" s="486"/>
      <c r="K15" s="487"/>
      <c r="L15" s="487"/>
      <c r="M15" s="487"/>
      <c r="N15" s="485"/>
      <c r="O15" s="488"/>
    </row>
    <row r="16" spans="1:18" s="237" customFormat="1" ht="12" hidden="1" x14ac:dyDescent="0.2">
      <c r="A16" s="490"/>
      <c r="B16" s="491"/>
      <c r="C16" s="492"/>
      <c r="D16" s="492"/>
      <c r="E16" s="492" t="s">
        <v>149</v>
      </c>
      <c r="F16" s="482" t="s">
        <v>443</v>
      </c>
      <c r="G16" s="493"/>
      <c r="H16" s="494"/>
      <c r="I16" s="496"/>
      <c r="J16" s="496"/>
      <c r="K16" s="497"/>
      <c r="L16" s="497"/>
      <c r="M16" s="497"/>
      <c r="N16" s="495"/>
      <c r="O16" s="488"/>
    </row>
    <row r="17" spans="1:15" s="237" customFormat="1" ht="12" hidden="1" x14ac:dyDescent="0.2">
      <c r="A17" s="490"/>
      <c r="B17" s="491"/>
      <c r="C17" s="815"/>
      <c r="D17" s="815"/>
      <c r="E17" s="815" t="s">
        <v>164</v>
      </c>
      <c r="F17" s="816" t="s">
        <v>444</v>
      </c>
      <c r="G17" s="817"/>
      <c r="H17" s="818"/>
      <c r="I17" s="820"/>
      <c r="J17" s="820"/>
      <c r="K17" s="821"/>
      <c r="L17" s="821"/>
      <c r="M17" s="821"/>
      <c r="N17" s="819"/>
      <c r="O17" s="822"/>
    </row>
    <row r="18" spans="1:15" s="16" customFormat="1" x14ac:dyDescent="0.2">
      <c r="A18" s="479"/>
      <c r="B18" s="823" t="s">
        <v>52</v>
      </c>
      <c r="C18" s="823"/>
      <c r="D18" s="823"/>
      <c r="E18" s="823"/>
      <c r="F18" s="824">
        <f>F15+1</f>
        <v>14</v>
      </c>
      <c r="G18" s="825" t="s">
        <v>53</v>
      </c>
      <c r="H18" s="826"/>
      <c r="I18" s="828"/>
      <c r="J18" s="828"/>
      <c r="K18" s="1199"/>
      <c r="L18" s="1199"/>
      <c r="M18" s="1199"/>
      <c r="N18" s="827"/>
      <c r="O18" s="829"/>
    </row>
    <row r="19" spans="1:15" s="16" customFormat="1" x14ac:dyDescent="0.2">
      <c r="A19" s="479"/>
      <c r="B19" s="56" t="s">
        <v>54</v>
      </c>
      <c r="C19" s="48"/>
      <c r="D19" s="48"/>
      <c r="E19" s="48"/>
      <c r="F19" s="482">
        <f t="shared" si="2"/>
        <v>15</v>
      </c>
      <c r="G19" s="499" t="s">
        <v>55</v>
      </c>
      <c r="H19" s="500"/>
      <c r="I19" s="502"/>
      <c r="J19" s="502"/>
      <c r="K19" s="503"/>
      <c r="L19" s="503"/>
      <c r="M19" s="503"/>
      <c r="N19" s="501"/>
      <c r="O19" s="504"/>
    </row>
    <row r="20" spans="1:15" s="16" customFormat="1" x14ac:dyDescent="0.2">
      <c r="A20" s="479"/>
      <c r="B20" s="505" t="s">
        <v>56</v>
      </c>
      <c r="C20" s="506"/>
      <c r="D20" s="506"/>
      <c r="E20" s="506"/>
      <c r="F20" s="482">
        <f t="shared" si="2"/>
        <v>16</v>
      </c>
      <c r="G20" s="507" t="s">
        <v>393</v>
      </c>
      <c r="H20" s="500"/>
      <c r="I20" s="502"/>
      <c r="J20" s="502"/>
      <c r="K20" s="503"/>
      <c r="L20" s="503"/>
      <c r="M20" s="503"/>
      <c r="N20" s="501"/>
      <c r="O20" s="504"/>
    </row>
    <row r="21" spans="1:15" s="16" customFormat="1" x14ac:dyDescent="0.2">
      <c r="A21" s="479"/>
      <c r="B21" s="505" t="s">
        <v>57</v>
      </c>
      <c r="C21" s="505"/>
      <c r="D21" s="505"/>
      <c r="E21" s="506"/>
      <c r="F21" s="482">
        <f t="shared" si="2"/>
        <v>17</v>
      </c>
      <c r="G21" s="508" t="s">
        <v>108</v>
      </c>
      <c r="H21" s="500"/>
      <c r="I21" s="502"/>
      <c r="J21" s="502"/>
      <c r="K21" s="503"/>
      <c r="L21" s="503"/>
      <c r="M21" s="503"/>
      <c r="N21" s="501"/>
      <c r="O21" s="504"/>
    </row>
    <row r="22" spans="1:15" s="16" customFormat="1" x14ac:dyDescent="0.2">
      <c r="A22" s="479"/>
      <c r="B22" s="505" t="s">
        <v>445</v>
      </c>
      <c r="C22" s="505"/>
      <c r="D22" s="505"/>
      <c r="E22" s="506"/>
      <c r="F22" s="482">
        <f t="shared" si="2"/>
        <v>18</v>
      </c>
      <c r="G22" s="508" t="s">
        <v>109</v>
      </c>
      <c r="H22" s="500"/>
      <c r="I22" s="502"/>
      <c r="J22" s="502"/>
      <c r="K22" s="503"/>
      <c r="L22" s="503"/>
      <c r="M22" s="503"/>
      <c r="N22" s="501"/>
      <c r="O22" s="504"/>
    </row>
    <row r="23" spans="1:15" s="16" customFormat="1" x14ac:dyDescent="0.2">
      <c r="A23" s="479"/>
      <c r="B23" s="505" t="s">
        <v>120</v>
      </c>
      <c r="C23" s="505"/>
      <c r="D23" s="505"/>
      <c r="E23" s="506"/>
      <c r="F23" s="482">
        <f>F22+1</f>
        <v>19</v>
      </c>
      <c r="G23" s="508" t="s">
        <v>58</v>
      </c>
      <c r="H23" s="500"/>
      <c r="I23" s="501"/>
      <c r="J23" s="503"/>
      <c r="K23" s="503"/>
      <c r="L23" s="503"/>
      <c r="M23" s="503"/>
      <c r="N23" s="501"/>
      <c r="O23" s="504"/>
    </row>
    <row r="24" spans="1:15" s="16" customFormat="1" x14ac:dyDescent="0.2">
      <c r="A24" s="479"/>
      <c r="B24" s="505" t="s">
        <v>59</v>
      </c>
      <c r="C24" s="505"/>
      <c r="D24" s="505"/>
      <c r="E24" s="506"/>
      <c r="F24" s="482">
        <f t="shared" si="2"/>
        <v>20</v>
      </c>
      <c r="G24" s="809" t="s">
        <v>628</v>
      </c>
      <c r="H24" s="500"/>
      <c r="I24" s="501"/>
      <c r="J24" s="503"/>
      <c r="K24" s="503"/>
      <c r="L24" s="503"/>
      <c r="M24" s="503"/>
      <c r="N24" s="501"/>
      <c r="O24" s="504"/>
    </row>
    <row r="25" spans="1:15" s="16" customFormat="1" x14ac:dyDescent="0.2">
      <c r="A25" s="479"/>
      <c r="B25" s="505" t="s">
        <v>171</v>
      </c>
      <c r="C25" s="505"/>
      <c r="D25" s="505"/>
      <c r="E25" s="506"/>
      <c r="F25" s="482">
        <f t="shared" si="2"/>
        <v>21</v>
      </c>
      <c r="G25" s="508" t="s">
        <v>508</v>
      </c>
      <c r="H25" s="500"/>
      <c r="I25" s="501"/>
      <c r="J25" s="503"/>
      <c r="K25" s="503"/>
      <c r="L25" s="503"/>
      <c r="M25" s="503"/>
      <c r="N25" s="501"/>
      <c r="O25" s="504"/>
    </row>
    <row r="26" spans="1:15" s="16" customFormat="1" x14ac:dyDescent="0.2">
      <c r="A26" s="479"/>
      <c r="B26" s="505" t="s">
        <v>121</v>
      </c>
      <c r="C26" s="505"/>
      <c r="D26" s="505"/>
      <c r="E26" s="506"/>
      <c r="F26" s="482">
        <f t="shared" si="2"/>
        <v>22</v>
      </c>
      <c r="G26" s="508" t="s">
        <v>111</v>
      </c>
      <c r="H26" s="500"/>
      <c r="I26" s="501"/>
      <c r="J26" s="503"/>
      <c r="K26" s="503"/>
      <c r="L26" s="503"/>
      <c r="M26" s="503"/>
      <c r="N26" s="501"/>
      <c r="O26" s="504"/>
    </row>
    <row r="27" spans="1:15" s="16" customFormat="1" ht="13.5" thickBot="1" x14ac:dyDescent="0.25">
      <c r="A27" s="479"/>
      <c r="B27" s="56" t="s">
        <v>60</v>
      </c>
      <c r="C27" s="56"/>
      <c r="D27" s="56"/>
      <c r="E27" s="48"/>
      <c r="F27" s="482">
        <f t="shared" si="2"/>
        <v>23</v>
      </c>
      <c r="G27" s="509" t="s">
        <v>61</v>
      </c>
      <c r="H27" s="500"/>
      <c r="I27" s="501"/>
      <c r="J27" s="503"/>
      <c r="K27" s="503"/>
      <c r="L27" s="503"/>
      <c r="M27" s="503"/>
      <c r="N27" s="501"/>
      <c r="O27" s="504"/>
    </row>
    <row r="28" spans="1:15" ht="13.5" thickBot="1" x14ac:dyDescent="0.25">
      <c r="A28" s="510" t="s">
        <v>446</v>
      </c>
      <c r="B28" s="511"/>
      <c r="C28" s="511"/>
      <c r="D28" s="511"/>
      <c r="E28" s="511"/>
      <c r="F28" s="473">
        <f>F27+1</f>
        <v>24</v>
      </c>
      <c r="G28" s="512"/>
      <c r="H28" s="395">
        <f>SUM(H29:H43)</f>
        <v>0</v>
      </c>
      <c r="I28" s="476">
        <f t="shared" ref="I28:O28" si="3">SUM(I29:I43)</f>
        <v>0</v>
      </c>
      <c r="J28" s="477">
        <f t="shared" si="3"/>
        <v>0</v>
      </c>
      <c r="K28" s="477">
        <f t="shared" si="3"/>
        <v>0</v>
      </c>
      <c r="L28" s="477">
        <f t="shared" si="3"/>
        <v>0</v>
      </c>
      <c r="M28" s="477">
        <f t="shared" si="3"/>
        <v>0</v>
      </c>
      <c r="N28" s="476">
        <f t="shared" si="3"/>
        <v>0</v>
      </c>
      <c r="O28" s="478">
        <f t="shared" si="3"/>
        <v>0</v>
      </c>
    </row>
    <row r="29" spans="1:15" s="16" customFormat="1" x14ac:dyDescent="0.2">
      <c r="A29" s="479" t="s">
        <v>42</v>
      </c>
      <c r="B29" s="48" t="s">
        <v>112</v>
      </c>
      <c r="C29" s="48"/>
      <c r="D29" s="48"/>
      <c r="E29" s="48"/>
      <c r="F29" s="498">
        <f>F28+1</f>
        <v>25</v>
      </c>
      <c r="G29" s="499" t="s">
        <v>62</v>
      </c>
      <c r="H29" s="1200"/>
      <c r="I29" s="1201"/>
      <c r="J29" s="1202"/>
      <c r="K29" s="1202"/>
      <c r="L29" s="1202"/>
      <c r="M29" s="1202"/>
      <c r="N29" s="1201"/>
      <c r="O29" s="1203"/>
    </row>
    <row r="30" spans="1:15" s="16" customFormat="1" x14ac:dyDescent="0.2">
      <c r="A30" s="479"/>
      <c r="B30" s="56" t="s">
        <v>52</v>
      </c>
      <c r="C30" s="56"/>
      <c r="D30" s="56"/>
      <c r="E30" s="48"/>
      <c r="F30" s="498">
        <f>F29+1</f>
        <v>26</v>
      </c>
      <c r="G30" s="509" t="s">
        <v>53</v>
      </c>
      <c r="H30" s="500"/>
      <c r="I30" s="1204"/>
      <c r="J30" s="1205"/>
      <c r="K30" s="1205"/>
      <c r="L30" s="1205"/>
      <c r="M30" s="1205"/>
      <c r="N30" s="1204"/>
      <c r="O30" s="1206"/>
    </row>
    <row r="31" spans="1:15" s="16" customFormat="1" x14ac:dyDescent="0.2">
      <c r="A31" s="479"/>
      <c r="B31" s="56" t="s">
        <v>54</v>
      </c>
      <c r="C31" s="56"/>
      <c r="D31" s="56"/>
      <c r="E31" s="48"/>
      <c r="F31" s="498">
        <f t="shared" ref="F31:F42" si="4">F30+1</f>
        <v>27</v>
      </c>
      <c r="G31" s="509" t="s">
        <v>55</v>
      </c>
      <c r="H31" s="500"/>
      <c r="I31" s="1204"/>
      <c r="J31" s="1205"/>
      <c r="K31" s="1205"/>
      <c r="L31" s="1205"/>
      <c r="M31" s="1205"/>
      <c r="N31" s="1204"/>
      <c r="O31" s="1206"/>
    </row>
    <row r="32" spans="1:15" s="16" customFormat="1" x14ac:dyDescent="0.2">
      <c r="A32" s="479"/>
      <c r="B32" s="505" t="s">
        <v>56</v>
      </c>
      <c r="C32" s="506"/>
      <c r="D32" s="506"/>
      <c r="E32" s="506"/>
      <c r="F32" s="498">
        <f t="shared" si="4"/>
        <v>28</v>
      </c>
      <c r="G32" s="507" t="s">
        <v>394</v>
      </c>
      <c r="H32" s="500"/>
      <c r="I32" s="1204"/>
      <c r="J32" s="1205"/>
      <c r="K32" s="1205"/>
      <c r="L32" s="1205"/>
      <c r="M32" s="1205"/>
      <c r="N32" s="1204"/>
      <c r="O32" s="1206"/>
    </row>
    <row r="33" spans="1:15" s="16" customFormat="1" x14ac:dyDescent="0.2">
      <c r="A33" s="479"/>
      <c r="B33" s="505" t="s">
        <v>113</v>
      </c>
      <c r="C33" s="505"/>
      <c r="D33" s="505"/>
      <c r="E33" s="506"/>
      <c r="F33" s="498">
        <f t="shared" si="4"/>
        <v>29</v>
      </c>
      <c r="G33" s="508" t="s">
        <v>395</v>
      </c>
      <c r="H33" s="500"/>
      <c r="I33" s="1204"/>
      <c r="J33" s="1205"/>
      <c r="K33" s="1205"/>
      <c r="L33" s="1205"/>
      <c r="M33" s="1205"/>
      <c r="N33" s="1204"/>
      <c r="O33" s="1206"/>
    </row>
    <row r="34" spans="1:15" s="16" customFormat="1" x14ac:dyDescent="0.2">
      <c r="A34" s="479"/>
      <c r="B34" s="505" t="s">
        <v>57</v>
      </c>
      <c r="C34" s="505"/>
      <c r="D34" s="505"/>
      <c r="E34" s="506"/>
      <c r="F34" s="498">
        <f t="shared" si="4"/>
        <v>30</v>
      </c>
      <c r="G34" s="508" t="s">
        <v>108</v>
      </c>
      <c r="H34" s="500"/>
      <c r="I34" s="1204"/>
      <c r="J34" s="1205"/>
      <c r="K34" s="1205"/>
      <c r="L34" s="1205"/>
      <c r="M34" s="1205"/>
      <c r="N34" s="1204"/>
      <c r="O34" s="1206"/>
    </row>
    <row r="35" spans="1:15" s="16" customFormat="1" x14ac:dyDescent="0.2">
      <c r="A35" s="479"/>
      <c r="B35" s="505" t="s">
        <v>445</v>
      </c>
      <c r="C35" s="505"/>
      <c r="D35" s="505"/>
      <c r="E35" s="506"/>
      <c r="F35" s="498">
        <f t="shared" si="4"/>
        <v>31</v>
      </c>
      <c r="G35" s="508" t="s">
        <v>109</v>
      </c>
      <c r="H35" s="500"/>
      <c r="I35" s="1204"/>
      <c r="J35" s="1205"/>
      <c r="K35" s="1205"/>
      <c r="L35" s="1205"/>
      <c r="M35" s="1205"/>
      <c r="N35" s="1204"/>
      <c r="O35" s="1206"/>
    </row>
    <row r="36" spans="1:15" s="16" customFormat="1" x14ac:dyDescent="0.2">
      <c r="A36" s="479"/>
      <c r="B36" s="505" t="s">
        <v>114</v>
      </c>
      <c r="C36" s="505"/>
      <c r="D36" s="505"/>
      <c r="E36" s="506"/>
      <c r="F36" s="498">
        <f t="shared" si="4"/>
        <v>32</v>
      </c>
      <c r="G36" s="508" t="s">
        <v>58</v>
      </c>
      <c r="H36" s="500"/>
      <c r="I36" s="1204"/>
      <c r="J36" s="1205"/>
      <c r="K36" s="1205"/>
      <c r="L36" s="1205"/>
      <c r="M36" s="1205"/>
      <c r="N36" s="1204"/>
      <c r="O36" s="1206"/>
    </row>
    <row r="37" spans="1:15" s="16" customFormat="1" x14ac:dyDescent="0.2">
      <c r="A37" s="479"/>
      <c r="B37" s="505" t="s">
        <v>148</v>
      </c>
      <c r="C37" s="505"/>
      <c r="D37" s="505"/>
      <c r="E37" s="506"/>
      <c r="F37" s="498">
        <f t="shared" si="4"/>
        <v>33</v>
      </c>
      <c r="G37" s="508">
        <v>2112</v>
      </c>
      <c r="H37" s="500"/>
      <c r="I37" s="1204"/>
      <c r="J37" s="1205"/>
      <c r="K37" s="1205"/>
      <c r="L37" s="1205"/>
      <c r="M37" s="1205"/>
      <c r="N37" s="1204"/>
      <c r="O37" s="1206"/>
    </row>
    <row r="38" spans="1:15" s="16" customFormat="1" x14ac:dyDescent="0.2">
      <c r="A38" s="479"/>
      <c r="B38" s="505" t="s">
        <v>115</v>
      </c>
      <c r="C38" s="505"/>
      <c r="D38" s="505"/>
      <c r="E38" s="506"/>
      <c r="F38" s="498">
        <f t="shared" si="4"/>
        <v>34</v>
      </c>
      <c r="G38" s="508" t="s">
        <v>629</v>
      </c>
      <c r="H38" s="500"/>
      <c r="I38" s="1204"/>
      <c r="J38" s="1205"/>
      <c r="K38" s="1205"/>
      <c r="L38" s="1205"/>
      <c r="M38" s="1205"/>
      <c r="N38" s="1204"/>
      <c r="O38" s="1206"/>
    </row>
    <row r="39" spans="1:15" s="16" customFormat="1" x14ac:dyDescent="0.2">
      <c r="A39" s="479"/>
      <c r="B39" s="505" t="s">
        <v>171</v>
      </c>
      <c r="C39" s="505"/>
      <c r="D39" s="505"/>
      <c r="E39" s="506"/>
      <c r="F39" s="498">
        <f t="shared" si="4"/>
        <v>35</v>
      </c>
      <c r="G39" s="508" t="s">
        <v>508</v>
      </c>
      <c r="H39" s="500"/>
      <c r="I39" s="1204"/>
      <c r="J39" s="1205"/>
      <c r="K39" s="1205"/>
      <c r="L39" s="1205"/>
      <c r="M39" s="1205"/>
      <c r="N39" s="1204"/>
      <c r="O39" s="1206"/>
    </row>
    <row r="40" spans="1:15" s="16" customFormat="1" x14ac:dyDescent="0.2">
      <c r="A40" s="479"/>
      <c r="B40" s="505" t="s">
        <v>110</v>
      </c>
      <c r="C40" s="505"/>
      <c r="D40" s="505"/>
      <c r="E40" s="506"/>
      <c r="F40" s="498">
        <f t="shared" si="4"/>
        <v>36</v>
      </c>
      <c r="G40" s="508" t="s">
        <v>111</v>
      </c>
      <c r="H40" s="500"/>
      <c r="I40" s="1204"/>
      <c r="J40" s="1205"/>
      <c r="K40" s="1205"/>
      <c r="L40" s="1205"/>
      <c r="M40" s="1205"/>
      <c r="N40" s="1204"/>
      <c r="O40" s="1206"/>
    </row>
    <row r="41" spans="1:15" s="16" customFormat="1" x14ac:dyDescent="0.2">
      <c r="A41" s="479"/>
      <c r="B41" s="505" t="s">
        <v>116</v>
      </c>
      <c r="C41" s="505"/>
      <c r="D41" s="505"/>
      <c r="E41" s="506"/>
      <c r="F41" s="498">
        <f t="shared" si="4"/>
        <v>37</v>
      </c>
      <c r="G41" s="508" t="s">
        <v>172</v>
      </c>
      <c r="H41" s="500"/>
      <c r="I41" s="1204"/>
      <c r="J41" s="1205"/>
      <c r="K41" s="1205"/>
      <c r="L41" s="1205"/>
      <c r="M41" s="1205"/>
      <c r="N41" s="1204"/>
      <c r="O41" s="1206"/>
    </row>
    <row r="42" spans="1:15" s="16" customFormat="1" x14ac:dyDescent="0.2">
      <c r="A42" s="479"/>
      <c r="B42" s="505" t="s">
        <v>63</v>
      </c>
      <c r="C42" s="505"/>
      <c r="D42" s="505"/>
      <c r="E42" s="506"/>
      <c r="F42" s="498">
        <f t="shared" si="4"/>
        <v>38</v>
      </c>
      <c r="G42" s="508" t="s">
        <v>151</v>
      </c>
      <c r="H42" s="500"/>
      <c r="I42" s="1204"/>
      <c r="J42" s="1205"/>
      <c r="K42" s="1205"/>
      <c r="L42" s="1205"/>
      <c r="M42" s="1205"/>
      <c r="N42" s="1204"/>
      <c r="O42" s="1206"/>
    </row>
    <row r="43" spans="1:15" s="16" customFormat="1" x14ac:dyDescent="0.2">
      <c r="A43" s="513"/>
      <c r="B43" s="514" t="s">
        <v>60</v>
      </c>
      <c r="C43" s="514"/>
      <c r="D43" s="514"/>
      <c r="E43" s="514"/>
      <c r="F43" s="515">
        <f>F42+1</f>
        <v>39</v>
      </c>
      <c r="G43" s="516" t="s">
        <v>61</v>
      </c>
      <c r="H43" s="830"/>
      <c r="I43" s="517"/>
      <c r="J43" s="518"/>
      <c r="K43" s="518"/>
      <c r="L43" s="518"/>
      <c r="M43" s="518"/>
      <c r="N43" s="517"/>
      <c r="O43" s="519"/>
    </row>
    <row r="44" spans="1:15" s="16" customFormat="1" ht="13.5" thickBot="1" x14ac:dyDescent="0.25">
      <c r="A44" s="520" t="s">
        <v>447</v>
      </c>
      <c r="B44" s="521"/>
      <c r="C44" s="521"/>
      <c r="D44" s="521"/>
      <c r="E44" s="62"/>
      <c r="F44" s="498">
        <f>F43+1</f>
        <v>40</v>
      </c>
      <c r="G44" s="522"/>
      <c r="H44" s="523">
        <f>H29+H33+H37+H41+H42+H43-H4-H27</f>
        <v>0</v>
      </c>
      <c r="I44" s="524"/>
      <c r="J44" s="525"/>
      <c r="K44" s="525"/>
      <c r="L44" s="525"/>
      <c r="M44" s="525"/>
      <c r="N44" s="524"/>
      <c r="O44" s="526">
        <f>O29+O33+O37+O41+O42+O43-O4-O27</f>
        <v>0</v>
      </c>
    </row>
    <row r="45" spans="1:15" ht="13.5" thickBot="1" x14ac:dyDescent="0.25">
      <c r="A45" s="510" t="s">
        <v>448</v>
      </c>
      <c r="B45" s="511"/>
      <c r="C45" s="511"/>
      <c r="D45" s="511"/>
      <c r="E45" s="511"/>
      <c r="F45" s="473">
        <f>F44+1</f>
        <v>41</v>
      </c>
      <c r="G45" s="512"/>
      <c r="H45" s="395">
        <f t="shared" ref="H45:O45" si="5">H28-H3</f>
        <v>0</v>
      </c>
      <c r="I45" s="476">
        <f t="shared" si="5"/>
        <v>0</v>
      </c>
      <c r="J45" s="477">
        <f t="shared" si="5"/>
        <v>0</v>
      </c>
      <c r="K45" s="477">
        <f t="shared" si="5"/>
        <v>0</v>
      </c>
      <c r="L45" s="477">
        <f t="shared" si="5"/>
        <v>0</v>
      </c>
      <c r="M45" s="477">
        <f t="shared" si="5"/>
        <v>0</v>
      </c>
      <c r="N45" s="476">
        <f t="shared" si="5"/>
        <v>0</v>
      </c>
      <c r="O45" s="478">
        <f t="shared" si="5"/>
        <v>0</v>
      </c>
    </row>
    <row r="46" spans="1:15" x14ac:dyDescent="0.2">
      <c r="A46" s="13" t="s">
        <v>72</v>
      </c>
      <c r="B46" s="13"/>
      <c r="C46" s="13"/>
      <c r="D46" s="13"/>
      <c r="E46" s="13"/>
      <c r="F46" s="137"/>
      <c r="G46" s="527" t="s">
        <v>73</v>
      </c>
    </row>
    <row r="47" spans="1:15" s="13" customFormat="1" x14ac:dyDescent="0.2">
      <c r="F47" s="137"/>
      <c r="G47" s="527"/>
      <c r="H47" s="1"/>
      <c r="I47" s="16"/>
      <c r="J47" s="16"/>
      <c r="K47" s="16"/>
      <c r="L47" s="16"/>
      <c r="M47" s="16"/>
      <c r="N47" s="16"/>
    </row>
    <row r="48" spans="1:15" s="13" customFormat="1" x14ac:dyDescent="0.2">
      <c r="A48" s="406" t="s">
        <v>117</v>
      </c>
      <c r="F48" s="137"/>
      <c r="G48" s="527"/>
      <c r="H48" s="1"/>
      <c r="I48" s="16"/>
      <c r="J48" s="16"/>
      <c r="K48" s="16"/>
      <c r="L48" s="16"/>
      <c r="M48" s="16"/>
      <c r="N48" s="16"/>
    </row>
    <row r="49" spans="1:14" s="13" customFormat="1" x14ac:dyDescent="0.2">
      <c r="A49" s="406" t="s">
        <v>177</v>
      </c>
      <c r="F49" s="137"/>
      <c r="G49" s="527"/>
      <c r="H49" s="1"/>
      <c r="I49" s="16"/>
      <c r="J49" s="16"/>
      <c r="K49" s="16"/>
      <c r="L49" s="16"/>
      <c r="M49" s="16"/>
      <c r="N49" s="16"/>
    </row>
    <row r="50" spans="1:14" s="13" customFormat="1" x14ac:dyDescent="0.2">
      <c r="A50" s="406" t="s">
        <v>118</v>
      </c>
      <c r="F50" s="137"/>
      <c r="G50" s="527"/>
      <c r="H50" s="1207"/>
      <c r="I50" s="16"/>
      <c r="J50" s="16"/>
      <c r="K50" s="16"/>
      <c r="L50" s="16"/>
      <c r="M50" s="16"/>
      <c r="N50" s="16"/>
    </row>
    <row r="51" spans="1:14" s="406" customFormat="1" x14ac:dyDescent="0.2">
      <c r="A51" s="528" t="s">
        <v>449</v>
      </c>
      <c r="F51" s="529"/>
      <c r="G51" s="530"/>
      <c r="H51" s="531"/>
      <c r="I51" s="532"/>
      <c r="J51" s="532"/>
      <c r="K51" s="532"/>
      <c r="L51" s="532"/>
      <c r="M51" s="532"/>
      <c r="N51" s="532"/>
    </row>
    <row r="52" spans="1:14" s="406" customFormat="1" x14ac:dyDescent="0.2">
      <c r="A52" s="406" t="s">
        <v>450</v>
      </c>
      <c r="F52" s="529"/>
      <c r="G52" s="530"/>
      <c r="H52" s="531"/>
      <c r="I52" s="532"/>
      <c r="J52" s="532"/>
      <c r="K52" s="532"/>
      <c r="L52" s="532"/>
      <c r="M52" s="532"/>
      <c r="N52" s="532"/>
    </row>
    <row r="53" spans="1:14" s="406" customFormat="1" x14ac:dyDescent="0.2">
      <c r="A53" s="406" t="s">
        <v>451</v>
      </c>
      <c r="F53" s="529"/>
      <c r="G53" s="530"/>
      <c r="H53" s="531"/>
      <c r="I53" s="532"/>
      <c r="J53" s="532"/>
      <c r="K53" s="532"/>
      <c r="L53" s="532"/>
      <c r="M53" s="532"/>
      <c r="N53" s="532"/>
    </row>
    <row r="54" spans="1:14" s="13" customFormat="1" x14ac:dyDescent="0.2">
      <c r="A54" s="406"/>
      <c r="B54" s="406"/>
      <c r="C54" s="406"/>
      <c r="D54" s="406"/>
      <c r="E54" s="406"/>
      <c r="F54" s="137"/>
      <c r="G54" s="527"/>
      <c r="H54" s="1"/>
      <c r="I54" s="16"/>
      <c r="J54" s="16"/>
      <c r="K54" s="16"/>
      <c r="L54" s="16"/>
      <c r="M54" s="16"/>
      <c r="N54" s="16"/>
    </row>
    <row r="55" spans="1:14" s="13" customFormat="1" x14ac:dyDescent="0.2">
      <c r="A55" s="406"/>
      <c r="B55" s="406"/>
      <c r="C55" s="406"/>
      <c r="D55" s="406"/>
      <c r="E55" s="406"/>
      <c r="F55" s="137"/>
      <c r="G55" s="527"/>
      <c r="H55" s="1"/>
      <c r="I55" s="16"/>
      <c r="J55" s="16"/>
      <c r="K55" s="16"/>
      <c r="L55" s="16"/>
      <c r="M55" s="16"/>
      <c r="N55" s="16"/>
    </row>
    <row r="56" spans="1:14" s="13" customFormat="1" x14ac:dyDescent="0.2">
      <c r="A56" s="406"/>
      <c r="B56" s="406"/>
      <c r="C56" s="406"/>
      <c r="D56" s="406"/>
      <c r="E56" s="406"/>
      <c r="F56" s="137"/>
      <c r="G56" s="527"/>
      <c r="H56" s="1"/>
      <c r="I56" s="16"/>
      <c r="J56" s="16"/>
      <c r="K56" s="16"/>
      <c r="L56" s="16"/>
      <c r="M56" s="16"/>
      <c r="N56" s="16"/>
    </row>
    <row r="57" spans="1:14" s="13" customFormat="1" x14ac:dyDescent="0.2">
      <c r="A57" s="406"/>
      <c r="B57" s="406"/>
      <c r="C57" s="406"/>
      <c r="D57" s="406"/>
      <c r="E57" s="406"/>
      <c r="F57" s="137"/>
      <c r="G57" s="527"/>
      <c r="H57" s="1"/>
      <c r="I57" s="16"/>
      <c r="J57" s="16"/>
      <c r="K57" s="16"/>
      <c r="L57" s="16"/>
      <c r="M57" s="16"/>
      <c r="N57" s="16"/>
    </row>
  </sheetData>
  <mergeCells count="3">
    <mergeCell ref="A1:D1"/>
    <mergeCell ref="J1:N1"/>
    <mergeCell ref="D2:E2"/>
  </mergeCells>
  <pageMargins left="0.51181102362204722" right="0.31496062992125984" top="0.27559055118110237" bottom="0.27559055118110237" header="0.15748031496062992" footer="0.19685039370078741"/>
  <pageSetup paperSize="9" scale="65" orientation="landscape" r:id="rId1"/>
  <headerFooter alignWithMargins="0">
    <oddFooter>&amp;C&amp;9 13&amp;R&amp;8Příloha 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showGridLines="0" zoomScaleNormal="100" workbookViewId="0"/>
  </sheetViews>
  <sheetFormatPr defaultRowHeight="12.75" x14ac:dyDescent="0.2"/>
  <cols>
    <col min="1" max="1" width="4.42578125" style="1261" customWidth="1"/>
    <col min="2" max="2" width="9.140625" style="1261"/>
    <col min="3" max="3" width="18.42578125" style="1261" customWidth="1"/>
    <col min="4" max="4" width="11.7109375" style="1261" customWidth="1"/>
    <col min="5" max="5" width="12.85546875" style="1261" customWidth="1"/>
    <col min="6" max="9" width="9.140625" style="1261"/>
    <col min="10" max="10" width="10.5703125" style="1261" bestFit="1" customWidth="1"/>
    <col min="11" max="256" width="9.140625" style="1261"/>
    <col min="257" max="257" width="4.42578125" style="1261" customWidth="1"/>
    <col min="258" max="258" width="9.140625" style="1261"/>
    <col min="259" max="259" width="18.42578125" style="1261" customWidth="1"/>
    <col min="260" max="260" width="11.7109375" style="1261" customWidth="1"/>
    <col min="261" max="261" width="12.85546875" style="1261" customWidth="1"/>
    <col min="262" max="512" width="9.140625" style="1261"/>
    <col min="513" max="513" width="4.42578125" style="1261" customWidth="1"/>
    <col min="514" max="514" width="9.140625" style="1261"/>
    <col min="515" max="515" width="18.42578125" style="1261" customWidth="1"/>
    <col min="516" max="516" width="11.7109375" style="1261" customWidth="1"/>
    <col min="517" max="517" width="12.85546875" style="1261" customWidth="1"/>
    <col min="518" max="768" width="9.140625" style="1261"/>
    <col min="769" max="769" width="4.42578125" style="1261" customWidth="1"/>
    <col min="770" max="770" width="9.140625" style="1261"/>
    <col min="771" max="771" width="18.42578125" style="1261" customWidth="1"/>
    <col min="772" max="772" width="11.7109375" style="1261" customWidth="1"/>
    <col min="773" max="773" width="12.85546875" style="1261" customWidth="1"/>
    <col min="774" max="1024" width="9.140625" style="1261"/>
    <col min="1025" max="1025" width="4.42578125" style="1261" customWidth="1"/>
    <col min="1026" max="1026" width="9.140625" style="1261"/>
    <col min="1027" max="1027" width="18.42578125" style="1261" customWidth="1"/>
    <col min="1028" max="1028" width="11.7109375" style="1261" customWidth="1"/>
    <col min="1029" max="1029" width="12.85546875" style="1261" customWidth="1"/>
    <col min="1030" max="1280" width="9.140625" style="1261"/>
    <col min="1281" max="1281" width="4.42578125" style="1261" customWidth="1"/>
    <col min="1282" max="1282" width="9.140625" style="1261"/>
    <col min="1283" max="1283" width="18.42578125" style="1261" customWidth="1"/>
    <col min="1284" max="1284" width="11.7109375" style="1261" customWidth="1"/>
    <col min="1285" max="1285" width="12.85546875" style="1261" customWidth="1"/>
    <col min="1286" max="1536" width="9.140625" style="1261"/>
    <col min="1537" max="1537" width="4.42578125" style="1261" customWidth="1"/>
    <col min="1538" max="1538" width="9.140625" style="1261"/>
    <col min="1539" max="1539" width="18.42578125" style="1261" customWidth="1"/>
    <col min="1540" max="1540" width="11.7109375" style="1261" customWidth="1"/>
    <col min="1541" max="1541" width="12.85546875" style="1261" customWidth="1"/>
    <col min="1542" max="1792" width="9.140625" style="1261"/>
    <col min="1793" max="1793" width="4.42578125" style="1261" customWidth="1"/>
    <col min="1794" max="1794" width="9.140625" style="1261"/>
    <col min="1795" max="1795" width="18.42578125" style="1261" customWidth="1"/>
    <col min="1796" max="1796" width="11.7109375" style="1261" customWidth="1"/>
    <col min="1797" max="1797" width="12.85546875" style="1261" customWidth="1"/>
    <col min="1798" max="2048" width="9.140625" style="1261"/>
    <col min="2049" max="2049" width="4.42578125" style="1261" customWidth="1"/>
    <col min="2050" max="2050" width="9.140625" style="1261"/>
    <col min="2051" max="2051" width="18.42578125" style="1261" customWidth="1"/>
    <col min="2052" max="2052" width="11.7109375" style="1261" customWidth="1"/>
    <col min="2053" max="2053" width="12.85546875" style="1261" customWidth="1"/>
    <col min="2054" max="2304" width="9.140625" style="1261"/>
    <col min="2305" max="2305" width="4.42578125" style="1261" customWidth="1"/>
    <col min="2306" max="2306" width="9.140625" style="1261"/>
    <col min="2307" max="2307" width="18.42578125" style="1261" customWidth="1"/>
    <col min="2308" max="2308" width="11.7109375" style="1261" customWidth="1"/>
    <col min="2309" max="2309" width="12.85546875" style="1261" customWidth="1"/>
    <col min="2310" max="2560" width="9.140625" style="1261"/>
    <col min="2561" max="2561" width="4.42578125" style="1261" customWidth="1"/>
    <col min="2562" max="2562" width="9.140625" style="1261"/>
    <col min="2563" max="2563" width="18.42578125" style="1261" customWidth="1"/>
    <col min="2564" max="2564" width="11.7109375" style="1261" customWidth="1"/>
    <col min="2565" max="2565" width="12.85546875" style="1261" customWidth="1"/>
    <col min="2566" max="2816" width="9.140625" style="1261"/>
    <col min="2817" max="2817" width="4.42578125" style="1261" customWidth="1"/>
    <col min="2818" max="2818" width="9.140625" style="1261"/>
    <col min="2819" max="2819" width="18.42578125" style="1261" customWidth="1"/>
    <col min="2820" max="2820" width="11.7109375" style="1261" customWidth="1"/>
    <col min="2821" max="2821" width="12.85546875" style="1261" customWidth="1"/>
    <col min="2822" max="3072" width="9.140625" style="1261"/>
    <col min="3073" max="3073" width="4.42578125" style="1261" customWidth="1"/>
    <col min="3074" max="3074" width="9.140625" style="1261"/>
    <col min="3075" max="3075" width="18.42578125" style="1261" customWidth="1"/>
    <col min="3076" max="3076" width="11.7109375" style="1261" customWidth="1"/>
    <col min="3077" max="3077" width="12.85546875" style="1261" customWidth="1"/>
    <col min="3078" max="3328" width="9.140625" style="1261"/>
    <col min="3329" max="3329" width="4.42578125" style="1261" customWidth="1"/>
    <col min="3330" max="3330" width="9.140625" style="1261"/>
    <col min="3331" max="3331" width="18.42578125" style="1261" customWidth="1"/>
    <col min="3332" max="3332" width="11.7109375" style="1261" customWidth="1"/>
    <col min="3333" max="3333" width="12.85546875" style="1261" customWidth="1"/>
    <col min="3334" max="3584" width="9.140625" style="1261"/>
    <col min="3585" max="3585" width="4.42578125" style="1261" customWidth="1"/>
    <col min="3586" max="3586" width="9.140625" style="1261"/>
    <col min="3587" max="3587" width="18.42578125" style="1261" customWidth="1"/>
    <col min="3588" max="3588" width="11.7109375" style="1261" customWidth="1"/>
    <col min="3589" max="3589" width="12.85546875" style="1261" customWidth="1"/>
    <col min="3590" max="3840" width="9.140625" style="1261"/>
    <col min="3841" max="3841" width="4.42578125" style="1261" customWidth="1"/>
    <col min="3842" max="3842" width="9.140625" style="1261"/>
    <col min="3843" max="3843" width="18.42578125" style="1261" customWidth="1"/>
    <col min="3844" max="3844" width="11.7109375" style="1261" customWidth="1"/>
    <col min="3845" max="3845" width="12.85546875" style="1261" customWidth="1"/>
    <col min="3846" max="4096" width="9.140625" style="1261"/>
    <col min="4097" max="4097" width="4.42578125" style="1261" customWidth="1"/>
    <col min="4098" max="4098" width="9.140625" style="1261"/>
    <col min="4099" max="4099" width="18.42578125" style="1261" customWidth="1"/>
    <col min="4100" max="4100" width="11.7109375" style="1261" customWidth="1"/>
    <col min="4101" max="4101" width="12.85546875" style="1261" customWidth="1"/>
    <col min="4102" max="4352" width="9.140625" style="1261"/>
    <col min="4353" max="4353" width="4.42578125" style="1261" customWidth="1"/>
    <col min="4354" max="4354" width="9.140625" style="1261"/>
    <col min="4355" max="4355" width="18.42578125" style="1261" customWidth="1"/>
    <col min="4356" max="4356" width="11.7109375" style="1261" customWidth="1"/>
    <col min="4357" max="4357" width="12.85546875" style="1261" customWidth="1"/>
    <col min="4358" max="4608" width="9.140625" style="1261"/>
    <col min="4609" max="4609" width="4.42578125" style="1261" customWidth="1"/>
    <col min="4610" max="4610" width="9.140625" style="1261"/>
    <col min="4611" max="4611" width="18.42578125" style="1261" customWidth="1"/>
    <col min="4612" max="4612" width="11.7109375" style="1261" customWidth="1"/>
    <col min="4613" max="4613" width="12.85546875" style="1261" customWidth="1"/>
    <col min="4614" max="4864" width="9.140625" style="1261"/>
    <col min="4865" max="4865" width="4.42578125" style="1261" customWidth="1"/>
    <col min="4866" max="4866" width="9.140625" style="1261"/>
    <col min="4867" max="4867" width="18.42578125" style="1261" customWidth="1"/>
    <col min="4868" max="4868" width="11.7109375" style="1261" customWidth="1"/>
    <col min="4869" max="4869" width="12.85546875" style="1261" customWidth="1"/>
    <col min="4870" max="5120" width="9.140625" style="1261"/>
    <col min="5121" max="5121" width="4.42578125" style="1261" customWidth="1"/>
    <col min="5122" max="5122" width="9.140625" style="1261"/>
    <col min="5123" max="5123" width="18.42578125" style="1261" customWidth="1"/>
    <col min="5124" max="5124" width="11.7109375" style="1261" customWidth="1"/>
    <col min="5125" max="5125" width="12.85546875" style="1261" customWidth="1"/>
    <col min="5126" max="5376" width="9.140625" style="1261"/>
    <col min="5377" max="5377" width="4.42578125" style="1261" customWidth="1"/>
    <col min="5378" max="5378" width="9.140625" style="1261"/>
    <col min="5379" max="5379" width="18.42578125" style="1261" customWidth="1"/>
    <col min="5380" max="5380" width="11.7109375" style="1261" customWidth="1"/>
    <col min="5381" max="5381" width="12.85546875" style="1261" customWidth="1"/>
    <col min="5382" max="5632" width="9.140625" style="1261"/>
    <col min="5633" max="5633" width="4.42578125" style="1261" customWidth="1"/>
    <col min="5634" max="5634" width="9.140625" style="1261"/>
    <col min="5635" max="5635" width="18.42578125" style="1261" customWidth="1"/>
    <col min="5636" max="5636" width="11.7109375" style="1261" customWidth="1"/>
    <col min="5637" max="5637" width="12.85546875" style="1261" customWidth="1"/>
    <col min="5638" max="5888" width="9.140625" style="1261"/>
    <col min="5889" max="5889" width="4.42578125" style="1261" customWidth="1"/>
    <col min="5890" max="5890" width="9.140625" style="1261"/>
    <col min="5891" max="5891" width="18.42578125" style="1261" customWidth="1"/>
    <col min="5892" max="5892" width="11.7109375" style="1261" customWidth="1"/>
    <col min="5893" max="5893" width="12.85546875" style="1261" customWidth="1"/>
    <col min="5894" max="6144" width="9.140625" style="1261"/>
    <col min="6145" max="6145" width="4.42578125" style="1261" customWidth="1"/>
    <col min="6146" max="6146" width="9.140625" style="1261"/>
    <col min="6147" max="6147" width="18.42578125" style="1261" customWidth="1"/>
    <col min="6148" max="6148" width="11.7109375" style="1261" customWidth="1"/>
    <col min="6149" max="6149" width="12.85546875" style="1261" customWidth="1"/>
    <col min="6150" max="6400" width="9.140625" style="1261"/>
    <col min="6401" max="6401" width="4.42578125" style="1261" customWidth="1"/>
    <col min="6402" max="6402" width="9.140625" style="1261"/>
    <col min="6403" max="6403" width="18.42578125" style="1261" customWidth="1"/>
    <col min="6404" max="6404" width="11.7109375" style="1261" customWidth="1"/>
    <col min="6405" max="6405" width="12.85546875" style="1261" customWidth="1"/>
    <col min="6406" max="6656" width="9.140625" style="1261"/>
    <col min="6657" max="6657" width="4.42578125" style="1261" customWidth="1"/>
    <col min="6658" max="6658" width="9.140625" style="1261"/>
    <col min="6659" max="6659" width="18.42578125" style="1261" customWidth="1"/>
    <col min="6660" max="6660" width="11.7109375" style="1261" customWidth="1"/>
    <col min="6661" max="6661" width="12.85546875" style="1261" customWidth="1"/>
    <col min="6662" max="6912" width="9.140625" style="1261"/>
    <col min="6913" max="6913" width="4.42578125" style="1261" customWidth="1"/>
    <col min="6914" max="6914" width="9.140625" style="1261"/>
    <col min="6915" max="6915" width="18.42578125" style="1261" customWidth="1"/>
    <col min="6916" max="6916" width="11.7109375" style="1261" customWidth="1"/>
    <col min="6917" max="6917" width="12.85546875" style="1261" customWidth="1"/>
    <col min="6918" max="7168" width="9.140625" style="1261"/>
    <col min="7169" max="7169" width="4.42578125" style="1261" customWidth="1"/>
    <col min="7170" max="7170" width="9.140625" style="1261"/>
    <col min="7171" max="7171" width="18.42578125" style="1261" customWidth="1"/>
    <col min="7172" max="7172" width="11.7109375" style="1261" customWidth="1"/>
    <col min="7173" max="7173" width="12.85546875" style="1261" customWidth="1"/>
    <col min="7174" max="7424" width="9.140625" style="1261"/>
    <col min="7425" max="7425" width="4.42578125" style="1261" customWidth="1"/>
    <col min="7426" max="7426" width="9.140625" style="1261"/>
    <col min="7427" max="7427" width="18.42578125" style="1261" customWidth="1"/>
    <col min="7428" max="7428" width="11.7109375" style="1261" customWidth="1"/>
    <col min="7429" max="7429" width="12.85546875" style="1261" customWidth="1"/>
    <col min="7430" max="7680" width="9.140625" style="1261"/>
    <col min="7681" max="7681" width="4.42578125" style="1261" customWidth="1"/>
    <col min="7682" max="7682" width="9.140625" style="1261"/>
    <col min="7683" max="7683" width="18.42578125" style="1261" customWidth="1"/>
    <col min="7684" max="7684" width="11.7109375" style="1261" customWidth="1"/>
    <col min="7685" max="7685" width="12.85546875" style="1261" customWidth="1"/>
    <col min="7686" max="7936" width="9.140625" style="1261"/>
    <col min="7937" max="7937" width="4.42578125" style="1261" customWidth="1"/>
    <col min="7938" max="7938" width="9.140625" style="1261"/>
    <col min="7939" max="7939" width="18.42578125" style="1261" customWidth="1"/>
    <col min="7940" max="7940" width="11.7109375" style="1261" customWidth="1"/>
    <col min="7941" max="7941" width="12.85546875" style="1261" customWidth="1"/>
    <col min="7942" max="8192" width="9.140625" style="1261"/>
    <col min="8193" max="8193" width="4.42578125" style="1261" customWidth="1"/>
    <col min="8194" max="8194" width="9.140625" style="1261"/>
    <col min="8195" max="8195" width="18.42578125" style="1261" customWidth="1"/>
    <col min="8196" max="8196" width="11.7109375" style="1261" customWidth="1"/>
    <col min="8197" max="8197" width="12.85546875" style="1261" customWidth="1"/>
    <col min="8198" max="8448" width="9.140625" style="1261"/>
    <col min="8449" max="8449" width="4.42578125" style="1261" customWidth="1"/>
    <col min="8450" max="8450" width="9.140625" style="1261"/>
    <col min="8451" max="8451" width="18.42578125" style="1261" customWidth="1"/>
    <col min="8452" max="8452" width="11.7109375" style="1261" customWidth="1"/>
    <col min="8453" max="8453" width="12.85546875" style="1261" customWidth="1"/>
    <col min="8454" max="8704" width="9.140625" style="1261"/>
    <col min="8705" max="8705" width="4.42578125" style="1261" customWidth="1"/>
    <col min="8706" max="8706" width="9.140625" style="1261"/>
    <col min="8707" max="8707" width="18.42578125" style="1261" customWidth="1"/>
    <col min="8708" max="8708" width="11.7109375" style="1261" customWidth="1"/>
    <col min="8709" max="8709" width="12.85546875" style="1261" customWidth="1"/>
    <col min="8710" max="8960" width="9.140625" style="1261"/>
    <col min="8961" max="8961" width="4.42578125" style="1261" customWidth="1"/>
    <col min="8962" max="8962" width="9.140625" style="1261"/>
    <col min="8963" max="8963" width="18.42578125" style="1261" customWidth="1"/>
    <col min="8964" max="8964" width="11.7109375" style="1261" customWidth="1"/>
    <col min="8965" max="8965" width="12.85546875" style="1261" customWidth="1"/>
    <col min="8966" max="9216" width="9.140625" style="1261"/>
    <col min="9217" max="9217" width="4.42578125" style="1261" customWidth="1"/>
    <col min="9218" max="9218" width="9.140625" style="1261"/>
    <col min="9219" max="9219" width="18.42578125" style="1261" customWidth="1"/>
    <col min="9220" max="9220" width="11.7109375" style="1261" customWidth="1"/>
    <col min="9221" max="9221" width="12.85546875" style="1261" customWidth="1"/>
    <col min="9222" max="9472" width="9.140625" style="1261"/>
    <col min="9473" max="9473" width="4.42578125" style="1261" customWidth="1"/>
    <col min="9474" max="9474" width="9.140625" style="1261"/>
    <col min="9475" max="9475" width="18.42578125" style="1261" customWidth="1"/>
    <col min="9476" max="9476" width="11.7109375" style="1261" customWidth="1"/>
    <col min="9477" max="9477" width="12.85546875" style="1261" customWidth="1"/>
    <col min="9478" max="9728" width="9.140625" style="1261"/>
    <col min="9729" max="9729" width="4.42578125" style="1261" customWidth="1"/>
    <col min="9730" max="9730" width="9.140625" style="1261"/>
    <col min="9731" max="9731" width="18.42578125" style="1261" customWidth="1"/>
    <col min="9732" max="9732" width="11.7109375" style="1261" customWidth="1"/>
    <col min="9733" max="9733" width="12.85546875" style="1261" customWidth="1"/>
    <col min="9734" max="9984" width="9.140625" style="1261"/>
    <col min="9985" max="9985" width="4.42578125" style="1261" customWidth="1"/>
    <col min="9986" max="9986" width="9.140625" style="1261"/>
    <col min="9987" max="9987" width="18.42578125" style="1261" customWidth="1"/>
    <col min="9988" max="9988" width="11.7109375" style="1261" customWidth="1"/>
    <col min="9989" max="9989" width="12.85546875" style="1261" customWidth="1"/>
    <col min="9990" max="10240" width="9.140625" style="1261"/>
    <col min="10241" max="10241" width="4.42578125" style="1261" customWidth="1"/>
    <col min="10242" max="10242" width="9.140625" style="1261"/>
    <col min="10243" max="10243" width="18.42578125" style="1261" customWidth="1"/>
    <col min="10244" max="10244" width="11.7109375" style="1261" customWidth="1"/>
    <col min="10245" max="10245" width="12.85546875" style="1261" customWidth="1"/>
    <col min="10246" max="10496" width="9.140625" style="1261"/>
    <col min="10497" max="10497" width="4.42578125" style="1261" customWidth="1"/>
    <col min="10498" max="10498" width="9.140625" style="1261"/>
    <col min="10499" max="10499" width="18.42578125" style="1261" customWidth="1"/>
    <col min="10500" max="10500" width="11.7109375" style="1261" customWidth="1"/>
    <col min="10501" max="10501" width="12.85546875" style="1261" customWidth="1"/>
    <col min="10502" max="10752" width="9.140625" style="1261"/>
    <col min="10753" max="10753" width="4.42578125" style="1261" customWidth="1"/>
    <col min="10754" max="10754" width="9.140625" style="1261"/>
    <col min="10755" max="10755" width="18.42578125" style="1261" customWidth="1"/>
    <col min="10756" max="10756" width="11.7109375" style="1261" customWidth="1"/>
    <col min="10757" max="10757" width="12.85546875" style="1261" customWidth="1"/>
    <col min="10758" max="11008" width="9.140625" style="1261"/>
    <col min="11009" max="11009" width="4.42578125" style="1261" customWidth="1"/>
    <col min="11010" max="11010" width="9.140625" style="1261"/>
    <col min="11011" max="11011" width="18.42578125" style="1261" customWidth="1"/>
    <col min="11012" max="11012" width="11.7109375" style="1261" customWidth="1"/>
    <col min="11013" max="11013" width="12.85546875" style="1261" customWidth="1"/>
    <col min="11014" max="11264" width="9.140625" style="1261"/>
    <col min="11265" max="11265" width="4.42578125" style="1261" customWidth="1"/>
    <col min="11266" max="11266" width="9.140625" style="1261"/>
    <col min="11267" max="11267" width="18.42578125" style="1261" customWidth="1"/>
    <col min="11268" max="11268" width="11.7109375" style="1261" customWidth="1"/>
    <col min="11269" max="11269" width="12.85546875" style="1261" customWidth="1"/>
    <col min="11270" max="11520" width="9.140625" style="1261"/>
    <col min="11521" max="11521" width="4.42578125" style="1261" customWidth="1"/>
    <col min="11522" max="11522" width="9.140625" style="1261"/>
    <col min="11523" max="11523" width="18.42578125" style="1261" customWidth="1"/>
    <col min="11524" max="11524" width="11.7109375" style="1261" customWidth="1"/>
    <col min="11525" max="11525" width="12.85546875" style="1261" customWidth="1"/>
    <col min="11526" max="11776" width="9.140625" style="1261"/>
    <col min="11777" max="11777" width="4.42578125" style="1261" customWidth="1"/>
    <col min="11778" max="11778" width="9.140625" style="1261"/>
    <col min="11779" max="11779" width="18.42578125" style="1261" customWidth="1"/>
    <col min="11780" max="11780" width="11.7109375" style="1261" customWidth="1"/>
    <col min="11781" max="11781" width="12.85546875" style="1261" customWidth="1"/>
    <col min="11782" max="12032" width="9.140625" style="1261"/>
    <col min="12033" max="12033" width="4.42578125" style="1261" customWidth="1"/>
    <col min="12034" max="12034" width="9.140625" style="1261"/>
    <col min="12035" max="12035" width="18.42578125" style="1261" customWidth="1"/>
    <col min="12036" max="12036" width="11.7109375" style="1261" customWidth="1"/>
    <col min="12037" max="12037" width="12.85546875" style="1261" customWidth="1"/>
    <col min="12038" max="12288" width="9.140625" style="1261"/>
    <col min="12289" max="12289" width="4.42578125" style="1261" customWidth="1"/>
    <col min="12290" max="12290" width="9.140625" style="1261"/>
    <col min="12291" max="12291" width="18.42578125" style="1261" customWidth="1"/>
    <col min="12292" max="12292" width="11.7109375" style="1261" customWidth="1"/>
    <col min="12293" max="12293" width="12.85546875" style="1261" customWidth="1"/>
    <col min="12294" max="12544" width="9.140625" style="1261"/>
    <col min="12545" max="12545" width="4.42578125" style="1261" customWidth="1"/>
    <col min="12546" max="12546" width="9.140625" style="1261"/>
    <col min="12547" max="12547" width="18.42578125" style="1261" customWidth="1"/>
    <col min="12548" max="12548" width="11.7109375" style="1261" customWidth="1"/>
    <col min="12549" max="12549" width="12.85546875" style="1261" customWidth="1"/>
    <col min="12550" max="12800" width="9.140625" style="1261"/>
    <col min="12801" max="12801" width="4.42578125" style="1261" customWidth="1"/>
    <col min="12802" max="12802" width="9.140625" style="1261"/>
    <col min="12803" max="12803" width="18.42578125" style="1261" customWidth="1"/>
    <col min="12804" max="12804" width="11.7109375" style="1261" customWidth="1"/>
    <col min="12805" max="12805" width="12.85546875" style="1261" customWidth="1"/>
    <col min="12806" max="13056" width="9.140625" style="1261"/>
    <col min="13057" max="13057" width="4.42578125" style="1261" customWidth="1"/>
    <col min="13058" max="13058" width="9.140625" style="1261"/>
    <col min="13059" max="13059" width="18.42578125" style="1261" customWidth="1"/>
    <col min="13060" max="13060" width="11.7109375" style="1261" customWidth="1"/>
    <col min="13061" max="13061" width="12.85546875" style="1261" customWidth="1"/>
    <col min="13062" max="13312" width="9.140625" style="1261"/>
    <col min="13313" max="13313" width="4.42578125" style="1261" customWidth="1"/>
    <col min="13314" max="13314" width="9.140625" style="1261"/>
    <col min="13315" max="13315" width="18.42578125" style="1261" customWidth="1"/>
    <col min="13316" max="13316" width="11.7109375" style="1261" customWidth="1"/>
    <col min="13317" max="13317" width="12.85546875" style="1261" customWidth="1"/>
    <col min="13318" max="13568" width="9.140625" style="1261"/>
    <col min="13569" max="13569" width="4.42578125" style="1261" customWidth="1"/>
    <col min="13570" max="13570" width="9.140625" style="1261"/>
    <col min="13571" max="13571" width="18.42578125" style="1261" customWidth="1"/>
    <col min="13572" max="13572" width="11.7109375" style="1261" customWidth="1"/>
    <col min="13573" max="13573" width="12.85546875" style="1261" customWidth="1"/>
    <col min="13574" max="13824" width="9.140625" style="1261"/>
    <col min="13825" max="13825" width="4.42578125" style="1261" customWidth="1"/>
    <col min="13826" max="13826" width="9.140625" style="1261"/>
    <col min="13827" max="13827" width="18.42578125" style="1261" customWidth="1"/>
    <col min="13828" max="13828" width="11.7109375" style="1261" customWidth="1"/>
    <col min="13829" max="13829" width="12.85546875" style="1261" customWidth="1"/>
    <col min="13830" max="14080" width="9.140625" style="1261"/>
    <col min="14081" max="14081" width="4.42578125" style="1261" customWidth="1"/>
    <col min="14082" max="14082" width="9.140625" style="1261"/>
    <col min="14083" max="14083" width="18.42578125" style="1261" customWidth="1"/>
    <col min="14084" max="14084" width="11.7109375" style="1261" customWidth="1"/>
    <col min="14085" max="14085" width="12.85546875" style="1261" customWidth="1"/>
    <col min="14086" max="14336" width="9.140625" style="1261"/>
    <col min="14337" max="14337" width="4.42578125" style="1261" customWidth="1"/>
    <col min="14338" max="14338" width="9.140625" style="1261"/>
    <col min="14339" max="14339" width="18.42578125" style="1261" customWidth="1"/>
    <col min="14340" max="14340" width="11.7109375" style="1261" customWidth="1"/>
    <col min="14341" max="14341" width="12.85546875" style="1261" customWidth="1"/>
    <col min="14342" max="14592" width="9.140625" style="1261"/>
    <col min="14593" max="14593" width="4.42578125" style="1261" customWidth="1"/>
    <col min="14594" max="14594" width="9.140625" style="1261"/>
    <col min="14595" max="14595" width="18.42578125" style="1261" customWidth="1"/>
    <col min="14596" max="14596" width="11.7109375" style="1261" customWidth="1"/>
    <col min="14597" max="14597" width="12.85546875" style="1261" customWidth="1"/>
    <col min="14598" max="14848" width="9.140625" style="1261"/>
    <col min="14849" max="14849" width="4.42578125" style="1261" customWidth="1"/>
    <col min="14850" max="14850" width="9.140625" style="1261"/>
    <col min="14851" max="14851" width="18.42578125" style="1261" customWidth="1"/>
    <col min="14852" max="14852" width="11.7109375" style="1261" customWidth="1"/>
    <col min="14853" max="14853" width="12.85546875" style="1261" customWidth="1"/>
    <col min="14854" max="15104" width="9.140625" style="1261"/>
    <col min="15105" max="15105" width="4.42578125" style="1261" customWidth="1"/>
    <col min="15106" max="15106" width="9.140625" style="1261"/>
    <col min="15107" max="15107" width="18.42578125" style="1261" customWidth="1"/>
    <col min="15108" max="15108" width="11.7109375" style="1261" customWidth="1"/>
    <col min="15109" max="15109" width="12.85546875" style="1261" customWidth="1"/>
    <col min="15110" max="15360" width="9.140625" style="1261"/>
    <col min="15361" max="15361" width="4.42578125" style="1261" customWidth="1"/>
    <col min="15362" max="15362" width="9.140625" style="1261"/>
    <col min="15363" max="15363" width="18.42578125" style="1261" customWidth="1"/>
    <col min="15364" max="15364" width="11.7109375" style="1261" customWidth="1"/>
    <col min="15365" max="15365" width="12.85546875" style="1261" customWidth="1"/>
    <col min="15366" max="15616" width="9.140625" style="1261"/>
    <col min="15617" max="15617" width="4.42578125" style="1261" customWidth="1"/>
    <col min="15618" max="15618" width="9.140625" style="1261"/>
    <col min="15619" max="15619" width="18.42578125" style="1261" customWidth="1"/>
    <col min="15620" max="15620" width="11.7109375" style="1261" customWidth="1"/>
    <col min="15621" max="15621" width="12.85546875" style="1261" customWidth="1"/>
    <col min="15622" max="15872" width="9.140625" style="1261"/>
    <col min="15873" max="15873" width="4.42578125" style="1261" customWidth="1"/>
    <col min="15874" max="15874" width="9.140625" style="1261"/>
    <col min="15875" max="15875" width="18.42578125" style="1261" customWidth="1"/>
    <col min="15876" max="15876" width="11.7109375" style="1261" customWidth="1"/>
    <col min="15877" max="15877" width="12.85546875" style="1261" customWidth="1"/>
    <col min="15878" max="16128" width="9.140625" style="1261"/>
    <col min="16129" max="16129" width="4.42578125" style="1261" customWidth="1"/>
    <col min="16130" max="16130" width="9.140625" style="1261"/>
    <col min="16131" max="16131" width="18.42578125" style="1261" customWidth="1"/>
    <col min="16132" max="16132" width="11.7109375" style="1261" customWidth="1"/>
    <col min="16133" max="16133" width="12.85546875" style="1261" customWidth="1"/>
    <col min="16134" max="16384" width="9.140625" style="1261"/>
  </cols>
  <sheetData>
    <row r="2" spans="1:5" ht="13.5" thickBot="1" x14ac:dyDescent="0.25">
      <c r="A2" s="1260" t="s">
        <v>689</v>
      </c>
    </row>
    <row r="3" spans="1:5" ht="13.5" thickBot="1" x14ac:dyDescent="0.25">
      <c r="A3" s="1260"/>
      <c r="B3" s="1260"/>
      <c r="C3" s="1260"/>
      <c r="E3" s="1262">
        <v>54345.63</v>
      </c>
    </row>
    <row r="4" spans="1:5" ht="13.5" thickBot="1" x14ac:dyDescent="0.25">
      <c r="E4" s="1263" t="s">
        <v>459</v>
      </c>
    </row>
    <row r="5" spans="1:5" x14ac:dyDescent="0.2">
      <c r="A5" s="1264"/>
      <c r="B5" s="1265" t="s">
        <v>35</v>
      </c>
      <c r="C5" s="1266"/>
      <c r="D5" s="1266"/>
      <c r="E5" s="1267"/>
    </row>
    <row r="6" spans="1:5" ht="13.5" thickBot="1" x14ac:dyDescent="0.25">
      <c r="A6" s="1268" t="s">
        <v>33</v>
      </c>
      <c r="B6" s="1269" t="s">
        <v>36</v>
      </c>
      <c r="C6" s="1270"/>
      <c r="D6" s="1270"/>
      <c r="E6" s="1271" t="s">
        <v>325</v>
      </c>
    </row>
    <row r="7" spans="1:5" ht="25.5" x14ac:dyDescent="0.2">
      <c r="A7" s="1272"/>
      <c r="B7" s="1266"/>
      <c r="C7" s="1273"/>
      <c r="D7" s="1274" t="s">
        <v>473</v>
      </c>
      <c r="E7" s="1267" t="s">
        <v>330</v>
      </c>
    </row>
    <row r="8" spans="1:5" x14ac:dyDescent="0.2">
      <c r="A8" s="1275">
        <v>1</v>
      </c>
      <c r="B8" s="1276">
        <v>11</v>
      </c>
      <c r="C8" s="1277" t="s">
        <v>7</v>
      </c>
      <c r="D8" s="1278">
        <v>0.16511955008694762</v>
      </c>
      <c r="E8" s="1279">
        <f>D8*$E$3</f>
        <v>8973.5259747917225</v>
      </c>
    </row>
    <row r="9" spans="1:5" x14ac:dyDescent="0.2">
      <c r="A9" s="1280">
        <v>2</v>
      </c>
      <c r="B9" s="1281">
        <v>21</v>
      </c>
      <c r="C9" s="1282" t="s">
        <v>8</v>
      </c>
      <c r="D9" s="1278">
        <v>0.14468935344636596</v>
      </c>
      <c r="E9" s="1279">
        <f t="shared" ref="E9:E19" si="0">D9*$E$3</f>
        <v>7863.2340673354292</v>
      </c>
    </row>
    <row r="10" spans="1:5" x14ac:dyDescent="0.2">
      <c r="A10" s="1283">
        <v>3</v>
      </c>
      <c r="B10" s="1281">
        <v>22</v>
      </c>
      <c r="C10" s="1282" t="s">
        <v>9</v>
      </c>
      <c r="D10" s="1278">
        <v>5.024875316657243E-2</v>
      </c>
      <c r="E10" s="1279">
        <f t="shared" si="0"/>
        <v>2730.8001475518736</v>
      </c>
    </row>
    <row r="11" spans="1:5" x14ac:dyDescent="0.2">
      <c r="A11" s="1280">
        <v>4</v>
      </c>
      <c r="B11" s="1281">
        <v>23</v>
      </c>
      <c r="C11" s="1282" t="s">
        <v>10</v>
      </c>
      <c r="D11" s="1278">
        <v>7.0403728654680309E-2</v>
      </c>
      <c r="E11" s="1279">
        <f t="shared" si="0"/>
        <v>3826.1349880876537</v>
      </c>
    </row>
    <row r="12" spans="1:5" x14ac:dyDescent="0.2">
      <c r="A12" s="1283">
        <v>5</v>
      </c>
      <c r="B12" s="1281">
        <v>31</v>
      </c>
      <c r="C12" s="1282" t="s">
        <v>11</v>
      </c>
      <c r="D12" s="1278">
        <v>0.24681925162650134</v>
      </c>
      <c r="E12" s="1279">
        <f t="shared" si="0"/>
        <v>13413.547725770739</v>
      </c>
    </row>
    <row r="13" spans="1:5" x14ac:dyDescent="0.2">
      <c r="A13" s="1280">
        <v>6</v>
      </c>
      <c r="B13" s="1281">
        <v>33</v>
      </c>
      <c r="C13" s="1282" t="s">
        <v>12</v>
      </c>
      <c r="D13" s="1278">
        <v>6.4550754429325716E-2</v>
      </c>
      <c r="E13" s="1279">
        <f t="shared" si="0"/>
        <v>3508.0514164369965</v>
      </c>
    </row>
    <row r="14" spans="1:5" x14ac:dyDescent="0.2">
      <c r="A14" s="1283">
        <v>7</v>
      </c>
      <c r="B14" s="1281">
        <v>41</v>
      </c>
      <c r="C14" s="1282" t="s">
        <v>13</v>
      </c>
      <c r="D14" s="1278">
        <v>8.8747907162297079E-2</v>
      </c>
      <c r="E14" s="1279">
        <f t="shared" si="0"/>
        <v>4823.0609259165467</v>
      </c>
    </row>
    <row r="15" spans="1:5" x14ac:dyDescent="0.2">
      <c r="A15" s="1280">
        <v>8</v>
      </c>
      <c r="B15" s="1281">
        <v>51</v>
      </c>
      <c r="C15" s="1282" t="s">
        <v>14</v>
      </c>
      <c r="D15" s="1278">
        <v>2.2463771361869819E-2</v>
      </c>
      <c r="E15" s="1279">
        <f t="shared" si="0"/>
        <v>1220.8078068367734</v>
      </c>
    </row>
    <row r="16" spans="1:5" x14ac:dyDescent="0.2">
      <c r="A16" s="1284">
        <v>9</v>
      </c>
      <c r="B16" s="1285">
        <v>56</v>
      </c>
      <c r="C16" s="1286" t="s">
        <v>15</v>
      </c>
      <c r="D16" s="1278">
        <v>4.9253588233649531E-2</v>
      </c>
      <c r="E16" s="1279">
        <f t="shared" si="0"/>
        <v>2676.7172823182709</v>
      </c>
    </row>
    <row r="17" spans="1:10" x14ac:dyDescent="0.2">
      <c r="A17" s="1703" t="s">
        <v>346</v>
      </c>
      <c r="B17" s="1704"/>
      <c r="C17" s="1705"/>
      <c r="D17" s="1287"/>
      <c r="E17" s="1288">
        <f>SUM(E8:E16)</f>
        <v>49035.880335046015</v>
      </c>
    </row>
    <row r="18" spans="1:10" x14ac:dyDescent="0.2">
      <c r="A18" s="1289">
        <v>10</v>
      </c>
      <c r="B18" s="1290">
        <v>71</v>
      </c>
      <c r="C18" s="1291" t="s">
        <v>690</v>
      </c>
      <c r="D18" s="1278">
        <v>8.8783816775108326E-2</v>
      </c>
      <c r="E18" s="1279">
        <f t="shared" si="0"/>
        <v>4825.0124564478301</v>
      </c>
    </row>
    <row r="19" spans="1:10" x14ac:dyDescent="0.2">
      <c r="A19" s="1289">
        <v>11</v>
      </c>
      <c r="B19" s="1292">
        <v>92</v>
      </c>
      <c r="C19" s="1291" t="s">
        <v>17</v>
      </c>
      <c r="D19" s="1278">
        <v>8.9195250566818755E-3</v>
      </c>
      <c r="E19" s="1279">
        <f t="shared" si="0"/>
        <v>484.73720850616223</v>
      </c>
    </row>
    <row r="20" spans="1:10" ht="13.5" thickBot="1" x14ac:dyDescent="0.25">
      <c r="A20" s="1706" t="s">
        <v>474</v>
      </c>
      <c r="B20" s="1707"/>
      <c r="C20" s="1708"/>
      <c r="D20" s="1293"/>
      <c r="E20" s="1294">
        <f>SUM(E18:E19)</f>
        <v>5309.7496649539926</v>
      </c>
    </row>
    <row r="21" spans="1:10" ht="13.5" thickBot="1" x14ac:dyDescent="0.25">
      <c r="A21" s="1295">
        <v>12</v>
      </c>
      <c r="B21" s="1296"/>
      <c r="C21" s="1297" t="s">
        <v>16</v>
      </c>
      <c r="D21" s="1298">
        <f>SUM(D8:D19)</f>
        <v>1</v>
      </c>
      <c r="E21" s="1299">
        <f>E17+E20</f>
        <v>54345.630000000005</v>
      </c>
    </row>
    <row r="26" spans="1:10" ht="13.5" thickBot="1" x14ac:dyDescent="0.25">
      <c r="A26" s="1260" t="s">
        <v>591</v>
      </c>
      <c r="J26" s="1300"/>
    </row>
    <row r="27" spans="1:10" ht="13.5" thickBot="1" x14ac:dyDescent="0.25">
      <c r="A27" s="1260"/>
      <c r="B27" s="1260"/>
      <c r="C27" s="1260"/>
      <c r="E27" s="1262">
        <v>54345.63</v>
      </c>
    </row>
    <row r="28" spans="1:10" ht="13.5" thickBot="1" x14ac:dyDescent="0.25"/>
    <row r="29" spans="1:10" x14ac:dyDescent="0.2">
      <c r="A29" s="1264"/>
      <c r="B29" s="1265" t="s">
        <v>35</v>
      </c>
      <c r="C29" s="1266"/>
      <c r="D29" s="1266"/>
      <c r="E29" s="1267"/>
    </row>
    <row r="30" spans="1:10" ht="13.5" thickBot="1" x14ac:dyDescent="0.25">
      <c r="A30" s="1268" t="s">
        <v>33</v>
      </c>
      <c r="B30" s="1269" t="s">
        <v>36</v>
      </c>
      <c r="C30" s="1270"/>
      <c r="D30" s="1270"/>
      <c r="E30" s="1271" t="s">
        <v>325</v>
      </c>
    </row>
    <row r="31" spans="1:10" ht="25.5" x14ac:dyDescent="0.2">
      <c r="A31" s="1272"/>
      <c r="B31" s="1266"/>
      <c r="C31" s="1273"/>
      <c r="D31" s="1274" t="s">
        <v>473</v>
      </c>
      <c r="E31" s="1267" t="s">
        <v>330</v>
      </c>
    </row>
    <row r="32" spans="1:10" x14ac:dyDescent="0.2">
      <c r="A32" s="1275">
        <v>1</v>
      </c>
      <c r="B32" s="1276">
        <v>11</v>
      </c>
      <c r="C32" s="1277" t="s">
        <v>7</v>
      </c>
      <c r="D32" s="1278">
        <v>0.17598660600106117</v>
      </c>
      <c r="E32" s="1279">
        <v>9564.1029746894492</v>
      </c>
    </row>
    <row r="33" spans="1:5" x14ac:dyDescent="0.2">
      <c r="A33" s="1280">
        <v>2</v>
      </c>
      <c r="B33" s="1281">
        <v>21</v>
      </c>
      <c r="C33" s="1282" t="s">
        <v>8</v>
      </c>
      <c r="D33" s="1301">
        <v>0.14428419699460682</v>
      </c>
      <c r="E33" s="1302">
        <v>7841.2155847160138</v>
      </c>
    </row>
    <row r="34" spans="1:5" x14ac:dyDescent="0.2">
      <c r="A34" s="1283">
        <v>3</v>
      </c>
      <c r="B34" s="1281">
        <v>22</v>
      </c>
      <c r="C34" s="1282" t="s">
        <v>9</v>
      </c>
      <c r="D34" s="1301">
        <v>4.9174312781527237E-2</v>
      </c>
      <c r="E34" s="1302">
        <v>2672.40900792915</v>
      </c>
    </row>
    <row r="35" spans="1:5" x14ac:dyDescent="0.2">
      <c r="A35" s="1280">
        <v>4</v>
      </c>
      <c r="B35" s="1281">
        <v>23</v>
      </c>
      <c r="C35" s="1282" t="s">
        <v>10</v>
      </c>
      <c r="D35" s="1301">
        <v>6.9430706838216269E-2</v>
      </c>
      <c r="E35" s="1302">
        <v>3773.2555044681712</v>
      </c>
    </row>
    <row r="36" spans="1:5" x14ac:dyDescent="0.2">
      <c r="A36" s="1283">
        <v>5</v>
      </c>
      <c r="B36" s="1281">
        <v>31</v>
      </c>
      <c r="C36" s="1282" t="s">
        <v>11</v>
      </c>
      <c r="D36" s="1301">
        <v>0.24701914343984646</v>
      </c>
      <c r="E36" s="1302">
        <v>13424.410972298823</v>
      </c>
    </row>
    <row r="37" spans="1:5" x14ac:dyDescent="0.2">
      <c r="A37" s="1280">
        <v>6</v>
      </c>
      <c r="B37" s="1281">
        <v>33</v>
      </c>
      <c r="C37" s="1282" t="s">
        <v>12</v>
      </c>
      <c r="D37" s="1301">
        <v>6.3224190585907461E-2</v>
      </c>
      <c r="E37" s="1302">
        <v>3435.9584686312101</v>
      </c>
    </row>
    <row r="38" spans="1:5" x14ac:dyDescent="0.2">
      <c r="A38" s="1283">
        <v>7</v>
      </c>
      <c r="B38" s="1281">
        <v>41</v>
      </c>
      <c r="C38" s="1282" t="s">
        <v>13</v>
      </c>
      <c r="D38" s="1301">
        <v>7.9638219254005368E-2</v>
      </c>
      <c r="E38" s="1302">
        <v>4327.9891974370512</v>
      </c>
    </row>
    <row r="39" spans="1:5" x14ac:dyDescent="0.2">
      <c r="A39" s="1280">
        <v>8</v>
      </c>
      <c r="B39" s="1281">
        <v>51</v>
      </c>
      <c r="C39" s="1282" t="s">
        <v>14</v>
      </c>
      <c r="D39" s="1301">
        <v>2.3795700680700534E-2</v>
      </c>
      <c r="E39" s="1302">
        <v>1293.1923447840993</v>
      </c>
    </row>
    <row r="40" spans="1:5" x14ac:dyDescent="0.2">
      <c r="A40" s="1284">
        <v>9</v>
      </c>
      <c r="B40" s="1285">
        <v>56</v>
      </c>
      <c r="C40" s="1286" t="s">
        <v>15</v>
      </c>
      <c r="D40" s="1303">
        <v>4.7082595135987435E-2</v>
      </c>
      <c r="E40" s="1304">
        <v>2558.7332947001728</v>
      </c>
    </row>
    <row r="41" spans="1:5" x14ac:dyDescent="0.2">
      <c r="A41" s="1703" t="s">
        <v>346</v>
      </c>
      <c r="B41" s="1704"/>
      <c r="C41" s="1705"/>
      <c r="D41" s="1287"/>
      <c r="E41" s="1288">
        <v>48891.267349654139</v>
      </c>
    </row>
    <row r="42" spans="1:5" x14ac:dyDescent="0.2">
      <c r="A42" s="1289">
        <v>10</v>
      </c>
      <c r="B42" s="1290">
        <v>71</v>
      </c>
      <c r="C42" s="1291" t="s">
        <v>690</v>
      </c>
      <c r="D42" s="1305">
        <v>9.1621158353179452E-2</v>
      </c>
      <c r="E42" s="1306">
        <v>4979.2095720333</v>
      </c>
    </row>
    <row r="43" spans="1:5" x14ac:dyDescent="0.2">
      <c r="A43" s="1289">
        <v>11</v>
      </c>
      <c r="B43" s="1292">
        <v>92</v>
      </c>
      <c r="C43" s="1291" t="s">
        <v>17</v>
      </c>
      <c r="D43" s="1307">
        <v>8.7431699349617489E-3</v>
      </c>
      <c r="E43" s="1308">
        <v>475.15307831255524</v>
      </c>
    </row>
    <row r="44" spans="1:5" ht="13.5" thickBot="1" x14ac:dyDescent="0.25">
      <c r="A44" s="1706" t="s">
        <v>474</v>
      </c>
      <c r="B44" s="1707"/>
      <c r="C44" s="1708"/>
      <c r="D44" s="1293"/>
      <c r="E44" s="1294">
        <v>5454.3626503458554</v>
      </c>
    </row>
    <row r="45" spans="1:5" ht="13.5" thickBot="1" x14ac:dyDescent="0.25">
      <c r="A45" s="1295">
        <v>12</v>
      </c>
      <c r="B45" s="1296"/>
      <c r="C45" s="1297" t="s">
        <v>16</v>
      </c>
      <c r="D45" s="1298">
        <v>1</v>
      </c>
      <c r="E45" s="1299">
        <v>54345.63</v>
      </c>
    </row>
  </sheetData>
  <mergeCells count="4">
    <mergeCell ref="A17:C17"/>
    <mergeCell ref="A20:C20"/>
    <mergeCell ref="A41:C41"/>
    <mergeCell ref="A44:C44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zoomScale="91" zoomScaleNormal="91" workbookViewId="0"/>
  </sheetViews>
  <sheetFormatPr defaultColWidth="11.42578125" defaultRowHeight="12" x14ac:dyDescent="0.2"/>
  <cols>
    <col min="1" max="1" width="4.42578125" style="16" customWidth="1"/>
    <col min="2" max="2" width="9.85546875" style="16" customWidth="1"/>
    <col min="3" max="3" width="9.42578125" style="16" bestFit="1" customWidth="1"/>
    <col min="4" max="4" width="9.5703125" style="16" customWidth="1"/>
    <col min="5" max="5" width="9.140625" style="16" customWidth="1"/>
    <col min="6" max="6" width="8.7109375" style="16" customWidth="1"/>
    <col min="7" max="7" width="9.85546875" style="16" customWidth="1"/>
    <col min="8" max="8" width="11.28515625" style="16" bestFit="1" customWidth="1"/>
    <col min="9" max="9" width="9.85546875" style="16" customWidth="1"/>
    <col min="10" max="10" width="10.85546875" style="16" customWidth="1"/>
    <col min="11" max="11" width="10.42578125" style="16" customWidth="1"/>
    <col min="12" max="12" width="11.28515625" style="16" customWidth="1"/>
    <col min="13" max="13" width="9.5703125" style="16" customWidth="1"/>
    <col min="14" max="14" width="9.28515625" style="16" customWidth="1"/>
    <col min="15" max="15" width="11.5703125" style="16" customWidth="1"/>
    <col min="16" max="16" width="9.42578125" style="16" customWidth="1"/>
    <col min="17" max="17" width="10" style="16" customWidth="1"/>
    <col min="18" max="16384" width="11.42578125" style="16"/>
  </cols>
  <sheetData>
    <row r="1" spans="1:18" ht="12.75" x14ac:dyDescent="0.2">
      <c r="A1" s="1313" t="s">
        <v>686</v>
      </c>
    </row>
    <row r="2" spans="1:18" x14ac:dyDescent="0.2">
      <c r="A2" s="78"/>
    </row>
    <row r="3" spans="1:18" x14ac:dyDescent="0.2">
      <c r="A3" s="79"/>
    </row>
    <row r="4" spans="1:18" x14ac:dyDescent="0.2">
      <c r="A4" s="79"/>
      <c r="H4" s="640"/>
    </row>
    <row r="5" spans="1:18" ht="12.75" thickBot="1" x14ac:dyDescent="0.25">
      <c r="N5" s="584"/>
    </row>
    <row r="6" spans="1:18" x14ac:dyDescent="0.2">
      <c r="C6" s="17" t="s">
        <v>253</v>
      </c>
      <c r="D6" s="1717" t="s">
        <v>278</v>
      </c>
      <c r="E6" s="18"/>
      <c r="F6" s="19"/>
      <c r="G6" s="1717" t="s">
        <v>277</v>
      </c>
      <c r="H6" s="848" t="s">
        <v>253</v>
      </c>
      <c r="I6" s="18" t="s">
        <v>471</v>
      </c>
      <c r="J6" s="1717" t="s">
        <v>278</v>
      </c>
      <c r="K6" s="1717" t="s">
        <v>277</v>
      </c>
      <c r="L6" s="564" t="s">
        <v>470</v>
      </c>
      <c r="M6" s="1709" t="s">
        <v>30</v>
      </c>
      <c r="N6" s="1710"/>
      <c r="O6" s="18"/>
      <c r="P6" s="20"/>
      <c r="Q6" s="20"/>
    </row>
    <row r="7" spans="1:18" x14ac:dyDescent="0.2">
      <c r="C7" s="21" t="s">
        <v>276</v>
      </c>
      <c r="D7" s="1718"/>
      <c r="E7" s="22" t="s">
        <v>687</v>
      </c>
      <c r="F7" s="22" t="s">
        <v>282</v>
      </c>
      <c r="G7" s="1718"/>
      <c r="H7" s="23" t="s">
        <v>468</v>
      </c>
      <c r="I7" s="22" t="s">
        <v>280</v>
      </c>
      <c r="J7" s="1718"/>
      <c r="K7" s="1718"/>
      <c r="L7" s="847" t="s">
        <v>469</v>
      </c>
      <c r="M7" s="1711"/>
      <c r="N7" s="1712"/>
      <c r="O7" s="22" t="s">
        <v>684</v>
      </c>
      <c r="P7" s="24" t="s">
        <v>685</v>
      </c>
      <c r="Q7" s="24" t="s">
        <v>678</v>
      </c>
    </row>
    <row r="8" spans="1:18" ht="26.25" customHeight="1" x14ac:dyDescent="0.2">
      <c r="C8" s="25" t="s">
        <v>300</v>
      </c>
      <c r="D8" s="26" t="s">
        <v>682</v>
      </c>
      <c r="E8" s="27" t="s">
        <v>678</v>
      </c>
      <c r="F8" s="27" t="s">
        <v>678</v>
      </c>
      <c r="G8" s="26" t="s">
        <v>683</v>
      </c>
      <c r="H8" s="28" t="s">
        <v>302</v>
      </c>
      <c r="I8" s="27" t="s">
        <v>286</v>
      </c>
      <c r="J8" s="26" t="s">
        <v>682</v>
      </c>
      <c r="K8" s="26" t="s">
        <v>683</v>
      </c>
      <c r="L8" s="565" t="s">
        <v>301</v>
      </c>
      <c r="M8" s="29" t="s">
        <v>286</v>
      </c>
      <c r="N8" s="29" t="s">
        <v>302</v>
      </c>
      <c r="O8" s="27" t="s">
        <v>16</v>
      </c>
      <c r="P8" s="30" t="s">
        <v>678</v>
      </c>
      <c r="Q8" s="30" t="s">
        <v>297</v>
      </c>
    </row>
    <row r="9" spans="1:18" ht="14.25" customHeight="1" thickBot="1" x14ac:dyDescent="0.25">
      <c r="C9" s="1248">
        <v>1</v>
      </c>
      <c r="D9" s="1249">
        <v>2</v>
      </c>
      <c r="E9" s="1250">
        <v>3</v>
      </c>
      <c r="F9" s="1250">
        <v>4</v>
      </c>
      <c r="G9" s="1249">
        <v>5</v>
      </c>
      <c r="H9" s="1251" t="s">
        <v>283</v>
      </c>
      <c r="I9" s="1250">
        <v>7</v>
      </c>
      <c r="J9" s="1249">
        <v>8</v>
      </c>
      <c r="K9" s="1249">
        <v>9</v>
      </c>
      <c r="L9" s="1252" t="s">
        <v>284</v>
      </c>
      <c r="M9" s="1251" t="s">
        <v>287</v>
      </c>
      <c r="N9" s="1251" t="s">
        <v>288</v>
      </c>
      <c r="O9" s="1250" t="s">
        <v>285</v>
      </c>
      <c r="P9" s="1253" t="s">
        <v>472</v>
      </c>
      <c r="Q9" s="1253"/>
    </row>
    <row r="10" spans="1:18" x14ac:dyDescent="0.2">
      <c r="A10" s="761">
        <v>11</v>
      </c>
      <c r="B10" s="762" t="s">
        <v>7</v>
      </c>
      <c r="C10" s="49">
        <f>'rozpis pro rozpocet'!G48</f>
        <v>316191.2</v>
      </c>
      <c r="D10" s="50"/>
      <c r="E10" s="51">
        <f>'rozpis pro rozpocet'!E48</f>
        <v>87899.281904619929</v>
      </c>
      <c r="F10" s="52">
        <f>E10/SUM($E$10:$E$18,$E$20)</f>
        <v>0.10978578539752737</v>
      </c>
      <c r="G10" s="51"/>
      <c r="H10" s="593">
        <f>C10+G10+D10</f>
        <v>316191.2</v>
      </c>
      <c r="I10" s="51">
        <f>'rozpis pro rozpocet'!H48</f>
        <v>0</v>
      </c>
      <c r="J10" s="50"/>
      <c r="K10" s="54"/>
      <c r="L10" s="569">
        <f t="shared" ref="L10:L18" si="0">I10+K10+J10</f>
        <v>0</v>
      </c>
      <c r="M10" s="53">
        <f>I10</f>
        <v>0</v>
      </c>
      <c r="N10" s="53">
        <f>L10-M10</f>
        <v>0</v>
      </c>
      <c r="O10" s="51">
        <f>-D10-G10-J10-K10</f>
        <v>0</v>
      </c>
      <c r="P10" s="579">
        <f>O10+E10</f>
        <v>87899.281904619929</v>
      </c>
      <c r="Q10" s="55">
        <f>TRUNC(ROUND(P10,0),0)</f>
        <v>87899</v>
      </c>
      <c r="R10" s="80"/>
    </row>
    <row r="11" spans="1:18" x14ac:dyDescent="0.2">
      <c r="A11" s="763">
        <v>21</v>
      </c>
      <c r="B11" s="596" t="s">
        <v>8</v>
      </c>
      <c r="C11" s="49">
        <f>'rozpis pro rozpocet'!G49</f>
        <v>317083.7</v>
      </c>
      <c r="D11" s="31"/>
      <c r="E11" s="51">
        <f>'rozpis pro rozpocet'!E49</f>
        <v>84126.93832749025</v>
      </c>
      <c r="F11" s="33">
        <f t="shared" ref="F11:F18" si="1">E11/SUM($E$10:$E$18,$E$20)</f>
        <v>0.10507414619603883</v>
      </c>
      <c r="G11" s="32"/>
      <c r="H11" s="590">
        <f t="shared" ref="H11:H31" si="2">C11+G11+D11</f>
        <v>317083.7</v>
      </c>
      <c r="I11" s="51">
        <f>'rozpis pro rozpocet'!H49</f>
        <v>126</v>
      </c>
      <c r="J11" s="31"/>
      <c r="K11" s="35"/>
      <c r="L11" s="566">
        <f t="shared" si="0"/>
        <v>126</v>
      </c>
      <c r="M11" s="34">
        <f t="shared" ref="M11:M18" si="3">I11</f>
        <v>126</v>
      </c>
      <c r="N11" s="34">
        <f t="shared" ref="N11:N18" si="4">L11-M11</f>
        <v>0</v>
      </c>
      <c r="O11" s="32">
        <f t="shared" ref="O11:O18" si="5">-D11-G11-J11-K11</f>
        <v>0</v>
      </c>
      <c r="P11" s="576">
        <f t="shared" ref="P11:P18" si="6">O11+E11</f>
        <v>84126.93832749025</v>
      </c>
      <c r="Q11" s="55">
        <f>TRUNC(ROUND(P11,0),0)</f>
        <v>84127</v>
      </c>
      <c r="R11" s="80"/>
    </row>
    <row r="12" spans="1:18" x14ac:dyDescent="0.2">
      <c r="A12" s="763">
        <v>22</v>
      </c>
      <c r="B12" s="596" t="s">
        <v>9</v>
      </c>
      <c r="C12" s="49">
        <f>'rozpis pro rozpocet'!G50</f>
        <v>116208.9</v>
      </c>
      <c r="D12" s="31"/>
      <c r="E12" s="51">
        <f>'rozpis pro rozpocet'!E50</f>
        <v>31753.645615777277</v>
      </c>
      <c r="F12" s="33">
        <f t="shared" si="1"/>
        <v>3.9660152479352992E-2</v>
      </c>
      <c r="G12" s="32"/>
      <c r="H12" s="590">
        <f t="shared" si="2"/>
        <v>116208.9</v>
      </c>
      <c r="I12" s="51">
        <f>'rozpis pro rozpocet'!H50</f>
        <v>0</v>
      </c>
      <c r="J12" s="31"/>
      <c r="K12" s="35"/>
      <c r="L12" s="566">
        <f t="shared" si="0"/>
        <v>0</v>
      </c>
      <c r="M12" s="34">
        <f t="shared" si="3"/>
        <v>0</v>
      </c>
      <c r="N12" s="34">
        <f t="shared" si="4"/>
        <v>0</v>
      </c>
      <c r="O12" s="32">
        <f t="shared" si="5"/>
        <v>0</v>
      </c>
      <c r="P12" s="576">
        <f t="shared" si="6"/>
        <v>31753.645615777277</v>
      </c>
      <c r="Q12" s="36">
        <f t="shared" ref="Q12:Q18" si="7">TRUNC(ROUND(P12,0),0)</f>
        <v>31754</v>
      </c>
      <c r="R12" s="80"/>
    </row>
    <row r="13" spans="1:18" x14ac:dyDescent="0.2">
      <c r="A13" s="763">
        <v>23</v>
      </c>
      <c r="B13" s="596" t="s">
        <v>10</v>
      </c>
      <c r="C13" s="49">
        <f>'rozpis pro rozpocet'!G51</f>
        <v>133218.4</v>
      </c>
      <c r="D13" s="31"/>
      <c r="E13" s="51">
        <f>'rozpis pro rozpocet'!E51</f>
        <v>54373.120726495377</v>
      </c>
      <c r="F13" s="33">
        <f t="shared" si="1"/>
        <v>6.7911769403876332E-2</v>
      </c>
      <c r="G13" s="32"/>
      <c r="H13" s="590">
        <f t="shared" si="2"/>
        <v>133218.4</v>
      </c>
      <c r="I13" s="51">
        <f>'rozpis pro rozpocet'!H51</f>
        <v>0</v>
      </c>
      <c r="J13" s="31"/>
      <c r="K13" s="35"/>
      <c r="L13" s="566">
        <f t="shared" si="0"/>
        <v>0</v>
      </c>
      <c r="M13" s="34">
        <f t="shared" si="3"/>
        <v>0</v>
      </c>
      <c r="N13" s="34">
        <f t="shared" si="4"/>
        <v>0</v>
      </c>
      <c r="O13" s="32">
        <f t="shared" si="5"/>
        <v>0</v>
      </c>
      <c r="P13" s="576">
        <f t="shared" si="6"/>
        <v>54373.120726495377</v>
      </c>
      <c r="Q13" s="36">
        <f t="shared" si="7"/>
        <v>54373</v>
      </c>
      <c r="R13" s="80"/>
    </row>
    <row r="14" spans="1:18" x14ac:dyDescent="0.2">
      <c r="A14" s="763">
        <v>31</v>
      </c>
      <c r="B14" s="596" t="s">
        <v>11</v>
      </c>
      <c r="C14" s="49">
        <f>'rozpis pro rozpocet'!G52</f>
        <v>303408.90000000002</v>
      </c>
      <c r="D14" s="31"/>
      <c r="E14" s="51">
        <f>'rozpis pro rozpocet'!E52</f>
        <v>301958.16776458832</v>
      </c>
      <c r="F14" s="33">
        <f t="shared" si="1"/>
        <v>0.37714431661917003</v>
      </c>
      <c r="G14" s="32"/>
      <c r="H14" s="590">
        <f t="shared" si="2"/>
        <v>303408.90000000002</v>
      </c>
      <c r="I14" s="51">
        <f>'rozpis pro rozpocet'!H52</f>
        <v>2700</v>
      </c>
      <c r="J14" s="31"/>
      <c r="K14" s="35"/>
      <c r="L14" s="566">
        <f t="shared" si="0"/>
        <v>2700</v>
      </c>
      <c r="M14" s="34">
        <f t="shared" si="3"/>
        <v>2700</v>
      </c>
      <c r="N14" s="34">
        <f t="shared" si="4"/>
        <v>0</v>
      </c>
      <c r="O14" s="32">
        <f t="shared" si="5"/>
        <v>0</v>
      </c>
      <c r="P14" s="576">
        <f t="shared" si="6"/>
        <v>301958.16776458832</v>
      </c>
      <c r="Q14" s="36">
        <f t="shared" si="7"/>
        <v>301958</v>
      </c>
      <c r="R14" s="80"/>
    </row>
    <row r="15" spans="1:18" x14ac:dyDescent="0.2">
      <c r="A15" s="763">
        <v>33</v>
      </c>
      <c r="B15" s="596" t="s">
        <v>12</v>
      </c>
      <c r="C15" s="49">
        <f>'rozpis pro rozpocet'!G53</f>
        <v>112104.1</v>
      </c>
      <c r="D15" s="31"/>
      <c r="E15" s="51">
        <f>'rozpis pro rozpocet'!E53</f>
        <v>52975.863119559363</v>
      </c>
      <c r="F15" s="33">
        <f t="shared" si="1"/>
        <v>6.6166601292644275E-2</v>
      </c>
      <c r="G15" s="32"/>
      <c r="H15" s="590">
        <f t="shared" si="2"/>
        <v>112104.1</v>
      </c>
      <c r="I15" s="51">
        <f>'rozpis pro rozpocet'!H53</f>
        <v>46705</v>
      </c>
      <c r="J15" s="31"/>
      <c r="K15" s="35"/>
      <c r="L15" s="566">
        <f t="shared" si="0"/>
        <v>46705</v>
      </c>
      <c r="M15" s="34">
        <f t="shared" si="3"/>
        <v>46705</v>
      </c>
      <c r="N15" s="34">
        <f t="shared" si="4"/>
        <v>0</v>
      </c>
      <c r="O15" s="32">
        <f t="shared" si="5"/>
        <v>0</v>
      </c>
      <c r="P15" s="576">
        <f t="shared" si="6"/>
        <v>52975.863119559363</v>
      </c>
      <c r="Q15" s="36">
        <f t="shared" si="7"/>
        <v>52976</v>
      </c>
      <c r="R15" s="80"/>
    </row>
    <row r="16" spans="1:18" x14ac:dyDescent="0.2">
      <c r="A16" s="763">
        <v>41</v>
      </c>
      <c r="B16" s="596" t="s">
        <v>13</v>
      </c>
      <c r="C16" s="49">
        <f>'rozpis pro rozpocet'!G54</f>
        <v>199268.6</v>
      </c>
      <c r="D16" s="31"/>
      <c r="E16" s="51">
        <f>'rozpis pro rozpocet'!E54</f>
        <v>34841.842922172254</v>
      </c>
      <c r="F16" s="33">
        <f t="shared" si="1"/>
        <v>4.3517296239787756E-2</v>
      </c>
      <c r="G16" s="32"/>
      <c r="H16" s="590">
        <f t="shared" si="2"/>
        <v>199268.6</v>
      </c>
      <c r="I16" s="51">
        <f>'rozpis pro rozpocet'!H54</f>
        <v>400</v>
      </c>
      <c r="J16" s="31"/>
      <c r="K16" s="35"/>
      <c r="L16" s="566">
        <f t="shared" si="0"/>
        <v>400</v>
      </c>
      <c r="M16" s="34">
        <f t="shared" si="3"/>
        <v>400</v>
      </c>
      <c r="N16" s="34">
        <f t="shared" si="4"/>
        <v>0</v>
      </c>
      <c r="O16" s="32">
        <f t="shared" si="5"/>
        <v>0</v>
      </c>
      <c r="P16" s="576">
        <f t="shared" si="6"/>
        <v>34841.842922172254</v>
      </c>
      <c r="Q16" s="36">
        <f t="shared" si="7"/>
        <v>34842</v>
      </c>
      <c r="R16" s="80"/>
    </row>
    <row r="17" spans="1:18" x14ac:dyDescent="0.2">
      <c r="A17" s="763">
        <v>51</v>
      </c>
      <c r="B17" s="596" t="s">
        <v>14</v>
      </c>
      <c r="C17" s="49">
        <f>'rozpis pro rozpocet'!G55</f>
        <v>92606.3</v>
      </c>
      <c r="D17" s="31"/>
      <c r="E17" s="51">
        <f>'rozpis pro rozpocet'!E55</f>
        <v>8068.2852163608832</v>
      </c>
      <c r="F17" s="33">
        <f t="shared" si="1"/>
        <v>1.0077249894380335E-2</v>
      </c>
      <c r="G17" s="32"/>
      <c r="H17" s="590">
        <f t="shared" si="2"/>
        <v>92606.3</v>
      </c>
      <c r="I17" s="51">
        <f>'rozpis pro rozpocet'!H55</f>
        <v>500</v>
      </c>
      <c r="J17" s="31"/>
      <c r="K17" s="35"/>
      <c r="L17" s="566">
        <f t="shared" si="0"/>
        <v>500</v>
      </c>
      <c r="M17" s="34">
        <f t="shared" si="3"/>
        <v>500</v>
      </c>
      <c r="N17" s="34">
        <f t="shared" si="4"/>
        <v>0</v>
      </c>
      <c r="O17" s="32">
        <f t="shared" si="5"/>
        <v>0</v>
      </c>
      <c r="P17" s="576">
        <f t="shared" si="6"/>
        <v>8068.2852163608832</v>
      </c>
      <c r="Q17" s="36">
        <f t="shared" si="7"/>
        <v>8068</v>
      </c>
      <c r="R17" s="80"/>
    </row>
    <row r="18" spans="1:18" ht="12.75" thickBot="1" x14ac:dyDescent="0.25">
      <c r="A18" s="764">
        <v>56</v>
      </c>
      <c r="B18" s="597" t="s">
        <v>15</v>
      </c>
      <c r="C18" s="49">
        <f>'rozpis pro rozpocet'!G56</f>
        <v>120860.2</v>
      </c>
      <c r="D18" s="37"/>
      <c r="E18" s="51">
        <f>'rozpis pro rozpocet'!E56</f>
        <v>23521.039341130112</v>
      </c>
      <c r="F18" s="39">
        <f t="shared" si="1"/>
        <v>2.9377666364034154E-2</v>
      </c>
      <c r="G18" s="38"/>
      <c r="H18" s="591">
        <f t="shared" si="2"/>
        <v>120860.2</v>
      </c>
      <c r="I18" s="51">
        <f>'rozpis pro rozpocet'!H56</f>
        <v>0</v>
      </c>
      <c r="J18" s="37"/>
      <c r="K18" s="41"/>
      <c r="L18" s="567">
        <f t="shared" si="0"/>
        <v>0</v>
      </c>
      <c r="M18" s="34">
        <f t="shared" si="3"/>
        <v>0</v>
      </c>
      <c r="N18" s="40">
        <f t="shared" si="4"/>
        <v>0</v>
      </c>
      <c r="O18" s="38">
        <f t="shared" si="5"/>
        <v>0</v>
      </c>
      <c r="P18" s="577">
        <f t="shared" si="6"/>
        <v>23521.039341130112</v>
      </c>
      <c r="Q18" s="36">
        <f t="shared" si="7"/>
        <v>23521</v>
      </c>
      <c r="R18" s="80"/>
    </row>
    <row r="19" spans="1:18" ht="13.5" customHeight="1" thickBot="1" x14ac:dyDescent="0.25">
      <c r="A19" s="1713" t="s">
        <v>304</v>
      </c>
      <c r="B19" s="1714"/>
      <c r="C19" s="43">
        <f>SUM(C10:C18)</f>
        <v>1710950.3000000003</v>
      </c>
      <c r="D19" s="44">
        <f t="shared" ref="D19:P19" si="8">SUM(D10:D18)</f>
        <v>0</v>
      </c>
      <c r="E19" s="44">
        <f t="shared" si="8"/>
        <v>679518.18493819376</v>
      </c>
      <c r="F19" s="45">
        <f t="shared" si="8"/>
        <v>0.84871498388681199</v>
      </c>
      <c r="G19" s="44">
        <f t="shared" si="8"/>
        <v>0</v>
      </c>
      <c r="H19" s="592">
        <f t="shared" si="8"/>
        <v>1710950.3000000003</v>
      </c>
      <c r="I19" s="44">
        <f t="shared" si="8"/>
        <v>50431</v>
      </c>
      <c r="J19" s="44">
        <f t="shared" si="8"/>
        <v>0</v>
      </c>
      <c r="K19" s="44">
        <f t="shared" si="8"/>
        <v>0</v>
      </c>
      <c r="L19" s="568">
        <f t="shared" si="8"/>
        <v>50431</v>
      </c>
      <c r="M19" s="46">
        <f t="shared" si="8"/>
        <v>50431</v>
      </c>
      <c r="N19" s="46">
        <f t="shared" si="8"/>
        <v>0</v>
      </c>
      <c r="O19" s="44">
        <f t="shared" si="8"/>
        <v>0</v>
      </c>
      <c r="P19" s="578">
        <f t="shared" si="8"/>
        <v>679518.18493819376</v>
      </c>
      <c r="Q19" s="47">
        <f>SUM(Q10:Q18)</f>
        <v>679518</v>
      </c>
      <c r="R19" s="80"/>
    </row>
    <row r="20" spans="1:18" x14ac:dyDescent="0.2">
      <c r="A20" s="765">
        <v>71</v>
      </c>
      <c r="B20" s="766" t="s">
        <v>186</v>
      </c>
      <c r="C20" s="49">
        <f>'rozpis pro rozpocet'!G58</f>
        <v>0</v>
      </c>
      <c r="D20" s="50"/>
      <c r="E20" s="32">
        <f>'rozpis pro rozpocet'!E58</f>
        <v>121125.37366406241</v>
      </c>
      <c r="F20" s="52">
        <f>E20/SUM($E$10:$E$18,$E$20)</f>
        <v>0.15128501611318787</v>
      </c>
      <c r="G20" s="51">
        <f>-D32</f>
        <v>13000</v>
      </c>
      <c r="H20" s="593">
        <f t="shared" si="2"/>
        <v>13000</v>
      </c>
      <c r="I20" s="51">
        <f>'rozpis pro rozpocet'!H58</f>
        <v>2000</v>
      </c>
      <c r="J20" s="50"/>
      <c r="K20" s="54">
        <f>-J32</f>
        <v>8835</v>
      </c>
      <c r="L20" s="569">
        <f>I20+K20</f>
        <v>10835</v>
      </c>
      <c r="M20" s="34">
        <f>I20+J20</f>
        <v>2000</v>
      </c>
      <c r="N20" s="53">
        <f t="shared" ref="N20:N35" si="9">L20-M20</f>
        <v>8835</v>
      </c>
      <c r="O20" s="51">
        <f t="shared" ref="O20:O31" si="10">-D20-G20-J20-K20</f>
        <v>-21835</v>
      </c>
      <c r="P20" s="579">
        <f t="shared" ref="P20:P31" si="11">O20+E20</f>
        <v>99290.373664062412</v>
      </c>
      <c r="Q20" s="55">
        <f t="shared" ref="Q20:Q31" si="12">TRUNC(ROUND(P20,0),0)</f>
        <v>99290</v>
      </c>
      <c r="R20" s="80"/>
    </row>
    <row r="21" spans="1:18" x14ac:dyDescent="0.2">
      <c r="A21" s="765">
        <v>79</v>
      </c>
      <c r="B21" s="766" t="s">
        <v>252</v>
      </c>
      <c r="C21" s="49">
        <f>'rozpis pro rozpocet'!G59</f>
        <v>0</v>
      </c>
      <c r="D21" s="50"/>
      <c r="E21" s="32">
        <f>'rozpis pro rozpocet'!E59</f>
        <v>0</v>
      </c>
      <c r="F21" s="52"/>
      <c r="G21" s="51"/>
      <c r="H21" s="590">
        <f>C21+G21+D21</f>
        <v>0</v>
      </c>
      <c r="I21" s="51">
        <f>'rozpis pro rozpocet'!H59</f>
        <v>5340</v>
      </c>
      <c r="J21" s="51">
        <f>-'Plánované náklady z DKRVO'!C23</f>
        <v>-5340</v>
      </c>
      <c r="K21" s="54"/>
      <c r="L21" s="566">
        <f t="shared" ref="L21:L31" si="13">I21+K21+J21</f>
        <v>0</v>
      </c>
      <c r="M21" s="34">
        <f>I21+J21</f>
        <v>0</v>
      </c>
      <c r="N21" s="53">
        <f t="shared" si="9"/>
        <v>0</v>
      </c>
      <c r="O21" s="32">
        <f>-D21-G21-J21-K21</f>
        <v>5340</v>
      </c>
      <c r="P21" s="576">
        <f t="shared" si="11"/>
        <v>5340</v>
      </c>
      <c r="Q21" s="55">
        <f t="shared" si="12"/>
        <v>5340</v>
      </c>
      <c r="R21" s="80"/>
    </row>
    <row r="22" spans="1:18" x14ac:dyDescent="0.2">
      <c r="A22" s="767">
        <v>81</v>
      </c>
      <c r="B22" s="768" t="s">
        <v>68</v>
      </c>
      <c r="C22" s="49">
        <f>'rozpis pro rozpocet'!G60</f>
        <v>0</v>
      </c>
      <c r="D22" s="31"/>
      <c r="E22" s="32">
        <f>'rozpis pro rozpocet'!E60</f>
        <v>0</v>
      </c>
      <c r="F22" s="33"/>
      <c r="G22" s="32"/>
      <c r="H22" s="590">
        <f t="shared" si="2"/>
        <v>0</v>
      </c>
      <c r="I22" s="51">
        <f>'rozpis pro rozpocet'!H60</f>
        <v>0</v>
      </c>
      <c r="J22" s="31"/>
      <c r="K22" s="31"/>
      <c r="L22" s="566">
        <f t="shared" si="13"/>
        <v>0</v>
      </c>
      <c r="M22" s="34">
        <f>I22+J22</f>
        <v>0</v>
      </c>
      <c r="N22" s="34">
        <f t="shared" si="9"/>
        <v>0</v>
      </c>
      <c r="O22" s="32">
        <f t="shared" si="10"/>
        <v>0</v>
      </c>
      <c r="P22" s="576">
        <f t="shared" si="11"/>
        <v>0</v>
      </c>
      <c r="Q22" s="55">
        <f t="shared" si="12"/>
        <v>0</v>
      </c>
      <c r="R22" s="80"/>
    </row>
    <row r="23" spans="1:18" x14ac:dyDescent="0.2">
      <c r="A23" s="767">
        <v>82</v>
      </c>
      <c r="B23" s="768" t="s">
        <v>1</v>
      </c>
      <c r="C23" s="49">
        <f>'rozpis pro rozpocet'!G61</f>
        <v>0</v>
      </c>
      <c r="D23" s="31"/>
      <c r="E23" s="32">
        <f>'rozpis pro rozpocet'!E61</f>
        <v>0</v>
      </c>
      <c r="F23" s="33"/>
      <c r="G23" s="32"/>
      <c r="H23" s="590">
        <f t="shared" si="2"/>
        <v>0</v>
      </c>
      <c r="I23" s="51">
        <f>'rozpis pro rozpocet'!H61</f>
        <v>9595</v>
      </c>
      <c r="J23" s="31"/>
      <c r="K23" s="31"/>
      <c r="L23" s="566">
        <f t="shared" si="13"/>
        <v>9595</v>
      </c>
      <c r="M23" s="34">
        <f>I23+J23</f>
        <v>9595</v>
      </c>
      <c r="N23" s="34">
        <f t="shared" si="9"/>
        <v>0</v>
      </c>
      <c r="O23" s="32">
        <f t="shared" si="10"/>
        <v>0</v>
      </c>
      <c r="P23" s="576">
        <f t="shared" si="11"/>
        <v>0</v>
      </c>
      <c r="Q23" s="55">
        <f t="shared" si="12"/>
        <v>0</v>
      </c>
      <c r="R23" s="80"/>
    </row>
    <row r="24" spans="1:18" x14ac:dyDescent="0.2">
      <c r="A24" s="767">
        <v>83</v>
      </c>
      <c r="B24" s="768" t="s">
        <v>79</v>
      </c>
      <c r="C24" s="49">
        <f>'rozpis pro rozpocet'!G62</f>
        <v>6500</v>
      </c>
      <c r="D24" s="31"/>
      <c r="E24" s="32">
        <f>'rozpis pro rozpocet'!E62</f>
        <v>0</v>
      </c>
      <c r="F24" s="33"/>
      <c r="G24" s="32"/>
      <c r="H24" s="590">
        <f t="shared" si="2"/>
        <v>6500</v>
      </c>
      <c r="I24" s="51">
        <f>'rozpis pro rozpocet'!H62</f>
        <v>2070</v>
      </c>
      <c r="J24" s="31"/>
      <c r="K24" s="31"/>
      <c r="L24" s="566">
        <f t="shared" si="13"/>
        <v>2070</v>
      </c>
      <c r="M24" s="34">
        <f t="shared" ref="M24:M31" si="14">I24+J24</f>
        <v>2070</v>
      </c>
      <c r="N24" s="34">
        <f t="shared" si="9"/>
        <v>0</v>
      </c>
      <c r="O24" s="32">
        <f t="shared" si="10"/>
        <v>0</v>
      </c>
      <c r="P24" s="576">
        <f t="shared" si="11"/>
        <v>0</v>
      </c>
      <c r="Q24" s="55">
        <f t="shared" si="12"/>
        <v>0</v>
      </c>
      <c r="R24" s="80"/>
    </row>
    <row r="25" spans="1:18" x14ac:dyDescent="0.2">
      <c r="A25" s="767">
        <v>84</v>
      </c>
      <c r="B25" s="768" t="s">
        <v>78</v>
      </c>
      <c r="C25" s="49">
        <f>'rozpis pro rozpocet'!G63</f>
        <v>0</v>
      </c>
      <c r="D25" s="31"/>
      <c r="E25" s="32">
        <f>'rozpis pro rozpocet'!E63</f>
        <v>580.79999999999995</v>
      </c>
      <c r="F25" s="33"/>
      <c r="G25" s="31"/>
      <c r="H25" s="590">
        <f t="shared" si="2"/>
        <v>0</v>
      </c>
      <c r="I25" s="51">
        <f>'rozpis pro rozpocet'!H63</f>
        <v>0</v>
      </c>
      <c r="J25" s="31"/>
      <c r="K25" s="31"/>
      <c r="L25" s="566">
        <f t="shared" si="13"/>
        <v>0</v>
      </c>
      <c r="M25" s="34">
        <f t="shared" si="14"/>
        <v>0</v>
      </c>
      <c r="N25" s="34">
        <f t="shared" si="9"/>
        <v>0</v>
      </c>
      <c r="O25" s="32">
        <f t="shared" si="10"/>
        <v>0</v>
      </c>
      <c r="P25" s="576">
        <f t="shared" si="11"/>
        <v>580.79999999999995</v>
      </c>
      <c r="Q25" s="55">
        <f t="shared" si="12"/>
        <v>581</v>
      </c>
      <c r="R25" s="80"/>
    </row>
    <row r="26" spans="1:18" x14ac:dyDescent="0.2">
      <c r="A26" s="767">
        <v>85</v>
      </c>
      <c r="B26" s="768" t="s">
        <v>98</v>
      </c>
      <c r="C26" s="49">
        <f>'rozpis pro rozpocet'!G64</f>
        <v>435.7</v>
      </c>
      <c r="D26" s="31"/>
      <c r="E26" s="32">
        <f>'rozpis pro rozpocet'!E64</f>
        <v>1793</v>
      </c>
      <c r="F26" s="33"/>
      <c r="G26" s="31"/>
      <c r="H26" s="590">
        <f t="shared" si="2"/>
        <v>435.7</v>
      </c>
      <c r="I26" s="51">
        <f>'rozpis pro rozpocet'!H64</f>
        <v>0</v>
      </c>
      <c r="J26" s="31"/>
      <c r="K26" s="31"/>
      <c r="L26" s="566">
        <f t="shared" si="13"/>
        <v>0</v>
      </c>
      <c r="M26" s="34">
        <f t="shared" si="14"/>
        <v>0</v>
      </c>
      <c r="N26" s="34">
        <f t="shared" si="9"/>
        <v>0</v>
      </c>
      <c r="O26" s="32">
        <f t="shared" si="10"/>
        <v>0</v>
      </c>
      <c r="P26" s="576">
        <f t="shared" si="11"/>
        <v>1793</v>
      </c>
      <c r="Q26" s="55">
        <f t="shared" si="12"/>
        <v>1793</v>
      </c>
      <c r="R26" s="80"/>
    </row>
    <row r="27" spans="1:18" x14ac:dyDescent="0.2">
      <c r="A27" s="767">
        <v>87</v>
      </c>
      <c r="B27" s="768" t="s">
        <v>126</v>
      </c>
      <c r="C27" s="49">
        <f>'rozpis pro rozpocet'!G65</f>
        <v>7900</v>
      </c>
      <c r="D27" s="231">
        <f>-'Plánované náklady z DKRVO'!C17</f>
        <v>-7900</v>
      </c>
      <c r="E27" s="32">
        <f>'rozpis pro rozpocet'!E65</f>
        <v>18.600000000000001</v>
      </c>
      <c r="F27" s="33"/>
      <c r="G27" s="31"/>
      <c r="H27" s="590">
        <f>C27+G27+D27</f>
        <v>0</v>
      </c>
      <c r="I27" s="51">
        <f>'rozpis pro rozpocet'!H65</f>
        <v>1100</v>
      </c>
      <c r="J27" s="32">
        <f>-('Plánované náklady z DKRVO'!C15+'Plánované náklady z DKRVO'!C16)</f>
        <v>-1100</v>
      </c>
      <c r="K27" s="32"/>
      <c r="L27" s="566">
        <f t="shared" si="13"/>
        <v>0</v>
      </c>
      <c r="M27" s="34">
        <f t="shared" si="14"/>
        <v>0</v>
      </c>
      <c r="N27" s="34">
        <f t="shared" si="9"/>
        <v>0</v>
      </c>
      <c r="O27" s="32">
        <f>-D27-G27-J27-K27</f>
        <v>9000</v>
      </c>
      <c r="P27" s="576">
        <f t="shared" si="11"/>
        <v>9018.6</v>
      </c>
      <c r="Q27" s="55">
        <f t="shared" si="12"/>
        <v>9019</v>
      </c>
      <c r="R27" s="80"/>
    </row>
    <row r="28" spans="1:18" x14ac:dyDescent="0.2">
      <c r="A28" s="767">
        <v>92</v>
      </c>
      <c r="B28" s="768" t="s">
        <v>17</v>
      </c>
      <c r="C28" s="49">
        <f>'rozpis pro rozpocet'!G66</f>
        <v>112952</v>
      </c>
      <c r="D28" s="231">
        <v>0</v>
      </c>
      <c r="E28" s="32">
        <f>'rozpis pro rozpocet'!E66</f>
        <v>9151.0853977437546</v>
      </c>
      <c r="F28" s="33"/>
      <c r="G28" s="31"/>
      <c r="H28" s="590">
        <f t="shared" si="2"/>
        <v>112952</v>
      </c>
      <c r="I28" s="51">
        <f>'rozpis pro rozpocet'!H66</f>
        <v>56238</v>
      </c>
      <c r="J28" s="32">
        <v>0</v>
      </c>
      <c r="K28" s="32"/>
      <c r="L28" s="566">
        <f t="shared" si="13"/>
        <v>56238</v>
      </c>
      <c r="M28" s="34">
        <f t="shared" si="14"/>
        <v>56238</v>
      </c>
      <c r="N28" s="34">
        <f t="shared" si="9"/>
        <v>0</v>
      </c>
      <c r="O28" s="32">
        <f t="shared" si="10"/>
        <v>0</v>
      </c>
      <c r="P28" s="576">
        <f>O28+E28</f>
        <v>9151.0853977437546</v>
      </c>
      <c r="Q28" s="55">
        <f t="shared" si="12"/>
        <v>9151</v>
      </c>
      <c r="R28" s="80"/>
    </row>
    <row r="29" spans="1:18" x14ac:dyDescent="0.2">
      <c r="A29" s="767">
        <v>96</v>
      </c>
      <c r="B29" s="768" t="s">
        <v>23</v>
      </c>
      <c r="C29" s="49">
        <f>'rozpis pro rozpocet'!G67</f>
        <v>40071.799999999996</v>
      </c>
      <c r="D29" s="231"/>
      <c r="E29" s="32">
        <f>'rozpis pro rozpocet'!E67</f>
        <v>897.2</v>
      </c>
      <c r="F29" s="33"/>
      <c r="G29" s="31"/>
      <c r="H29" s="590">
        <f t="shared" si="2"/>
        <v>40071.799999999996</v>
      </c>
      <c r="I29" s="51">
        <f>'rozpis pro rozpocet'!H67</f>
        <v>0</v>
      </c>
      <c r="J29" s="31"/>
      <c r="K29" s="31"/>
      <c r="L29" s="566">
        <f t="shared" si="13"/>
        <v>0</v>
      </c>
      <c r="M29" s="34">
        <f t="shared" si="14"/>
        <v>0</v>
      </c>
      <c r="N29" s="34">
        <f t="shared" si="9"/>
        <v>0</v>
      </c>
      <c r="O29" s="32">
        <f t="shared" si="10"/>
        <v>0</v>
      </c>
      <c r="P29" s="576">
        <f t="shared" si="11"/>
        <v>897.2</v>
      </c>
      <c r="Q29" s="55">
        <f t="shared" si="12"/>
        <v>897</v>
      </c>
      <c r="R29" s="80"/>
    </row>
    <row r="30" spans="1:18" x14ac:dyDescent="0.2">
      <c r="A30" s="767">
        <v>97</v>
      </c>
      <c r="B30" s="768" t="s">
        <v>24</v>
      </c>
      <c r="C30" s="49">
        <f>'rozpis pro rozpocet'!G68</f>
        <v>12150</v>
      </c>
      <c r="D30" s="231"/>
      <c r="E30" s="32">
        <f>'rozpis pro rozpocet'!E68</f>
        <v>0</v>
      </c>
      <c r="F30" s="33"/>
      <c r="G30" s="31"/>
      <c r="H30" s="590">
        <f>C30+G30+D30</f>
        <v>12150</v>
      </c>
      <c r="I30" s="51">
        <f>'rozpis pro rozpocet'!H68</f>
        <v>0</v>
      </c>
      <c r="J30" s="32"/>
      <c r="K30" s="31"/>
      <c r="L30" s="566">
        <f t="shared" si="13"/>
        <v>0</v>
      </c>
      <c r="M30" s="34">
        <f t="shared" si="14"/>
        <v>0</v>
      </c>
      <c r="N30" s="34">
        <f t="shared" si="9"/>
        <v>0</v>
      </c>
      <c r="O30" s="32">
        <f t="shared" si="10"/>
        <v>0</v>
      </c>
      <c r="P30" s="576">
        <f t="shared" si="11"/>
        <v>0</v>
      </c>
      <c r="Q30" s="55">
        <f t="shared" si="12"/>
        <v>0</v>
      </c>
      <c r="R30" s="80"/>
    </row>
    <row r="31" spans="1:18" ht="12.75" thickBot="1" x14ac:dyDescent="0.25">
      <c r="A31" s="769">
        <v>99</v>
      </c>
      <c r="B31" s="770" t="s">
        <v>81</v>
      </c>
      <c r="C31" s="49">
        <f>'rozpis pro rozpocet'!G69</f>
        <v>87882.425999999396</v>
      </c>
      <c r="D31" s="1314">
        <f>-'Plánované náklady z DKRVO'!C9</f>
        <v>-5100</v>
      </c>
      <c r="E31" s="32">
        <f>'rozpis pro rozpocet'!E69</f>
        <v>72270</v>
      </c>
      <c r="F31" s="39"/>
      <c r="G31" s="37"/>
      <c r="H31" s="591">
        <f t="shared" si="2"/>
        <v>82782.425999999396</v>
      </c>
      <c r="I31" s="51">
        <f>'rozpis pro rozpocet'!H69</f>
        <v>111102</v>
      </c>
      <c r="J31" s="38">
        <f>-('Plánované náklady z DKRVO'!C7+'Plánované náklady z DKRVO'!C8)</f>
        <v>-2395</v>
      </c>
      <c r="K31" s="38"/>
      <c r="L31" s="567">
        <f t="shared" si="13"/>
        <v>108707</v>
      </c>
      <c r="M31" s="34">
        <f t="shared" si="14"/>
        <v>108707</v>
      </c>
      <c r="N31" s="40">
        <f t="shared" si="9"/>
        <v>0</v>
      </c>
      <c r="O31" s="38">
        <f t="shared" si="10"/>
        <v>7495</v>
      </c>
      <c r="P31" s="577">
        <f t="shared" si="11"/>
        <v>79765</v>
      </c>
      <c r="Q31" s="55">
        <f t="shared" si="12"/>
        <v>79765</v>
      </c>
      <c r="R31" s="80"/>
    </row>
    <row r="32" spans="1:18" ht="13.5" customHeight="1" thickBot="1" x14ac:dyDescent="0.25">
      <c r="A32" s="1715" t="s">
        <v>305</v>
      </c>
      <c r="B32" s="1716"/>
      <c r="C32" s="57">
        <f t="shared" ref="C32:I32" si="15">SUM(C20:C31)</f>
        <v>267891.9259999994</v>
      </c>
      <c r="D32" s="58">
        <f t="shared" si="15"/>
        <v>-13000</v>
      </c>
      <c r="E32" s="58">
        <f t="shared" si="15"/>
        <v>205836.05906180618</v>
      </c>
      <c r="F32" s="59">
        <f t="shared" si="15"/>
        <v>0.15128501611318787</v>
      </c>
      <c r="G32" s="58">
        <f t="shared" si="15"/>
        <v>13000</v>
      </c>
      <c r="H32" s="594">
        <f t="shared" si="15"/>
        <v>267891.9259999994</v>
      </c>
      <c r="I32" s="58">
        <f t="shared" si="15"/>
        <v>187445</v>
      </c>
      <c r="J32" s="58">
        <f t="shared" ref="J32:P32" si="16">SUM(J20:J31)</f>
        <v>-8835</v>
      </c>
      <c r="K32" s="58">
        <f t="shared" si="16"/>
        <v>8835</v>
      </c>
      <c r="L32" s="570">
        <f t="shared" si="16"/>
        <v>187445</v>
      </c>
      <c r="M32" s="60">
        <f t="shared" si="16"/>
        <v>178610</v>
      </c>
      <c r="N32" s="60">
        <f t="shared" si="16"/>
        <v>8835</v>
      </c>
      <c r="O32" s="58">
        <f t="shared" si="16"/>
        <v>0</v>
      </c>
      <c r="P32" s="580">
        <f t="shared" si="16"/>
        <v>205836.05906180618</v>
      </c>
      <c r="Q32" s="61">
        <f>SUM(Q20:Q31)</f>
        <v>205836</v>
      </c>
      <c r="R32" s="80"/>
    </row>
    <row r="33" spans="1:18" x14ac:dyDescent="0.2">
      <c r="A33" s="771" t="s">
        <v>567</v>
      </c>
      <c r="B33" s="772"/>
      <c r="C33" s="49">
        <f t="shared" ref="C33:P33" si="17">C19+C20</f>
        <v>1710950.3000000003</v>
      </c>
      <c r="D33" s="51">
        <f t="shared" si="17"/>
        <v>0</v>
      </c>
      <c r="E33" s="51">
        <f t="shared" si="17"/>
        <v>800643.55860225623</v>
      </c>
      <c r="F33" s="52">
        <f t="shared" si="17"/>
        <v>0.99999999999999989</v>
      </c>
      <c r="G33" s="51">
        <f t="shared" si="17"/>
        <v>13000</v>
      </c>
      <c r="H33" s="593">
        <f t="shared" si="17"/>
        <v>1723950.3000000003</v>
      </c>
      <c r="I33" s="51">
        <f t="shared" si="17"/>
        <v>52431</v>
      </c>
      <c r="J33" s="51">
        <f t="shared" si="17"/>
        <v>0</v>
      </c>
      <c r="K33" s="51">
        <f t="shared" si="17"/>
        <v>8835</v>
      </c>
      <c r="L33" s="569">
        <f t="shared" si="17"/>
        <v>61266</v>
      </c>
      <c r="M33" s="53">
        <f t="shared" si="17"/>
        <v>52431</v>
      </c>
      <c r="N33" s="34">
        <f t="shared" si="9"/>
        <v>8835</v>
      </c>
      <c r="O33" s="51">
        <f t="shared" si="17"/>
        <v>-21835</v>
      </c>
      <c r="P33" s="579">
        <f t="shared" si="17"/>
        <v>778808.55860225623</v>
      </c>
      <c r="Q33" s="579">
        <f>Q19+Q20</f>
        <v>778808</v>
      </c>
      <c r="R33" s="80"/>
    </row>
    <row r="34" spans="1:18" x14ac:dyDescent="0.2">
      <c r="A34" s="771" t="s">
        <v>281</v>
      </c>
      <c r="B34" s="772"/>
      <c r="C34" s="63"/>
      <c r="D34" s="31"/>
      <c r="E34" s="31"/>
      <c r="F34" s="33"/>
      <c r="G34" s="31"/>
      <c r="H34" s="590"/>
      <c r="I34" s="32">
        <f>'rozpis pro rozpocet'!H71</f>
        <v>88000</v>
      </c>
      <c r="J34" s="31"/>
      <c r="K34" s="31"/>
      <c r="L34" s="566">
        <f>I34+K34</f>
        <v>88000</v>
      </c>
      <c r="M34" s="34">
        <f>L34</f>
        <v>88000</v>
      </c>
      <c r="N34" s="34">
        <f t="shared" si="9"/>
        <v>0</v>
      </c>
      <c r="O34" s="32">
        <f>G34+K34</f>
        <v>0</v>
      </c>
      <c r="P34" s="576">
        <f>O34+E34</f>
        <v>0</v>
      </c>
      <c r="Q34" s="36"/>
      <c r="R34" s="80"/>
    </row>
    <row r="35" spans="1:18" ht="12.75" thickBot="1" x14ac:dyDescent="0.25">
      <c r="A35" s="771" t="s">
        <v>32</v>
      </c>
      <c r="B35" s="772"/>
      <c r="C35" s="64"/>
      <c r="D35" s="37"/>
      <c r="E35" s="37"/>
      <c r="F35" s="39"/>
      <c r="G35" s="37"/>
      <c r="H35" s="591"/>
      <c r="I35" s="38">
        <f>'rozpis pro rozpocet'!I69</f>
        <v>15000</v>
      </c>
      <c r="J35" s="37"/>
      <c r="K35" s="37"/>
      <c r="L35" s="567">
        <f>I35</f>
        <v>15000</v>
      </c>
      <c r="M35" s="40">
        <f>L35</f>
        <v>15000</v>
      </c>
      <c r="N35" s="34">
        <f t="shared" si="9"/>
        <v>0</v>
      </c>
      <c r="O35" s="38"/>
      <c r="P35" s="577"/>
      <c r="Q35" s="42"/>
      <c r="R35" s="80"/>
    </row>
    <row r="36" spans="1:18" ht="12.75" thickBot="1" x14ac:dyDescent="0.25">
      <c r="A36" s="65" t="s">
        <v>70</v>
      </c>
      <c r="B36" s="773"/>
      <c r="C36" s="57">
        <f t="shared" ref="C36:H36" si="18">C19+C32+C34</f>
        <v>1978842.2259999998</v>
      </c>
      <c r="D36" s="58">
        <f t="shared" si="18"/>
        <v>-13000</v>
      </c>
      <c r="E36" s="58">
        <f>E19+E32+E34</f>
        <v>885354.24399999995</v>
      </c>
      <c r="F36" s="59">
        <f t="shared" si="18"/>
        <v>0.99999999999999989</v>
      </c>
      <c r="G36" s="58">
        <f t="shared" si="18"/>
        <v>13000</v>
      </c>
      <c r="H36" s="594">
        <f t="shared" si="18"/>
        <v>1978842.2259999998</v>
      </c>
      <c r="I36" s="58">
        <f>I19+I32+I34+I35</f>
        <v>340876</v>
      </c>
      <c r="J36" s="58">
        <f>J19+J32+J34+J35</f>
        <v>-8835</v>
      </c>
      <c r="K36" s="58">
        <f t="shared" ref="K36:P36" si="19">K19+K32+K34+K35</f>
        <v>8835</v>
      </c>
      <c r="L36" s="570">
        <f>L19+L32+L34+L35</f>
        <v>340876</v>
      </c>
      <c r="M36" s="60">
        <f t="shared" si="19"/>
        <v>332041</v>
      </c>
      <c r="N36" s="60">
        <f>N19+N34+N32+N35</f>
        <v>8835</v>
      </c>
      <c r="O36" s="58">
        <f t="shared" si="19"/>
        <v>0</v>
      </c>
      <c r="P36" s="580">
        <f t="shared" si="19"/>
        <v>885354.24399999995</v>
      </c>
      <c r="Q36" s="61">
        <f>Q19+Q32+Q34+Q35</f>
        <v>885354</v>
      </c>
      <c r="R36" s="80"/>
    </row>
    <row r="37" spans="1:18" ht="12.75" thickBot="1" x14ac:dyDescent="0.25">
      <c r="B37" s="66"/>
      <c r="C37" s="884">
        <f>'rozpis pro rozpocet'!G72</f>
        <v>1978842.2259999998</v>
      </c>
      <c r="D37" s="67"/>
      <c r="E37" s="885">
        <f>'rozpis pro rozpocet'!E72</f>
        <v>885354.24399999995</v>
      </c>
      <c r="F37" s="67"/>
      <c r="G37" s="67"/>
      <c r="H37" s="67"/>
      <c r="I37" s="885">
        <f>'rozpis pro rozpocet'!H72+I35</f>
        <v>340876</v>
      </c>
      <c r="J37" s="67"/>
      <c r="K37" s="68"/>
      <c r="L37" s="68"/>
      <c r="M37" s="68"/>
      <c r="N37" s="885">
        <f>'Plánované náklady z DKRVO'!C7+'Plánované náklady z DKRVO'!C8+'Plánované náklady z DKRVO'!C15+'Plánované náklady z DKRVO'!C16+'Plánované náklady z DKRVO'!C23</f>
        <v>8835</v>
      </c>
      <c r="O37" s="69">
        <f>G37+K37</f>
        <v>0</v>
      </c>
      <c r="P37" s="70">
        <f>O37+E37</f>
        <v>885354.24399999995</v>
      </c>
      <c r="Q37" s="70"/>
      <c r="R37" s="80"/>
    </row>
    <row r="38" spans="1:18" x14ac:dyDescent="0.2">
      <c r="E38" s="80"/>
      <c r="I38" s="883">
        <f>C37+I37</f>
        <v>2319718.2259999998</v>
      </c>
      <c r="Q38" s="80"/>
    </row>
    <row r="39" spans="1:18" x14ac:dyDescent="0.2">
      <c r="A39" s="834" t="s">
        <v>303</v>
      </c>
      <c r="Q39" s="80"/>
    </row>
    <row r="41" spans="1:18" x14ac:dyDescent="0.2">
      <c r="H41" s="640"/>
    </row>
    <row r="42" spans="1:18" x14ac:dyDescent="0.2">
      <c r="H42" s="640"/>
    </row>
  </sheetData>
  <mergeCells count="7">
    <mergeCell ref="M6:N7"/>
    <mergeCell ref="A19:B19"/>
    <mergeCell ref="A32:B32"/>
    <mergeCell ref="D6:D7"/>
    <mergeCell ref="G6:G7"/>
    <mergeCell ref="J6:J7"/>
    <mergeCell ref="K6:K7"/>
  </mergeCells>
  <pageMargins left="0.70866141732283472" right="0.70866141732283472" top="0.78740157480314965" bottom="0.78740157480314965" header="0.31496062992125984" footer="0.31496062992125984"/>
  <pageSetup paperSize="9" scale="81" orientation="landscape" r:id="rId1"/>
  <headerFooter differentFirst="1" scaleWithDoc="0" alignWithMargins="0">
    <oddFooter>&amp;C&amp;9 7</oddFooter>
    <firstFooter>&amp;C&amp;N+7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5" x14ac:dyDescent="0.25"/>
  <cols>
    <col min="1" max="1" width="10.140625" style="1338" bestFit="1" customWidth="1"/>
    <col min="2" max="2" width="10.140625" style="1338" customWidth="1"/>
    <col min="3" max="3" width="14" style="1338" customWidth="1"/>
    <col min="4" max="16384" width="9.140625" style="1338"/>
  </cols>
  <sheetData>
    <row r="1" spans="1:3" ht="18.75" x14ac:dyDescent="0.3">
      <c r="A1" s="1337" t="s">
        <v>654</v>
      </c>
      <c r="B1" s="1337"/>
    </row>
    <row r="2" spans="1:3" x14ac:dyDescent="0.25">
      <c r="A2" s="1339" t="s">
        <v>557</v>
      </c>
      <c r="B2" s="1339"/>
    </row>
    <row r="3" spans="1:3" ht="15.75" thickBot="1" x14ac:dyDescent="0.3">
      <c r="A3" s="1340"/>
      <c r="B3" s="1340"/>
    </row>
    <row r="4" spans="1:3" ht="15.75" thickBot="1" x14ac:dyDescent="0.3">
      <c r="B4" s="1341" t="s">
        <v>558</v>
      </c>
      <c r="C4" s="1342">
        <f>C10+C18+C24</f>
        <v>21835</v>
      </c>
    </row>
    <row r="5" spans="1:3" ht="15.75" x14ac:dyDescent="0.25">
      <c r="A5" s="1343" t="s">
        <v>407</v>
      </c>
      <c r="B5" s="1343"/>
    </row>
    <row r="6" spans="1:3" x14ac:dyDescent="0.25">
      <c r="A6" s="1344" t="s">
        <v>403</v>
      </c>
      <c r="B6" s="1344" t="s">
        <v>562</v>
      </c>
      <c r="C6" s="1344" t="s">
        <v>559</v>
      </c>
    </row>
    <row r="7" spans="1:3" x14ac:dyDescent="0.25">
      <c r="A7" s="1345" t="s">
        <v>198</v>
      </c>
      <c r="B7" s="1346">
        <v>1112</v>
      </c>
      <c r="C7" s="1347">
        <v>695</v>
      </c>
    </row>
    <row r="8" spans="1:3" x14ac:dyDescent="0.25">
      <c r="A8" s="1345" t="s">
        <v>560</v>
      </c>
      <c r="B8" s="1346">
        <v>1112</v>
      </c>
      <c r="C8" s="1347">
        <v>1700</v>
      </c>
    </row>
    <row r="9" spans="1:3" x14ac:dyDescent="0.25">
      <c r="A9" s="1345" t="s">
        <v>555</v>
      </c>
      <c r="B9" s="1346">
        <v>1111</v>
      </c>
      <c r="C9" s="1347">
        <v>5100</v>
      </c>
    </row>
    <row r="10" spans="1:3" x14ac:dyDescent="0.25">
      <c r="A10" s="1348" t="s">
        <v>70</v>
      </c>
      <c r="B10" s="1349"/>
      <c r="C10" s="1350">
        <f>SUM(C7:C9)</f>
        <v>7495</v>
      </c>
    </row>
    <row r="11" spans="1:3" x14ac:dyDescent="0.25">
      <c r="A11" s="1351"/>
      <c r="B11" s="1351"/>
      <c r="C11" s="1351"/>
    </row>
    <row r="12" spans="1:3" x14ac:dyDescent="0.25">
      <c r="A12" s="1351"/>
      <c r="B12" s="1351"/>
      <c r="C12" s="1351"/>
    </row>
    <row r="13" spans="1:3" ht="15.75" x14ac:dyDescent="0.25">
      <c r="A13" s="1343" t="s">
        <v>414</v>
      </c>
      <c r="B13" s="1343"/>
    </row>
    <row r="14" spans="1:3" x14ac:dyDescent="0.25">
      <c r="A14" s="1344" t="s">
        <v>403</v>
      </c>
      <c r="B14" s="1344" t="s">
        <v>562</v>
      </c>
      <c r="C14" s="1344" t="s">
        <v>559</v>
      </c>
    </row>
    <row r="15" spans="1:3" x14ac:dyDescent="0.25">
      <c r="A15" s="1345"/>
      <c r="B15" s="1346">
        <v>1112</v>
      </c>
      <c r="C15" s="1347">
        <v>250</v>
      </c>
    </row>
    <row r="16" spans="1:3" x14ac:dyDescent="0.25">
      <c r="A16" s="1345"/>
      <c r="B16" s="1346">
        <v>1112</v>
      </c>
      <c r="C16" s="1347">
        <v>850</v>
      </c>
    </row>
    <row r="17" spans="1:3" x14ac:dyDescent="0.25">
      <c r="A17" s="1345"/>
      <c r="B17" s="1346">
        <v>1111</v>
      </c>
      <c r="C17" s="1347">
        <v>7900</v>
      </c>
    </row>
    <row r="18" spans="1:3" x14ac:dyDescent="0.25">
      <c r="A18" s="1348" t="s">
        <v>70</v>
      </c>
      <c r="B18" s="1349"/>
      <c r="C18" s="1350">
        <f>SUM(C15:C17)</f>
        <v>9000</v>
      </c>
    </row>
    <row r="21" spans="1:3" ht="15.75" x14ac:dyDescent="0.25">
      <c r="A21" s="1343" t="s">
        <v>561</v>
      </c>
      <c r="B21" s="1343"/>
    </row>
    <row r="22" spans="1:3" x14ac:dyDescent="0.25">
      <c r="A22" s="1344" t="s">
        <v>403</v>
      </c>
      <c r="B22" s="1344" t="s">
        <v>562</v>
      </c>
      <c r="C22" s="1344" t="s">
        <v>559</v>
      </c>
    </row>
    <row r="23" spans="1:3" x14ac:dyDescent="0.25">
      <c r="A23" s="1345"/>
      <c r="B23" s="1346">
        <v>1112</v>
      </c>
      <c r="C23" s="1347">
        <v>5340</v>
      </c>
    </row>
    <row r="24" spans="1:3" x14ac:dyDescent="0.25">
      <c r="A24" s="1348" t="s">
        <v>70</v>
      </c>
      <c r="B24" s="1349"/>
      <c r="C24" s="1350">
        <f>SUM(C23)</f>
        <v>5340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AL50"/>
  <sheetViews>
    <sheetView showGridLines="0" workbookViewId="0"/>
  </sheetViews>
  <sheetFormatPr defaultColWidth="8.7109375" defaultRowHeight="12.75" x14ac:dyDescent="0.2"/>
  <cols>
    <col min="1" max="1" width="4.140625" style="1" customWidth="1"/>
    <col min="2" max="2" width="6.42578125" style="1" customWidth="1"/>
    <col min="3" max="3" width="9.42578125" style="1" customWidth="1"/>
    <col min="4" max="4" width="5.7109375" style="1" customWidth="1"/>
    <col min="5" max="6" width="9.42578125" style="1" customWidth="1"/>
    <col min="7" max="7" width="5.7109375" style="1" customWidth="1"/>
    <col min="8" max="9" width="9.42578125" style="1" customWidth="1"/>
    <col min="10" max="10" width="5.7109375" style="1" customWidth="1"/>
    <col min="11" max="12" width="9.42578125" style="1" customWidth="1"/>
    <col min="13" max="13" width="5.7109375" style="1" customWidth="1"/>
    <col min="14" max="16" width="9.42578125" style="1" customWidth="1"/>
    <col min="17" max="17" width="8.140625" style="1" customWidth="1"/>
    <col min="18" max="19" width="9.42578125" style="1" customWidth="1"/>
    <col min="20" max="20" width="8.140625" style="1" customWidth="1"/>
    <col min="21" max="22" width="9.42578125" style="1" customWidth="1"/>
    <col min="23" max="23" width="5.7109375" style="1" customWidth="1"/>
    <col min="24" max="25" width="9.42578125" style="1" customWidth="1"/>
    <col min="26" max="26" width="5.7109375" style="1" customWidth="1"/>
    <col min="27" max="28" width="9.42578125" style="1" customWidth="1"/>
    <col min="29" max="29" width="5.7109375" style="1" customWidth="1"/>
    <col min="30" max="30" width="9.42578125" style="1" customWidth="1"/>
    <col min="31" max="31" width="9.5703125" style="1" customWidth="1"/>
    <col min="32" max="32" width="5.7109375" style="1" customWidth="1"/>
    <col min="33" max="36" width="8.7109375" style="1"/>
    <col min="37" max="37" width="9.42578125" style="1" bestFit="1" customWidth="1"/>
    <col min="38" max="16384" width="8.7109375" style="1"/>
  </cols>
  <sheetData>
    <row r="1" spans="1:34" s="150" customFormat="1" ht="15.75" x14ac:dyDescent="0.25">
      <c r="A1" s="620" t="s">
        <v>667</v>
      </c>
      <c r="K1" s="150" t="s">
        <v>323</v>
      </c>
      <c r="N1" s="621">
        <f>'str1'!H7</f>
        <v>556732.37423999992</v>
      </c>
      <c r="Q1" s="814" t="s">
        <v>307</v>
      </c>
      <c r="R1" s="614">
        <f>D3+G3+J3+O3+Q3+W3+Z3+AC3+AF3+T3</f>
        <v>1</v>
      </c>
      <c r="S1" s="614"/>
      <c r="T1" s="614"/>
      <c r="U1" s="614"/>
    </row>
    <row r="2" spans="1:34" ht="13.5" thickBot="1" x14ac:dyDescent="0.25">
      <c r="A2" s="72"/>
    </row>
    <row r="3" spans="1:34" ht="12.75" customHeight="1" x14ac:dyDescent="0.2">
      <c r="A3" s="1595"/>
      <c r="B3" s="1596"/>
      <c r="C3" s="171"/>
      <c r="D3" s="813">
        <v>0.30330487088230951</v>
      </c>
      <c r="E3" s="172"/>
      <c r="F3" s="171"/>
      <c r="G3" s="813">
        <v>6.6951291176904704E-3</v>
      </c>
      <c r="H3" s="172"/>
      <c r="I3" s="171"/>
      <c r="J3" s="813">
        <v>0.1</v>
      </c>
      <c r="K3" s="172"/>
      <c r="L3" s="174">
        <v>2.5</v>
      </c>
      <c r="M3" s="175">
        <v>1.5</v>
      </c>
      <c r="N3" s="176" t="s">
        <v>183</v>
      </c>
      <c r="O3" s="812">
        <v>0.04</v>
      </c>
      <c r="P3" s="173"/>
      <c r="Q3" s="813">
        <v>0.05</v>
      </c>
      <c r="R3" s="172"/>
      <c r="S3" s="173"/>
      <c r="T3" s="813">
        <v>0.05</v>
      </c>
      <c r="U3" s="1210"/>
      <c r="V3" s="173"/>
      <c r="W3" s="813">
        <v>0.1</v>
      </c>
      <c r="X3" s="1210"/>
      <c r="Y3" s="173"/>
      <c r="Z3" s="813">
        <v>0.03</v>
      </c>
      <c r="AA3" s="172"/>
      <c r="AB3" s="173"/>
      <c r="AC3" s="813">
        <v>0.27</v>
      </c>
      <c r="AD3" s="172"/>
      <c r="AE3" s="173"/>
      <c r="AF3" s="813">
        <v>0.05</v>
      </c>
      <c r="AG3" s="172"/>
      <c r="AH3" s="1603" t="s">
        <v>308</v>
      </c>
    </row>
    <row r="4" spans="1:34" s="180" customFormat="1" ht="69.75" customHeight="1" x14ac:dyDescent="0.2">
      <c r="A4" s="1601" t="s">
        <v>535</v>
      </c>
      <c r="B4" s="1602"/>
      <c r="C4" s="177" t="s">
        <v>527</v>
      </c>
      <c r="D4" s="178" t="s">
        <v>21</v>
      </c>
      <c r="E4" s="179" t="s">
        <v>219</v>
      </c>
      <c r="F4" s="177" t="s">
        <v>512</v>
      </c>
      <c r="G4" s="178" t="s">
        <v>21</v>
      </c>
      <c r="H4" s="179" t="s">
        <v>511</v>
      </c>
      <c r="I4" s="177" t="s">
        <v>510</v>
      </c>
      <c r="J4" s="178" t="s">
        <v>21</v>
      </c>
      <c r="K4" s="179" t="s">
        <v>514</v>
      </c>
      <c r="L4" s="177" t="s">
        <v>217</v>
      </c>
      <c r="M4" s="178" t="s">
        <v>218</v>
      </c>
      <c r="N4" s="178" t="s">
        <v>183</v>
      </c>
      <c r="O4" s="179" t="s">
        <v>298</v>
      </c>
      <c r="P4" s="177" t="s">
        <v>515</v>
      </c>
      <c r="Q4" s="178" t="s">
        <v>21</v>
      </c>
      <c r="R4" s="179" t="s">
        <v>516</v>
      </c>
      <c r="S4" s="177" t="s">
        <v>529</v>
      </c>
      <c r="T4" s="178" t="s">
        <v>21</v>
      </c>
      <c r="U4" s="179" t="s">
        <v>530</v>
      </c>
      <c r="V4" s="177" t="s">
        <v>528</v>
      </c>
      <c r="W4" s="178" t="s">
        <v>21</v>
      </c>
      <c r="X4" s="179" t="s">
        <v>531</v>
      </c>
      <c r="Y4" s="177" t="s">
        <v>513</v>
      </c>
      <c r="Z4" s="178" t="s">
        <v>21</v>
      </c>
      <c r="AA4" s="179" t="s">
        <v>517</v>
      </c>
      <c r="AB4" s="177" t="s">
        <v>518</v>
      </c>
      <c r="AC4" s="178" t="s">
        <v>21</v>
      </c>
      <c r="AD4" s="179" t="s">
        <v>519</v>
      </c>
      <c r="AE4" s="177" t="s">
        <v>532</v>
      </c>
      <c r="AF4" s="178" t="s">
        <v>21</v>
      </c>
      <c r="AG4" s="179" t="s">
        <v>533</v>
      </c>
      <c r="AH4" s="1604"/>
    </row>
    <row r="5" spans="1:34" s="180" customFormat="1" ht="12" thickBot="1" x14ac:dyDescent="0.25">
      <c r="A5" s="1228"/>
      <c r="B5" s="1229"/>
      <c r="C5" s="1230"/>
      <c r="D5" s="1231"/>
      <c r="E5" s="1232" t="s">
        <v>220</v>
      </c>
      <c r="F5" s="1230"/>
      <c r="G5" s="1231"/>
      <c r="H5" s="1232" t="s">
        <v>221</v>
      </c>
      <c r="I5" s="1230"/>
      <c r="J5" s="1231"/>
      <c r="K5" s="1232" t="s">
        <v>222</v>
      </c>
      <c r="L5" s="1230"/>
      <c r="M5" s="1231"/>
      <c r="N5" s="1231"/>
      <c r="O5" s="1232" t="s">
        <v>223</v>
      </c>
      <c r="P5" s="1230"/>
      <c r="Q5" s="1231"/>
      <c r="R5" s="1232" t="s">
        <v>224</v>
      </c>
      <c r="S5" s="1230"/>
      <c r="T5" s="1231"/>
      <c r="U5" s="1232" t="s">
        <v>225</v>
      </c>
      <c r="V5" s="1230"/>
      <c r="W5" s="1231"/>
      <c r="X5" s="1232" t="s">
        <v>226</v>
      </c>
      <c r="Y5" s="1230"/>
      <c r="Z5" s="1231"/>
      <c r="AA5" s="1232" t="s">
        <v>227</v>
      </c>
      <c r="AB5" s="1230"/>
      <c r="AC5" s="1231"/>
      <c r="AD5" s="1232" t="s">
        <v>534</v>
      </c>
      <c r="AE5" s="1230"/>
      <c r="AF5" s="1231"/>
      <c r="AG5" s="1232" t="s">
        <v>299</v>
      </c>
      <c r="AH5" s="1233" t="s">
        <v>484</v>
      </c>
    </row>
    <row r="6" spans="1:34" x14ac:dyDescent="0.2">
      <c r="A6" s="181">
        <v>11</v>
      </c>
      <c r="B6" s="182" t="s">
        <v>7</v>
      </c>
      <c r="C6" s="1220">
        <v>27211.103702559434</v>
      </c>
      <c r="D6" s="1221">
        <f>C6/$C$18</f>
        <v>0.10901351555537678</v>
      </c>
      <c r="E6" s="1222">
        <f t="shared" ref="E6:E17" si="0">D6*$N$1*$D$3</f>
        <v>18407.983088277542</v>
      </c>
      <c r="F6" s="1220"/>
      <c r="G6" s="1221"/>
      <c r="H6" s="1222"/>
      <c r="I6" s="1220">
        <v>317410.87604</v>
      </c>
      <c r="J6" s="1221">
        <f>I6/$I$18</f>
        <v>0.27705737029387872</v>
      </c>
      <c r="K6" s="1222">
        <f t="shared" ref="K6:K17" si="1">J6*$N$1*$J$3</f>
        <v>15424.680756440192</v>
      </c>
      <c r="L6" s="1220">
        <v>56.424166666666672</v>
      </c>
      <c r="M6" s="1223">
        <v>56.405833333333327</v>
      </c>
      <c r="N6" s="1224">
        <f t="shared" ref="N6:N17" si="2">L6*$L$3+M6*$M$3</f>
        <v>225.66916666666665</v>
      </c>
      <c r="O6" s="1222">
        <f t="shared" ref="O6:O17" si="3">N6/$N$18*$N$1*$O$3</f>
        <v>4220.7833128515394</v>
      </c>
      <c r="P6" s="1220">
        <v>1550.8744529308899</v>
      </c>
      <c r="Q6" s="1225">
        <f t="shared" ref="Q6:Q17" si="4">P6/$P$18</f>
        <v>0.21804365725710698</v>
      </c>
      <c r="R6" s="1222">
        <f t="shared" ref="R6:R17" si="5">Q6*$N$1*$Q$3</f>
        <v>6069.5981496360982</v>
      </c>
      <c r="S6" s="1220">
        <v>833</v>
      </c>
      <c r="T6" s="1225">
        <f>S6/$S$18</f>
        <v>0.46797752808988763</v>
      </c>
      <c r="U6" s="1222">
        <f>T6*$T$3*$N$1</f>
        <v>13026.91201522247</v>
      </c>
      <c r="V6" s="1220">
        <v>4.6891090047393371</v>
      </c>
      <c r="W6" s="1225">
        <f>V6/$V$18</f>
        <v>2.7409866338469965E-2</v>
      </c>
      <c r="X6" s="1222">
        <f t="shared" ref="X6:X17" si="6">W6*$W$3*$N$1</f>
        <v>1525.9959964217437</v>
      </c>
      <c r="Y6" s="1226">
        <v>53.285692564999238</v>
      </c>
      <c r="Z6" s="1225">
        <f t="shared" ref="Z6:Z14" si="7">Y6/$Y$18</f>
        <v>7.7790903485208271E-2</v>
      </c>
      <c r="AA6" s="1222">
        <f t="shared" ref="AA6:AA14" si="8">Z6*$N$1*$Z$3</f>
        <v>1299.2614317478406</v>
      </c>
      <c r="AB6" s="1226">
        <v>33788.31503732517</v>
      </c>
      <c r="AC6" s="1225">
        <f t="shared" ref="AC6:AC14" si="9">AB6/$AB$18</f>
        <v>7.5075567258079595E-2</v>
      </c>
      <c r="AD6" s="1222">
        <f t="shared" ref="AD6:AD17" si="10">AC6*$N$1*$AC$3</f>
        <v>11285.189677891472</v>
      </c>
      <c r="AE6" s="1226">
        <v>2233.1281337047353</v>
      </c>
      <c r="AF6" s="1225">
        <f t="shared" ref="AF6:AF14" si="11">AE6/$AE$18</f>
        <v>0.1432772070752642</v>
      </c>
      <c r="AG6" s="1222">
        <f t="shared" ref="AG6:AG17" si="12">AF6*$N$1*$AF$3</f>
        <v>3988.3529834743977</v>
      </c>
      <c r="AH6" s="1227">
        <f>E6+H6+K6+O6+R6+X6+AA6+AD6+AG6+U6</f>
        <v>75248.757411963292</v>
      </c>
    </row>
    <row r="7" spans="1:34" x14ac:dyDescent="0.2">
      <c r="A7" s="140">
        <v>21</v>
      </c>
      <c r="B7" s="186" t="s">
        <v>8</v>
      </c>
      <c r="C7" s="183">
        <v>26809.367415071567</v>
      </c>
      <c r="D7" s="198">
        <f t="shared" ref="D7:D17" si="13">C7/$C$18</f>
        <v>0.10740407385452072</v>
      </c>
      <c r="E7" s="184">
        <f t="shared" si="0"/>
        <v>18136.213340645867</v>
      </c>
      <c r="F7" s="183">
        <v>5277.52</v>
      </c>
      <c r="G7" s="198">
        <f>F7/$F$18</f>
        <v>0.56234043550717538</v>
      </c>
      <c r="H7" s="184">
        <f>G7*$N$1*$G$3</f>
        <v>2096.0650004501326</v>
      </c>
      <c r="I7" s="183">
        <v>76626.12341</v>
      </c>
      <c r="J7" s="198">
        <f t="shared" ref="J7:J17" si="14">I7/$I$18</f>
        <v>6.6884388186854202E-2</v>
      </c>
      <c r="K7" s="184">
        <f t="shared" si="1"/>
        <v>3723.6704234857143</v>
      </c>
      <c r="L7" s="183">
        <v>33.458333333333329</v>
      </c>
      <c r="M7" s="185">
        <v>76.041666666666671</v>
      </c>
      <c r="N7" s="142">
        <f t="shared" si="2"/>
        <v>197.70833333333331</v>
      </c>
      <c r="O7" s="184">
        <f t="shared" si="3"/>
        <v>3697.8203379357979</v>
      </c>
      <c r="P7" s="183">
        <v>1130.1050834197358</v>
      </c>
      <c r="Q7" s="1211">
        <f t="shared" si="4"/>
        <v>0.15888600460727803</v>
      </c>
      <c r="R7" s="184">
        <f t="shared" si="5"/>
        <v>4422.8491289258736</v>
      </c>
      <c r="S7" s="183">
        <v>272</v>
      </c>
      <c r="T7" s="1225">
        <f t="shared" ref="T7:T14" si="15">S7/$S$18</f>
        <v>0.15280898876404495</v>
      </c>
      <c r="U7" s="1222">
        <f t="shared" ref="U7:U17" si="16">T7*$T$3*$N$1</f>
        <v>4253.6855559910109</v>
      </c>
      <c r="V7" s="183">
        <v>39.914696208530813</v>
      </c>
      <c r="W7" s="1225">
        <f t="shared" ref="W7:W17" si="17">V7/$V$18</f>
        <v>0.23331862981020229</v>
      </c>
      <c r="X7" s="184">
        <f t="shared" si="6"/>
        <v>12989.603472865756</v>
      </c>
      <c r="Y7" s="141">
        <v>87.395317013836092</v>
      </c>
      <c r="Z7" s="1211">
        <f t="shared" si="7"/>
        <v>0.12758698148831316</v>
      </c>
      <c r="AA7" s="184">
        <f t="shared" si="8"/>
        <v>2130.9540937831052</v>
      </c>
      <c r="AB7" s="141">
        <v>114294.95614966992</v>
      </c>
      <c r="AC7" s="1211">
        <f t="shared" si="9"/>
        <v>0.25395639463509312</v>
      </c>
      <c r="AD7" s="184">
        <f t="shared" si="10"/>
        <v>38174.151565428961</v>
      </c>
      <c r="AE7" s="141">
        <v>2532.5586206896551</v>
      </c>
      <c r="AF7" s="1211">
        <f t="shared" si="11"/>
        <v>0.16248862770127742</v>
      </c>
      <c r="AG7" s="184">
        <f t="shared" si="12"/>
        <v>4523.1339743565795</v>
      </c>
      <c r="AH7" s="1227">
        <f t="shared" ref="AH7:AH17" si="18">E7+H7+K7+O7+R7+X7+AA7+AD7+AG7+U7</f>
        <v>94148.146893868805</v>
      </c>
    </row>
    <row r="8" spans="1:34" x14ac:dyDescent="0.2">
      <c r="A8" s="140">
        <v>22</v>
      </c>
      <c r="B8" s="186" t="s">
        <v>9</v>
      </c>
      <c r="C8" s="183">
        <v>9391.3299965979968</v>
      </c>
      <c r="D8" s="198">
        <f t="shared" si="13"/>
        <v>3.7623681489020858E-2</v>
      </c>
      <c r="E8" s="184">
        <f t="shared" si="0"/>
        <v>6353.1213450025971</v>
      </c>
      <c r="F8" s="183"/>
      <c r="G8" s="198"/>
      <c r="H8" s="184"/>
      <c r="I8" s="183">
        <v>32502.00059</v>
      </c>
      <c r="J8" s="198">
        <f t="shared" si="14"/>
        <v>2.8369912603816067E-2</v>
      </c>
      <c r="K8" s="184">
        <f t="shared" si="1"/>
        <v>1579.444880090382</v>
      </c>
      <c r="L8" s="183">
        <v>12.533333333333333</v>
      </c>
      <c r="M8" s="185">
        <v>33.091666666666669</v>
      </c>
      <c r="N8" s="142">
        <f t="shared" si="2"/>
        <v>80.970833333333331</v>
      </c>
      <c r="O8" s="184">
        <f t="shared" si="3"/>
        <v>1514.4308245965512</v>
      </c>
      <c r="P8" s="183">
        <v>745.17638130643104</v>
      </c>
      <c r="Q8" s="1211">
        <f t="shared" si="4"/>
        <v>0.10476733508286837</v>
      </c>
      <c r="R8" s="184">
        <f t="shared" si="5"/>
        <v>2916.3683601741473</v>
      </c>
      <c r="S8" s="183">
        <v>13</v>
      </c>
      <c r="T8" s="1225">
        <f t="shared" si="15"/>
        <v>7.3033707865168543E-3</v>
      </c>
      <c r="U8" s="1222">
        <f t="shared" si="16"/>
        <v>203.3011478966292</v>
      </c>
      <c r="V8" s="183">
        <v>3.6099526066350709</v>
      </c>
      <c r="W8" s="1225">
        <f t="shared" si="17"/>
        <v>2.1101731338740541E-2</v>
      </c>
      <c r="X8" s="184">
        <f t="shared" si="6"/>
        <v>1174.8016988791633</v>
      </c>
      <c r="Y8" s="141">
        <v>23</v>
      </c>
      <c r="Z8" s="1211">
        <f t="shared" si="7"/>
        <v>3.3577320553304063E-2</v>
      </c>
      <c r="AA8" s="184">
        <f t="shared" si="8"/>
        <v>560.80744176775556</v>
      </c>
      <c r="AB8" s="141">
        <v>40101.026139793787</v>
      </c>
      <c r="AC8" s="1211">
        <f t="shared" si="9"/>
        <v>8.910202481983337E-2</v>
      </c>
      <c r="AD8" s="184">
        <f t="shared" si="10"/>
        <v>13393.615093435053</v>
      </c>
      <c r="AE8" s="141">
        <v>1885.3610738255036</v>
      </c>
      <c r="AF8" s="1211">
        <f t="shared" si="11"/>
        <v>0.12096451829568669</v>
      </c>
      <c r="AG8" s="184">
        <f t="shared" si="12"/>
        <v>3367.2431734777783</v>
      </c>
      <c r="AH8" s="1227">
        <f t="shared" si="18"/>
        <v>31063.133965320056</v>
      </c>
    </row>
    <row r="9" spans="1:34" x14ac:dyDescent="0.2">
      <c r="A9" s="140">
        <v>23</v>
      </c>
      <c r="B9" s="186" t="s">
        <v>10</v>
      </c>
      <c r="C9" s="183">
        <v>14381.165248165462</v>
      </c>
      <c r="D9" s="198">
        <f t="shared" si="13"/>
        <v>5.7614031338900459E-2</v>
      </c>
      <c r="E9" s="184">
        <f t="shared" si="0"/>
        <v>9728.6846418160767</v>
      </c>
      <c r="F9" s="183"/>
      <c r="G9" s="198"/>
      <c r="H9" s="184"/>
      <c r="I9" s="183">
        <v>55177.869140000003</v>
      </c>
      <c r="J9" s="198">
        <f t="shared" si="14"/>
        <v>4.8162922181726527E-2</v>
      </c>
      <c r="K9" s="184">
        <f t="shared" si="1"/>
        <v>2681.385801656897</v>
      </c>
      <c r="L9" s="183">
        <v>13.520833333333334</v>
      </c>
      <c r="M9" s="185">
        <v>29.375</v>
      </c>
      <c r="N9" s="142">
        <f t="shared" si="2"/>
        <v>77.864583333333343</v>
      </c>
      <c r="O9" s="184">
        <f t="shared" si="3"/>
        <v>1456.3333522692358</v>
      </c>
      <c r="P9" s="183">
        <v>490.26599846774195</v>
      </c>
      <c r="Q9" s="1211">
        <f t="shared" si="4"/>
        <v>6.8928462347607772E-2</v>
      </c>
      <c r="R9" s="184">
        <f t="shared" si="5"/>
        <v>1918.7353247748056</v>
      </c>
      <c r="S9" s="183">
        <v>204</v>
      </c>
      <c r="T9" s="1225">
        <f t="shared" si="15"/>
        <v>0.1146067415730337</v>
      </c>
      <c r="U9" s="1222">
        <f t="shared" si="16"/>
        <v>3190.2641669932577</v>
      </c>
      <c r="V9" s="183">
        <v>11.514132227488155</v>
      </c>
      <c r="W9" s="1225">
        <f t="shared" si="17"/>
        <v>6.7305073317753608E-2</v>
      </c>
      <c r="X9" s="184">
        <f t="shared" si="6"/>
        <v>3747.0913266590233</v>
      </c>
      <c r="Y9" s="141">
        <v>93</v>
      </c>
      <c r="Z9" s="1211">
        <f t="shared" si="7"/>
        <v>0.13576916571553382</v>
      </c>
      <c r="AA9" s="184">
        <f t="shared" si="8"/>
        <v>2267.6126993217945</v>
      </c>
      <c r="AB9" s="141">
        <v>73187.890477963971</v>
      </c>
      <c r="AC9" s="1211">
        <f t="shared" si="9"/>
        <v>0.16261901157206463</v>
      </c>
      <c r="AD9" s="184">
        <f t="shared" si="10"/>
        <v>24444.522470450942</v>
      </c>
      <c r="AE9" s="141">
        <v>1528.1432455638235</v>
      </c>
      <c r="AF9" s="1211">
        <f t="shared" si="11"/>
        <v>9.8045469460850743E-2</v>
      </c>
      <c r="AG9" s="184">
        <f t="shared" si="12"/>
        <v>2729.2543498207419</v>
      </c>
      <c r="AH9" s="1227">
        <f t="shared" si="18"/>
        <v>52163.884133762775</v>
      </c>
    </row>
    <row r="10" spans="1:34" x14ac:dyDescent="0.2">
      <c r="A10" s="140">
        <v>31</v>
      </c>
      <c r="B10" s="186" t="s">
        <v>11</v>
      </c>
      <c r="C10" s="183">
        <v>98460.500761369491</v>
      </c>
      <c r="D10" s="198">
        <f t="shared" si="13"/>
        <v>0.39445387620679867</v>
      </c>
      <c r="E10" s="184">
        <f t="shared" si="0"/>
        <v>66607.339881922933</v>
      </c>
      <c r="F10" s="183"/>
      <c r="G10" s="198"/>
      <c r="H10" s="184"/>
      <c r="I10" s="183">
        <v>309644.37936999998</v>
      </c>
      <c r="J10" s="198">
        <f t="shared" si="14"/>
        <v>0.27027825430821473</v>
      </c>
      <c r="K10" s="184">
        <f t="shared" si="1"/>
        <v>15047.265422645489</v>
      </c>
      <c r="L10" s="183">
        <v>59.937500000000007</v>
      </c>
      <c r="M10" s="185">
        <v>112.64750000000002</v>
      </c>
      <c r="N10" s="142">
        <f t="shared" si="2"/>
        <v>318.81500000000005</v>
      </c>
      <c r="O10" s="184">
        <f t="shared" si="3"/>
        <v>5962.9281738537493</v>
      </c>
      <c r="P10" s="183">
        <v>1312.4712799765189</v>
      </c>
      <c r="Q10" s="1211">
        <f t="shared" si="4"/>
        <v>0.18452559934182444</v>
      </c>
      <c r="R10" s="184">
        <f t="shared" si="5"/>
        <v>5136.5687514816454</v>
      </c>
      <c r="S10" s="183">
        <v>188</v>
      </c>
      <c r="T10" s="1225">
        <f t="shared" si="15"/>
        <v>0.10561797752808989</v>
      </c>
      <c r="U10" s="1222">
        <f t="shared" si="16"/>
        <v>2940.0473695820224</v>
      </c>
      <c r="V10" s="183">
        <v>79.322403791469185</v>
      </c>
      <c r="W10" s="1225">
        <f t="shared" si="17"/>
        <v>0.46367369224575661</v>
      </c>
      <c r="X10" s="184">
        <f t="shared" si="6"/>
        <v>25814.215555660714</v>
      </c>
      <c r="Y10" s="141">
        <v>157</v>
      </c>
      <c r="Z10" s="1211">
        <f t="shared" si="7"/>
        <v>0.22920170986385816</v>
      </c>
      <c r="AA10" s="184">
        <f t="shared" si="8"/>
        <v>3828.1203633712007</v>
      </c>
      <c r="AB10" s="141">
        <v>50102.943128187078</v>
      </c>
      <c r="AC10" s="1211">
        <f t="shared" si="9"/>
        <v>0.11132567198135498</v>
      </c>
      <c r="AD10" s="184">
        <f t="shared" si="10"/>
        <v>16734.223532531665</v>
      </c>
      <c r="AE10" s="141">
        <v>1999.4844900105154</v>
      </c>
      <c r="AF10" s="1211">
        <f t="shared" si="11"/>
        <v>0.12828666165418259</v>
      </c>
      <c r="AG10" s="184">
        <f t="shared" si="12"/>
        <v>3571.0668863028318</v>
      </c>
      <c r="AH10" s="1227">
        <f t="shared" si="18"/>
        <v>145641.77593735227</v>
      </c>
    </row>
    <row r="11" spans="1:34" x14ac:dyDescent="0.2">
      <c r="A11" s="140">
        <v>33</v>
      </c>
      <c r="B11" s="186" t="s">
        <v>12</v>
      </c>
      <c r="C11" s="183">
        <v>16641.178517261473</v>
      </c>
      <c r="D11" s="198">
        <f t="shared" si="13"/>
        <v>6.6668129046917449E-2</v>
      </c>
      <c r="E11" s="184">
        <f t="shared" si="0"/>
        <v>11257.556329328303</v>
      </c>
      <c r="F11" s="183">
        <v>1388.3000000000002</v>
      </c>
      <c r="G11" s="198">
        <f>F11/$F$18</f>
        <v>0.14792880493387264</v>
      </c>
      <c r="H11" s="184">
        <f>G11*$N$1*$G$3</f>
        <v>551.38910702847534</v>
      </c>
      <c r="I11" s="183">
        <v>49712.272779999999</v>
      </c>
      <c r="J11" s="198">
        <f t="shared" si="14"/>
        <v>4.3392185357955665E-2</v>
      </c>
      <c r="K11" s="184">
        <f t="shared" si="1"/>
        <v>2415.7834377796821</v>
      </c>
      <c r="L11" s="183">
        <v>13.149999999999999</v>
      </c>
      <c r="M11" s="185">
        <v>24.810833333333335</v>
      </c>
      <c r="N11" s="142">
        <f t="shared" si="2"/>
        <v>70.091250000000002</v>
      </c>
      <c r="O11" s="184">
        <f t="shared" si="3"/>
        <v>1310.9454993197514</v>
      </c>
      <c r="P11" s="183">
        <v>180.93952212286277</v>
      </c>
      <c r="Q11" s="1211">
        <f t="shared" si="4"/>
        <v>2.5439012855917039E-2</v>
      </c>
      <c r="R11" s="184">
        <f t="shared" si="5"/>
        <v>708.13610127982884</v>
      </c>
      <c r="S11" s="183">
        <v>69</v>
      </c>
      <c r="T11" s="1225">
        <f t="shared" si="15"/>
        <v>3.8764044943820228E-2</v>
      </c>
      <c r="U11" s="1222">
        <f t="shared" si="16"/>
        <v>1079.0599388359551</v>
      </c>
      <c r="V11" s="183">
        <v>11.634758767772512</v>
      </c>
      <c r="W11" s="1225">
        <f t="shared" si="17"/>
        <v>6.8010187518068546E-2</v>
      </c>
      <c r="X11" s="184">
        <f t="shared" si="6"/>
        <v>3786.3473169441913</v>
      </c>
      <c r="Y11" s="141">
        <v>184</v>
      </c>
      <c r="Z11" s="1211">
        <f t="shared" si="7"/>
        <v>0.2686185644264325</v>
      </c>
      <c r="AA11" s="184">
        <f t="shared" si="8"/>
        <v>4486.4595341420445</v>
      </c>
      <c r="AB11" s="141">
        <v>18043.727328400808</v>
      </c>
      <c r="AC11" s="1211">
        <f t="shared" si="9"/>
        <v>4.0092057361645908E-2</v>
      </c>
      <c r="AD11" s="184">
        <f t="shared" si="10"/>
        <v>6026.547496441156</v>
      </c>
      <c r="AE11" s="141">
        <v>787.87427626137298</v>
      </c>
      <c r="AF11" s="1211">
        <f t="shared" si="11"/>
        <v>5.0549909844134475E-2</v>
      </c>
      <c r="AG11" s="184">
        <f t="shared" si="12"/>
        <v>1407.1385662571465</v>
      </c>
      <c r="AH11" s="1227">
        <f t="shared" si="18"/>
        <v>33029.363327356536</v>
      </c>
    </row>
    <row r="12" spans="1:34" x14ac:dyDescent="0.2">
      <c r="A12" s="140">
        <v>41</v>
      </c>
      <c r="B12" s="186" t="s">
        <v>13</v>
      </c>
      <c r="C12" s="183">
        <v>10630.155847210241</v>
      </c>
      <c r="D12" s="198">
        <f t="shared" si="13"/>
        <v>4.2586683453671718E-2</v>
      </c>
      <c r="E12" s="184">
        <f t="shared" si="0"/>
        <v>7191.1720744644199</v>
      </c>
      <c r="F12" s="183">
        <v>2719.1</v>
      </c>
      <c r="G12" s="198">
        <f>F12/$F$18</f>
        <v>0.289730759558952</v>
      </c>
      <c r="H12" s="184">
        <f>G12*$N$1*$G$3</f>
        <v>1079.9410220565635</v>
      </c>
      <c r="I12" s="183">
        <v>23877.871369999997</v>
      </c>
      <c r="J12" s="198">
        <f t="shared" si="14"/>
        <v>2.0842197761219771E-2</v>
      </c>
      <c r="K12" s="184">
        <f t="shared" si="1"/>
        <v>1160.3526243983495</v>
      </c>
      <c r="L12" s="183">
        <v>9.1008333333333322</v>
      </c>
      <c r="M12" s="185">
        <v>51.198333333333331</v>
      </c>
      <c r="N12" s="142">
        <f t="shared" si="2"/>
        <v>99.549583333333331</v>
      </c>
      <c r="O12" s="184">
        <f t="shared" si="3"/>
        <v>1861.9168331280989</v>
      </c>
      <c r="P12" s="183">
        <v>977.28750460428944</v>
      </c>
      <c r="Q12" s="1211">
        <f t="shared" si="4"/>
        <v>0.13740076851023272</v>
      </c>
      <c r="R12" s="184">
        <f t="shared" si="5"/>
        <v>3824.7728037551242</v>
      </c>
      <c r="S12" s="183">
        <v>31</v>
      </c>
      <c r="T12" s="1225">
        <f t="shared" si="15"/>
        <v>1.7415730337078651E-2</v>
      </c>
      <c r="U12" s="1222">
        <f t="shared" si="16"/>
        <v>484.79504498426962</v>
      </c>
      <c r="V12" s="183">
        <v>10.328099999999999</v>
      </c>
      <c r="W12" s="1225">
        <f t="shared" si="17"/>
        <v>6.0372202958862205E-2</v>
      </c>
      <c r="X12" s="184">
        <f t="shared" si="6"/>
        <v>3361.1159891386505</v>
      </c>
      <c r="Y12" s="141">
        <v>20.305154325680402</v>
      </c>
      <c r="Z12" s="1211">
        <f t="shared" si="7"/>
        <v>2.9643159812073019E-2</v>
      </c>
      <c r="AA12" s="184">
        <f t="shared" si="8"/>
        <v>495.09920226453482</v>
      </c>
      <c r="AB12" s="141">
        <v>47491.289333851688</v>
      </c>
      <c r="AC12" s="1211">
        <f t="shared" si="9"/>
        <v>0.10552273715389023</v>
      </c>
      <c r="AD12" s="184">
        <f t="shared" si="10"/>
        <v>15861.939477836964</v>
      </c>
      <c r="AE12" s="141">
        <v>2617.8411109176391</v>
      </c>
      <c r="AF12" s="1211">
        <f t="shared" si="11"/>
        <v>0.16796034104717386</v>
      </c>
      <c r="AG12" s="184">
        <f t="shared" si="12"/>
        <v>4675.4479724676612</v>
      </c>
      <c r="AH12" s="1227">
        <f t="shared" si="18"/>
        <v>39996.553044494634</v>
      </c>
    </row>
    <row r="13" spans="1:34" x14ac:dyDescent="0.2">
      <c r="A13" s="140">
        <v>51</v>
      </c>
      <c r="B13" s="186" t="s">
        <v>14</v>
      </c>
      <c r="C13" s="183">
        <v>1617.8308927224737</v>
      </c>
      <c r="D13" s="198">
        <f t="shared" si="13"/>
        <v>6.4813774228930608E-3</v>
      </c>
      <c r="E13" s="184">
        <f t="shared" si="0"/>
        <v>1094.4430640689927</v>
      </c>
      <c r="F13" s="183"/>
      <c r="G13" s="198"/>
      <c r="H13" s="184"/>
      <c r="I13" s="183">
        <v>7891.1598400000003</v>
      </c>
      <c r="J13" s="198">
        <f t="shared" si="14"/>
        <v>6.8879303101244318E-3</v>
      </c>
      <c r="K13" s="184">
        <f t="shared" si="1"/>
        <v>383.47337951552345</v>
      </c>
      <c r="L13" s="183">
        <v>3.7666666666666675</v>
      </c>
      <c r="M13" s="185">
        <v>9.1</v>
      </c>
      <c r="N13" s="142">
        <f t="shared" si="2"/>
        <v>23.066666666666666</v>
      </c>
      <c r="O13" s="184">
        <f t="shared" si="3"/>
        <v>431.42536123946428</v>
      </c>
      <c r="P13" s="183">
        <v>420.13767154088663</v>
      </c>
      <c r="Q13" s="1211">
        <f t="shared" si="4"/>
        <v>5.9068839699522938E-2</v>
      </c>
      <c r="R13" s="184">
        <f t="shared" si="5"/>
        <v>1644.2767684758685</v>
      </c>
      <c r="S13" s="183">
        <v>8</v>
      </c>
      <c r="T13" s="1225">
        <f t="shared" si="15"/>
        <v>4.4943820224719105E-3</v>
      </c>
      <c r="U13" s="1222">
        <f t="shared" si="16"/>
        <v>125.10839870561797</v>
      </c>
      <c r="V13" s="183">
        <v>1.4336</v>
      </c>
      <c r="W13" s="1225">
        <f t="shared" si="17"/>
        <v>8.3800108598701475E-3</v>
      </c>
      <c r="X13" s="184">
        <f t="shared" si="6"/>
        <v>466.54233421724911</v>
      </c>
      <c r="Y13" s="141">
        <v>13</v>
      </c>
      <c r="Z13" s="1211">
        <f t="shared" si="7"/>
        <v>1.8978485530128382E-2</v>
      </c>
      <c r="AA13" s="184">
        <f t="shared" si="8"/>
        <v>316.97811926003573</v>
      </c>
      <c r="AB13" s="141">
        <v>19397.237169204189</v>
      </c>
      <c r="AC13" s="1211">
        <f t="shared" si="9"/>
        <v>4.3099473356656447E-2</v>
      </c>
      <c r="AD13" s="184">
        <f t="shared" si="10"/>
        <v>6478.6154751931408</v>
      </c>
      <c r="AE13" s="141">
        <v>826.58847457627121</v>
      </c>
      <c r="AF13" s="1211">
        <f t="shared" si="11"/>
        <v>5.3033807711434337E-2</v>
      </c>
      <c r="AG13" s="184">
        <f t="shared" si="12"/>
        <v>1476.2818841087228</v>
      </c>
      <c r="AH13" s="1227">
        <f t="shared" si="18"/>
        <v>12417.144784784614</v>
      </c>
    </row>
    <row r="14" spans="1:34" x14ac:dyDescent="0.2">
      <c r="A14" s="140">
        <v>56</v>
      </c>
      <c r="B14" s="186" t="s">
        <v>15</v>
      </c>
      <c r="C14" s="183">
        <v>5742.8687040428304</v>
      </c>
      <c r="D14" s="198">
        <f t="shared" si="13"/>
        <v>2.3007163312591922E-2</v>
      </c>
      <c r="E14" s="184">
        <f t="shared" si="0"/>
        <v>3884.981334743708</v>
      </c>
      <c r="F14" s="183"/>
      <c r="G14" s="198"/>
      <c r="H14" s="184"/>
      <c r="I14" s="183">
        <v>21686.98746</v>
      </c>
      <c r="J14" s="198">
        <f t="shared" si="14"/>
        <v>1.8929848246620039E-2</v>
      </c>
      <c r="K14" s="184">
        <f t="shared" si="1"/>
        <v>1053.8859358343675</v>
      </c>
      <c r="L14" s="183">
        <v>6.4916666666666671</v>
      </c>
      <c r="M14" s="185">
        <v>22.462500000000002</v>
      </c>
      <c r="N14" s="142">
        <f t="shared" si="2"/>
        <v>49.922916666666666</v>
      </c>
      <c r="O14" s="184">
        <f t="shared" si="3"/>
        <v>933.72885940943661</v>
      </c>
      <c r="P14" s="183">
        <v>305.42069688253679</v>
      </c>
      <c r="Q14" s="1211">
        <f t="shared" si="4"/>
        <v>4.2940320297641929E-2</v>
      </c>
      <c r="R14" s="184">
        <f t="shared" si="5"/>
        <v>1195.3133234966126</v>
      </c>
      <c r="S14" s="183">
        <v>162</v>
      </c>
      <c r="T14" s="1225">
        <f t="shared" si="15"/>
        <v>9.1011235955056183E-2</v>
      </c>
      <c r="U14" s="1222">
        <f t="shared" si="16"/>
        <v>2533.4450737887637</v>
      </c>
      <c r="V14" s="183">
        <v>8.6270113744075836</v>
      </c>
      <c r="W14" s="1225">
        <f t="shared" si="17"/>
        <v>5.0428605612275974E-2</v>
      </c>
      <c r="X14" s="184">
        <f t="shared" si="6"/>
        <v>2807.5237332134989</v>
      </c>
      <c r="Y14" s="141">
        <v>54</v>
      </c>
      <c r="Z14" s="1211">
        <f t="shared" si="7"/>
        <v>7.8833709125148671E-2</v>
      </c>
      <c r="AA14" s="184">
        <f t="shared" si="8"/>
        <v>1316.6783415416869</v>
      </c>
      <c r="AB14" s="141">
        <v>53650.021011500343</v>
      </c>
      <c r="AC14" s="1211">
        <f t="shared" si="9"/>
        <v>0.11920706186138177</v>
      </c>
      <c r="AD14" s="184">
        <f t="shared" si="10"/>
        <v>17918.936255590637</v>
      </c>
      <c r="AE14" s="141">
        <v>1175.0874673629244</v>
      </c>
      <c r="AF14" s="1211">
        <f t="shared" si="11"/>
        <v>7.5393457209995685E-2</v>
      </c>
      <c r="AG14" s="184">
        <f t="shared" si="12"/>
        <v>2098.698921734137</v>
      </c>
      <c r="AH14" s="1227">
        <f t="shared" si="18"/>
        <v>33743.191779352848</v>
      </c>
    </row>
    <row r="15" spans="1:34" x14ac:dyDescent="0.2">
      <c r="A15" s="140">
        <v>71</v>
      </c>
      <c r="B15" s="186" t="s">
        <v>186</v>
      </c>
      <c r="C15" s="183">
        <v>36237.569472006071</v>
      </c>
      <c r="D15" s="198">
        <f t="shared" si="13"/>
        <v>0.14517547272270376</v>
      </c>
      <c r="E15" s="184">
        <f t="shared" si="0"/>
        <v>24514.278189246241</v>
      </c>
      <c r="F15" s="183"/>
      <c r="G15" s="198"/>
      <c r="H15" s="184"/>
      <c r="I15" s="183">
        <v>209999.76415999999</v>
      </c>
      <c r="J15" s="198">
        <f t="shared" si="14"/>
        <v>0.18330179213258038</v>
      </c>
      <c r="K15" s="184">
        <f t="shared" si="1"/>
        <v>10205.004193641842</v>
      </c>
      <c r="L15" s="183">
        <v>6.4883333333333333</v>
      </c>
      <c r="M15" s="185">
        <v>16.383333333333329</v>
      </c>
      <c r="N15" s="142">
        <f t="shared" si="2"/>
        <v>40.795833333333327</v>
      </c>
      <c r="O15" s="184">
        <f t="shared" si="3"/>
        <v>763.02126298692076</v>
      </c>
      <c r="P15" s="183"/>
      <c r="Q15" s="1211">
        <f t="shared" si="4"/>
        <v>0</v>
      </c>
      <c r="R15" s="184">
        <f t="shared" si="5"/>
        <v>0</v>
      </c>
      <c r="S15" s="183"/>
      <c r="T15" s="1211">
        <f>S15/$V$18</f>
        <v>0</v>
      </c>
      <c r="U15" s="1222">
        <f t="shared" si="16"/>
        <v>0</v>
      </c>
      <c r="V15" s="183"/>
      <c r="W15" s="1225">
        <f t="shared" si="17"/>
        <v>0</v>
      </c>
      <c r="X15" s="184">
        <f t="shared" si="6"/>
        <v>0</v>
      </c>
      <c r="Y15" s="183"/>
      <c r="Z15" s="185"/>
      <c r="AA15" s="184"/>
      <c r="AB15" s="183"/>
      <c r="AC15" s="185"/>
      <c r="AD15" s="184">
        <f t="shared" si="10"/>
        <v>0</v>
      </c>
      <c r="AE15" s="183"/>
      <c r="AF15" s="185"/>
      <c r="AG15" s="184">
        <f t="shared" si="12"/>
        <v>0</v>
      </c>
      <c r="AH15" s="1227">
        <f t="shared" si="18"/>
        <v>35482.303645874999</v>
      </c>
    </row>
    <row r="16" spans="1:34" x14ac:dyDescent="0.2">
      <c r="A16" s="140">
        <v>85</v>
      </c>
      <c r="B16" s="186" t="s">
        <v>98</v>
      </c>
      <c r="C16" s="183">
        <v>644.12402303845636</v>
      </c>
      <c r="D16" s="198">
        <f t="shared" si="13"/>
        <v>2.5804989379570819E-3</v>
      </c>
      <c r="E16" s="184">
        <f t="shared" si="0"/>
        <v>435.74212396720782</v>
      </c>
      <c r="F16" s="183"/>
      <c r="G16" s="198"/>
      <c r="H16" s="184"/>
      <c r="I16" s="183">
        <v>0</v>
      </c>
      <c r="J16" s="198">
        <f t="shared" si="14"/>
        <v>0</v>
      </c>
      <c r="K16" s="184">
        <f t="shared" si="1"/>
        <v>0</v>
      </c>
      <c r="L16" s="183">
        <v>0</v>
      </c>
      <c r="M16" s="185">
        <v>0</v>
      </c>
      <c r="N16" s="142">
        <f t="shared" si="2"/>
        <v>0</v>
      </c>
      <c r="O16" s="184">
        <f t="shared" si="3"/>
        <v>0</v>
      </c>
      <c r="P16" s="183"/>
      <c r="Q16" s="1211">
        <f t="shared" si="4"/>
        <v>0</v>
      </c>
      <c r="R16" s="184">
        <f t="shared" si="5"/>
        <v>0</v>
      </c>
      <c r="S16" s="183"/>
      <c r="T16" s="1211">
        <f>S16/$V$18</f>
        <v>0</v>
      </c>
      <c r="U16" s="1222">
        <f t="shared" si="16"/>
        <v>0</v>
      </c>
      <c r="V16" s="183"/>
      <c r="W16" s="1225">
        <f t="shared" si="17"/>
        <v>0</v>
      </c>
      <c r="X16" s="184">
        <f t="shared" si="6"/>
        <v>0</v>
      </c>
      <c r="Y16" s="183"/>
      <c r="Z16" s="185"/>
      <c r="AA16" s="184"/>
      <c r="AB16" s="183"/>
      <c r="AC16" s="185"/>
      <c r="AD16" s="184">
        <f t="shared" si="10"/>
        <v>0</v>
      </c>
      <c r="AE16" s="183"/>
      <c r="AF16" s="185"/>
      <c r="AG16" s="184">
        <f t="shared" si="12"/>
        <v>0</v>
      </c>
      <c r="AH16" s="1227">
        <f t="shared" si="18"/>
        <v>435.74212396720782</v>
      </c>
    </row>
    <row r="17" spans="1:38" ht="13.5" thickBot="1" x14ac:dyDescent="0.25">
      <c r="A17" s="145">
        <v>92</v>
      </c>
      <c r="B17" s="187" t="s">
        <v>17</v>
      </c>
      <c r="C17" s="188">
        <v>1845.0077595507555</v>
      </c>
      <c r="D17" s="198">
        <f t="shared" si="13"/>
        <v>7.3914966586474439E-3</v>
      </c>
      <c r="E17" s="184">
        <f t="shared" si="0"/>
        <v>1248.1254713808855</v>
      </c>
      <c r="F17" s="188"/>
      <c r="G17" s="198"/>
      <c r="H17" s="184"/>
      <c r="I17" s="188">
        <v>41121.055919999992</v>
      </c>
      <c r="J17" s="198">
        <f t="shared" si="14"/>
        <v>3.5893198617009597E-2</v>
      </c>
      <c r="K17" s="184">
        <f t="shared" si="1"/>
        <v>1998.2905685115636</v>
      </c>
      <c r="L17" s="188">
        <v>1</v>
      </c>
      <c r="M17" s="189">
        <v>2.4666666666666668</v>
      </c>
      <c r="N17" s="142">
        <f t="shared" si="2"/>
        <v>6.2</v>
      </c>
      <c r="O17" s="184">
        <f t="shared" si="3"/>
        <v>115.96115200945137</v>
      </c>
      <c r="P17" s="188"/>
      <c r="Q17" s="1211">
        <f t="shared" si="4"/>
        <v>0</v>
      </c>
      <c r="R17" s="184">
        <f t="shared" si="5"/>
        <v>0</v>
      </c>
      <c r="S17" s="188"/>
      <c r="T17" s="1211">
        <f>S17/$V$18</f>
        <v>0</v>
      </c>
      <c r="U17" s="1222">
        <f t="shared" si="16"/>
        <v>0</v>
      </c>
      <c r="V17" s="188"/>
      <c r="W17" s="1225">
        <f t="shared" si="17"/>
        <v>0</v>
      </c>
      <c r="X17" s="184">
        <f t="shared" si="6"/>
        <v>0</v>
      </c>
      <c r="Y17" s="188"/>
      <c r="Z17" s="185"/>
      <c r="AA17" s="184"/>
      <c r="AB17" s="188"/>
      <c r="AC17" s="185"/>
      <c r="AD17" s="184">
        <f t="shared" si="10"/>
        <v>0</v>
      </c>
      <c r="AE17" s="188"/>
      <c r="AF17" s="185"/>
      <c r="AG17" s="184">
        <f t="shared" si="12"/>
        <v>0</v>
      </c>
      <c r="AH17" s="1227">
        <f t="shared" si="18"/>
        <v>3362.3771919019005</v>
      </c>
    </row>
    <row r="18" spans="1:38" ht="13.5" thickBot="1" x14ac:dyDescent="0.25">
      <c r="A18" s="190" t="s">
        <v>215</v>
      </c>
      <c r="B18" s="191"/>
      <c r="C18" s="192">
        <f t="shared" ref="C18:K18" si="19">SUM(C6:C17)</f>
        <v>249612.20233959626</v>
      </c>
      <c r="D18" s="195">
        <f t="shared" si="19"/>
        <v>0.99999999999999989</v>
      </c>
      <c r="E18" s="193">
        <f t="shared" si="19"/>
        <v>168859.64088486478</v>
      </c>
      <c r="F18" s="192">
        <f t="shared" si="19"/>
        <v>9384.92</v>
      </c>
      <c r="G18" s="195">
        <f t="shared" si="19"/>
        <v>1</v>
      </c>
      <c r="H18" s="193">
        <f t="shared" si="19"/>
        <v>3727.3951295351717</v>
      </c>
      <c r="I18" s="192">
        <f t="shared" si="19"/>
        <v>1145650.3600799998</v>
      </c>
      <c r="J18" s="195">
        <f t="shared" si="19"/>
        <v>1</v>
      </c>
      <c r="K18" s="193">
        <f t="shared" si="19"/>
        <v>55673.237424000006</v>
      </c>
      <c r="L18" s="192">
        <f t="shared" ref="L18:AD18" si="20">SUM(L6:L17)</f>
        <v>215.8716666666667</v>
      </c>
      <c r="M18" s="195">
        <f>SUM(M6:M17)</f>
        <v>433.98333333333329</v>
      </c>
      <c r="N18" s="196">
        <f>SUM(N6:N17)</f>
        <v>1190.6541666666667</v>
      </c>
      <c r="O18" s="193">
        <f t="shared" si="20"/>
        <v>22269.294969599996</v>
      </c>
      <c r="P18" s="192">
        <f t="shared" si="20"/>
        <v>7112.6785912518917</v>
      </c>
      <c r="Q18" s="195">
        <f t="shared" si="20"/>
        <v>1.0000000000000002</v>
      </c>
      <c r="R18" s="193">
        <f t="shared" si="20"/>
        <v>27836.618712000007</v>
      </c>
      <c r="S18" s="192">
        <f>SUM(S6:S17)</f>
        <v>1780</v>
      </c>
      <c r="T18" s="195">
        <f>SUM(T6:T17)</f>
        <v>1</v>
      </c>
      <c r="U18" s="193">
        <f>SUM(U6:U17)</f>
        <v>27836.618711999996</v>
      </c>
      <c r="V18" s="192">
        <f t="shared" si="20"/>
        <v>171.07376398104267</v>
      </c>
      <c r="W18" s="195">
        <f t="shared" si="20"/>
        <v>1</v>
      </c>
      <c r="X18" s="193">
        <f t="shared" si="20"/>
        <v>55673.237423999992</v>
      </c>
      <c r="Y18" s="194">
        <f>SUM(Y6:Y17)</f>
        <v>684.98616390451571</v>
      </c>
      <c r="Z18" s="195">
        <f>SUM(Z6:Z17)</f>
        <v>1</v>
      </c>
      <c r="AA18" s="193">
        <f>SUM(AA6:AA17)</f>
        <v>16701.9712272</v>
      </c>
      <c r="AB18" s="194">
        <f t="shared" si="20"/>
        <v>450057.40577589691</v>
      </c>
      <c r="AC18" s="195">
        <f t="shared" si="20"/>
        <v>1.0000000000000002</v>
      </c>
      <c r="AD18" s="193">
        <f t="shared" si="20"/>
        <v>150317.74104479997</v>
      </c>
      <c r="AE18" s="194">
        <f>SUM(AE6:AE17)</f>
        <v>15586.06689291244</v>
      </c>
      <c r="AF18" s="195">
        <f>SUM(AF6:AF17)</f>
        <v>0.99999999999999978</v>
      </c>
      <c r="AG18" s="193">
        <f>SUM(AG6:AG17)</f>
        <v>27836.618712</v>
      </c>
      <c r="AH18" s="1219">
        <f>SUM(AH6:AH17)</f>
        <v>556732.3742399998</v>
      </c>
    </row>
    <row r="19" spans="1:38" x14ac:dyDescent="0.2">
      <c r="A19" s="140"/>
      <c r="B19" s="197" t="s">
        <v>78</v>
      </c>
      <c r="C19" s="198">
        <v>208.64889717463757</v>
      </c>
      <c r="D19" s="13"/>
      <c r="P19" s="13"/>
      <c r="S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L19" s="73"/>
    </row>
    <row r="20" spans="1:38" x14ac:dyDescent="0.2">
      <c r="A20" s="140"/>
      <c r="B20" s="197" t="s">
        <v>126</v>
      </c>
      <c r="C20" s="198">
        <v>6.6784110003999997</v>
      </c>
      <c r="D20" s="13"/>
      <c r="P20" s="13"/>
      <c r="S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L20" s="73"/>
    </row>
    <row r="21" spans="1:38" x14ac:dyDescent="0.2">
      <c r="A21" s="140"/>
      <c r="B21" s="197" t="s">
        <v>23</v>
      </c>
      <c r="C21" s="198">
        <v>322.29885059493972</v>
      </c>
      <c r="D21" s="13"/>
      <c r="P21" s="13"/>
      <c r="S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L21" s="73"/>
    </row>
    <row r="22" spans="1:38" x14ac:dyDescent="0.2">
      <c r="A22" s="199" t="s">
        <v>70</v>
      </c>
      <c r="B22" s="200"/>
      <c r="C22" s="201">
        <f>C18+SUM(C19:C21)</f>
        <v>250149.82849836623</v>
      </c>
      <c r="D22" s="13"/>
      <c r="P22" s="13"/>
      <c r="S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L22" s="73"/>
    </row>
    <row r="23" spans="1:38" x14ac:dyDescent="0.2">
      <c r="A23" s="13"/>
      <c r="B23" s="13"/>
      <c r="C23" s="13"/>
      <c r="D23" s="13"/>
      <c r="M23" s="13"/>
      <c r="P23" s="13"/>
      <c r="S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L23" s="73"/>
    </row>
    <row r="24" spans="1:38" ht="13.5" hidden="1" customHeight="1" thickBo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8" ht="12.75" hidden="1" customHeight="1" x14ac:dyDescent="0.2">
      <c r="A25" s="1597"/>
      <c r="B25" s="1598"/>
      <c r="C25" s="202" t="s">
        <v>182</v>
      </c>
      <c r="D25" s="202" t="s">
        <v>182</v>
      </c>
      <c r="E25" s="203" t="s">
        <v>184</v>
      </c>
      <c r="F25" s="203"/>
      <c r="G25" s="203"/>
      <c r="H25" s="203"/>
      <c r="I25" s="203"/>
      <c r="J25" s="203"/>
      <c r="K25" s="203"/>
      <c r="L25" s="202" t="s">
        <v>193</v>
      </c>
      <c r="M25" s="202"/>
      <c r="N25" s="203"/>
      <c r="O25" s="202"/>
      <c r="P25" s="202"/>
      <c r="Q25" s="203"/>
      <c r="R25" s="202"/>
      <c r="S25" s="202"/>
      <c r="T25" s="203"/>
      <c r="U25" s="13"/>
      <c r="V25" s="13"/>
      <c r="W25" s="13"/>
      <c r="X25" s="13"/>
      <c r="Y25" s="13"/>
      <c r="Z25" s="13"/>
      <c r="AA25" s="13"/>
      <c r="AB25" s="13"/>
      <c r="AC25" s="202"/>
      <c r="AD25" s="13"/>
      <c r="AE25" s="13"/>
      <c r="AF25" s="13"/>
      <c r="AG25" s="13"/>
      <c r="AH25" s="13"/>
      <c r="AI25" s="13"/>
      <c r="AJ25" s="13"/>
    </row>
    <row r="26" spans="1:38" ht="13.5" hidden="1" customHeight="1" thickBot="1" x14ac:dyDescent="0.25">
      <c r="A26" s="1599"/>
      <c r="B26" s="1600"/>
      <c r="C26" s="138" t="s">
        <v>240</v>
      </c>
      <c r="D26" s="138" t="s">
        <v>228</v>
      </c>
      <c r="E26" s="204" t="s">
        <v>185</v>
      </c>
      <c r="F26" s="204"/>
      <c r="G26" s="204"/>
      <c r="H26" s="204"/>
      <c r="I26" s="204"/>
      <c r="J26" s="204"/>
      <c r="K26" s="204"/>
      <c r="L26" s="138" t="s">
        <v>216</v>
      </c>
      <c r="M26" s="138"/>
      <c r="N26" s="204"/>
      <c r="O26" s="138"/>
      <c r="P26" s="138"/>
      <c r="Q26" s="204"/>
      <c r="R26" s="138"/>
      <c r="S26" s="138"/>
      <c r="T26" s="204"/>
      <c r="U26" s="13"/>
      <c r="V26" s="13"/>
      <c r="W26" s="13"/>
      <c r="X26" s="13"/>
      <c r="Y26" s="13"/>
      <c r="Z26" s="13"/>
      <c r="AA26" s="13"/>
      <c r="AB26" s="13"/>
      <c r="AC26" s="138"/>
      <c r="AD26" s="13"/>
      <c r="AE26" s="13"/>
      <c r="AF26" s="13"/>
      <c r="AG26" s="13"/>
      <c r="AH26" s="13"/>
      <c r="AI26" s="13"/>
      <c r="AJ26" s="13"/>
    </row>
    <row r="27" spans="1:38" ht="12.75" hidden="1" customHeight="1" x14ac:dyDescent="0.2">
      <c r="A27" s="205">
        <v>11</v>
      </c>
      <c r="B27" s="206" t="s">
        <v>7</v>
      </c>
      <c r="C27" s="139" t="e">
        <f>'str1'!#REF!</f>
        <v>#REF!</v>
      </c>
      <c r="D27" s="139">
        <f t="shared" ref="D27:D38" si="21">AH6</f>
        <v>75248.757411963292</v>
      </c>
      <c r="E27" s="207" t="e">
        <f>SUM(C27:D27)</f>
        <v>#REF!</v>
      </c>
      <c r="F27" s="207"/>
      <c r="G27" s="207"/>
      <c r="H27" s="207"/>
      <c r="I27" s="207"/>
      <c r="J27" s="207"/>
      <c r="K27" s="207"/>
      <c r="L27" s="139">
        <v>328299</v>
      </c>
      <c r="M27" s="139"/>
      <c r="N27" s="207"/>
      <c r="O27" s="139"/>
      <c r="P27" s="139"/>
      <c r="Q27" s="207"/>
      <c r="R27" s="139"/>
      <c r="S27" s="139"/>
      <c r="T27" s="207"/>
      <c r="U27" s="13"/>
      <c r="V27" s="13"/>
      <c r="W27" s="13"/>
      <c r="X27" s="13"/>
      <c r="Y27" s="13"/>
      <c r="Z27" s="13"/>
      <c r="AA27" s="13"/>
      <c r="AB27" s="13"/>
      <c r="AC27" s="139"/>
      <c r="AD27" s="13"/>
      <c r="AE27" s="13"/>
      <c r="AF27" s="13"/>
      <c r="AG27" s="13"/>
      <c r="AH27" s="13"/>
      <c r="AI27" s="13"/>
      <c r="AJ27" s="13"/>
    </row>
    <row r="28" spans="1:38" ht="12.75" hidden="1" customHeight="1" x14ac:dyDescent="0.2">
      <c r="A28" s="208">
        <v>21</v>
      </c>
      <c r="B28" s="209" t="s">
        <v>8</v>
      </c>
      <c r="C28" s="144" t="e">
        <f>'str1'!#REF!</f>
        <v>#REF!</v>
      </c>
      <c r="D28" s="144">
        <f t="shared" si="21"/>
        <v>94148.146893868805</v>
      </c>
      <c r="E28" s="210" t="e">
        <f t="shared" ref="E28:E38" si="22">SUM(C28:D28)</f>
        <v>#REF!</v>
      </c>
      <c r="F28" s="210"/>
      <c r="G28" s="210"/>
      <c r="H28" s="210"/>
      <c r="I28" s="210"/>
      <c r="J28" s="210"/>
      <c r="K28" s="210"/>
      <c r="L28" s="144">
        <v>333427</v>
      </c>
      <c r="M28" s="144"/>
      <c r="N28" s="210"/>
      <c r="O28" s="144"/>
      <c r="P28" s="144"/>
      <c r="Q28" s="210"/>
      <c r="R28" s="144"/>
      <c r="S28" s="144"/>
      <c r="T28" s="210"/>
      <c r="U28" s="13"/>
      <c r="V28" s="13"/>
      <c r="W28" s="13"/>
      <c r="X28" s="13"/>
      <c r="Y28" s="13"/>
      <c r="Z28" s="13"/>
      <c r="AA28" s="13"/>
      <c r="AB28" s="13"/>
      <c r="AC28" s="144"/>
      <c r="AD28" s="13"/>
      <c r="AE28" s="13"/>
      <c r="AF28" s="13"/>
      <c r="AG28" s="13"/>
      <c r="AH28" s="13"/>
      <c r="AI28" s="13"/>
      <c r="AJ28" s="13"/>
    </row>
    <row r="29" spans="1:38" ht="12.75" hidden="1" customHeight="1" x14ac:dyDescent="0.2">
      <c r="A29" s="208">
        <v>22</v>
      </c>
      <c r="B29" s="209" t="s">
        <v>9</v>
      </c>
      <c r="C29" s="144" t="e">
        <f>'str1'!#REF!</f>
        <v>#REF!</v>
      </c>
      <c r="D29" s="144">
        <f t="shared" si="21"/>
        <v>31063.133965320056</v>
      </c>
      <c r="E29" s="210" t="e">
        <f t="shared" si="22"/>
        <v>#REF!</v>
      </c>
      <c r="F29" s="210"/>
      <c r="G29" s="210"/>
      <c r="H29" s="210"/>
      <c r="I29" s="210"/>
      <c r="J29" s="210"/>
      <c r="K29" s="210"/>
      <c r="L29" s="144">
        <v>126011</v>
      </c>
      <c r="M29" s="144"/>
      <c r="N29" s="210"/>
      <c r="O29" s="144"/>
      <c r="P29" s="144"/>
      <c r="Q29" s="210"/>
      <c r="R29" s="144"/>
      <c r="S29" s="144"/>
      <c r="T29" s="210"/>
      <c r="U29" s="13"/>
      <c r="V29" s="13"/>
      <c r="W29" s="13"/>
      <c r="X29" s="13"/>
      <c r="Y29" s="13"/>
      <c r="Z29" s="13"/>
      <c r="AA29" s="13"/>
      <c r="AB29" s="13"/>
      <c r="AC29" s="144"/>
      <c r="AD29" s="13"/>
      <c r="AE29" s="13"/>
      <c r="AF29" s="13"/>
      <c r="AG29" s="13"/>
      <c r="AH29" s="13"/>
      <c r="AI29" s="13"/>
      <c r="AJ29" s="13"/>
    </row>
    <row r="30" spans="1:38" ht="12.75" hidden="1" customHeight="1" x14ac:dyDescent="0.2">
      <c r="A30" s="208">
        <v>23</v>
      </c>
      <c r="B30" s="209" t="s">
        <v>10</v>
      </c>
      <c r="C30" s="144" t="e">
        <f>'str1'!#REF!</f>
        <v>#REF!</v>
      </c>
      <c r="D30" s="144">
        <f t="shared" si="21"/>
        <v>52163.884133762775</v>
      </c>
      <c r="E30" s="210" t="e">
        <f t="shared" si="22"/>
        <v>#REF!</v>
      </c>
      <c r="F30" s="210"/>
      <c r="G30" s="210"/>
      <c r="H30" s="210"/>
      <c r="I30" s="210"/>
      <c r="J30" s="210"/>
      <c r="K30" s="210"/>
      <c r="L30" s="144">
        <v>139398</v>
      </c>
      <c r="M30" s="144"/>
      <c r="N30" s="210"/>
      <c r="O30" s="144"/>
      <c r="P30" s="144"/>
      <c r="Q30" s="210"/>
      <c r="R30" s="144"/>
      <c r="S30" s="144"/>
      <c r="T30" s="210"/>
      <c r="U30" s="13"/>
      <c r="V30" s="13"/>
      <c r="W30" s="13"/>
      <c r="X30" s="13"/>
      <c r="Y30" s="13"/>
      <c r="Z30" s="13"/>
      <c r="AA30" s="13"/>
      <c r="AB30" s="13"/>
      <c r="AC30" s="144"/>
      <c r="AD30" s="13"/>
      <c r="AE30" s="13"/>
      <c r="AF30" s="13"/>
      <c r="AG30" s="13"/>
      <c r="AH30" s="13"/>
      <c r="AI30" s="13"/>
      <c r="AJ30" s="13"/>
    </row>
    <row r="31" spans="1:38" ht="12.75" hidden="1" customHeight="1" x14ac:dyDescent="0.2">
      <c r="A31" s="208">
        <v>31</v>
      </c>
      <c r="B31" s="209" t="s">
        <v>11</v>
      </c>
      <c r="C31" s="144" t="e">
        <f>'str1'!#REF!</f>
        <v>#REF!</v>
      </c>
      <c r="D31" s="144">
        <f t="shared" si="21"/>
        <v>145641.77593735227</v>
      </c>
      <c r="E31" s="210" t="e">
        <f t="shared" si="22"/>
        <v>#REF!</v>
      </c>
      <c r="F31" s="210"/>
      <c r="G31" s="210"/>
      <c r="H31" s="210"/>
      <c r="I31" s="210"/>
      <c r="J31" s="210"/>
      <c r="K31" s="210"/>
      <c r="L31" s="144">
        <v>345106</v>
      </c>
      <c r="M31" s="144"/>
      <c r="N31" s="210"/>
      <c r="O31" s="144"/>
      <c r="P31" s="144"/>
      <c r="Q31" s="210"/>
      <c r="R31" s="144"/>
      <c r="S31" s="144"/>
      <c r="T31" s="210"/>
      <c r="U31" s="13"/>
      <c r="V31" s="13"/>
      <c r="W31" s="13"/>
      <c r="X31" s="13"/>
      <c r="Y31" s="13"/>
      <c r="Z31" s="13"/>
      <c r="AA31" s="13"/>
      <c r="AB31" s="13"/>
      <c r="AC31" s="144"/>
      <c r="AD31" s="13"/>
      <c r="AE31" s="13"/>
      <c r="AF31" s="13"/>
      <c r="AG31" s="13"/>
      <c r="AH31" s="13"/>
      <c r="AI31" s="13"/>
      <c r="AJ31" s="13"/>
    </row>
    <row r="32" spans="1:38" ht="12.75" hidden="1" customHeight="1" x14ac:dyDescent="0.2">
      <c r="A32" s="208">
        <v>33</v>
      </c>
      <c r="B32" s="209" t="s">
        <v>12</v>
      </c>
      <c r="C32" s="144" t="e">
        <f>'str1'!#REF!</f>
        <v>#REF!</v>
      </c>
      <c r="D32" s="144">
        <f t="shared" si="21"/>
        <v>33029.363327356536</v>
      </c>
      <c r="E32" s="210" t="e">
        <f t="shared" si="22"/>
        <v>#REF!</v>
      </c>
      <c r="F32" s="210"/>
      <c r="G32" s="210"/>
      <c r="H32" s="210"/>
      <c r="I32" s="210"/>
      <c r="J32" s="210"/>
      <c r="K32" s="210"/>
      <c r="L32" s="144">
        <v>126549</v>
      </c>
      <c r="M32" s="144"/>
      <c r="N32" s="210"/>
      <c r="O32" s="144"/>
      <c r="P32" s="144"/>
      <c r="Q32" s="210"/>
      <c r="R32" s="144"/>
      <c r="S32" s="144"/>
      <c r="T32" s="210"/>
      <c r="AC32" s="144"/>
    </row>
    <row r="33" spans="1:31" ht="12.75" hidden="1" customHeight="1" x14ac:dyDescent="0.2">
      <c r="A33" s="208">
        <v>41</v>
      </c>
      <c r="B33" s="209" t="s">
        <v>13</v>
      </c>
      <c r="C33" s="144" t="e">
        <f>'str1'!#REF!</f>
        <v>#REF!</v>
      </c>
      <c r="D33" s="144">
        <f t="shared" si="21"/>
        <v>39996.553044494634</v>
      </c>
      <c r="E33" s="210" t="e">
        <f t="shared" si="22"/>
        <v>#REF!</v>
      </c>
      <c r="F33" s="210"/>
      <c r="G33" s="210"/>
      <c r="H33" s="210"/>
      <c r="I33" s="210"/>
      <c r="J33" s="210"/>
      <c r="K33" s="210"/>
      <c r="L33" s="144">
        <v>202164</v>
      </c>
      <c r="M33" s="144"/>
      <c r="N33" s="210"/>
      <c r="O33" s="144"/>
      <c r="P33" s="144"/>
      <c r="Q33" s="210"/>
      <c r="R33" s="144"/>
      <c r="S33" s="144"/>
      <c r="T33" s="210"/>
      <c r="AC33" s="144"/>
    </row>
    <row r="34" spans="1:31" ht="12.75" hidden="1" customHeight="1" x14ac:dyDescent="0.2">
      <c r="A34" s="208">
        <v>51</v>
      </c>
      <c r="B34" s="209" t="s">
        <v>14</v>
      </c>
      <c r="C34" s="144" t="e">
        <f>'str1'!#REF!</f>
        <v>#REF!</v>
      </c>
      <c r="D34" s="144">
        <f t="shared" si="21"/>
        <v>12417.144784784614</v>
      </c>
      <c r="E34" s="210" t="e">
        <f t="shared" si="22"/>
        <v>#REF!</v>
      </c>
      <c r="F34" s="210"/>
      <c r="G34" s="210"/>
      <c r="H34" s="210"/>
      <c r="I34" s="210"/>
      <c r="J34" s="210"/>
      <c r="K34" s="210"/>
      <c r="L34" s="144">
        <v>71266</v>
      </c>
      <c r="M34" s="144"/>
      <c r="N34" s="210"/>
      <c r="O34" s="144"/>
      <c r="P34" s="144"/>
      <c r="Q34" s="210"/>
      <c r="R34" s="144"/>
      <c r="S34" s="144"/>
      <c r="T34" s="210"/>
      <c r="AC34" s="144"/>
    </row>
    <row r="35" spans="1:31" ht="12.75" hidden="1" customHeight="1" x14ac:dyDescent="0.2">
      <c r="A35" s="208">
        <v>56</v>
      </c>
      <c r="B35" s="209" t="s">
        <v>15</v>
      </c>
      <c r="C35" s="144" t="e">
        <f>'str1'!#REF!</f>
        <v>#REF!</v>
      </c>
      <c r="D35" s="144">
        <f t="shared" si="21"/>
        <v>33743.191779352848</v>
      </c>
      <c r="E35" s="210" t="e">
        <f t="shared" si="22"/>
        <v>#REF!</v>
      </c>
      <c r="F35" s="210"/>
      <c r="G35" s="210"/>
      <c r="H35" s="210"/>
      <c r="I35" s="210"/>
      <c r="J35" s="210"/>
      <c r="K35" s="210"/>
      <c r="L35" s="144">
        <v>122590</v>
      </c>
      <c r="M35" s="144"/>
      <c r="N35" s="210"/>
      <c r="O35" s="144"/>
      <c r="P35" s="144"/>
      <c r="Q35" s="210"/>
      <c r="R35" s="144"/>
      <c r="S35" s="144"/>
      <c r="T35" s="210"/>
      <c r="AC35" s="144"/>
    </row>
    <row r="36" spans="1:31" ht="12.75" hidden="1" customHeight="1" x14ac:dyDescent="0.2">
      <c r="A36" s="208">
        <v>71</v>
      </c>
      <c r="B36" s="209" t="s">
        <v>186</v>
      </c>
      <c r="C36" s="144" t="e">
        <f>'str1'!#REF!</f>
        <v>#REF!</v>
      </c>
      <c r="D36" s="144">
        <f t="shared" si="21"/>
        <v>35482.303645874999</v>
      </c>
      <c r="E36" s="210" t="e">
        <f t="shared" si="22"/>
        <v>#REF!</v>
      </c>
      <c r="F36" s="210"/>
      <c r="G36" s="210"/>
      <c r="H36" s="210"/>
      <c r="I36" s="210"/>
      <c r="J36" s="210"/>
      <c r="K36" s="210"/>
      <c r="L36" s="144">
        <v>21395</v>
      </c>
      <c r="M36" s="144"/>
      <c r="N36" s="210"/>
      <c r="O36" s="144"/>
      <c r="P36" s="144"/>
      <c r="Q36" s="210"/>
      <c r="R36" s="144"/>
      <c r="S36" s="144"/>
      <c r="T36" s="210"/>
      <c r="AC36" s="144"/>
    </row>
    <row r="37" spans="1:31" ht="12.75" hidden="1" customHeight="1" x14ac:dyDescent="0.2">
      <c r="A37" s="208">
        <v>85</v>
      </c>
      <c r="B37" s="209" t="s">
        <v>98</v>
      </c>
      <c r="C37" s="144" t="e">
        <f>'str1'!#REF!</f>
        <v>#REF!</v>
      </c>
      <c r="D37" s="144">
        <f t="shared" si="21"/>
        <v>435.74212396720782</v>
      </c>
      <c r="E37" s="211" t="e">
        <f t="shared" si="22"/>
        <v>#REF!</v>
      </c>
      <c r="F37" s="211"/>
      <c r="G37" s="211"/>
      <c r="H37" s="211"/>
      <c r="I37" s="211"/>
      <c r="J37" s="211"/>
      <c r="K37" s="211"/>
      <c r="L37" s="144">
        <v>1648</v>
      </c>
      <c r="M37" s="144"/>
      <c r="N37" s="211"/>
      <c r="O37" s="144"/>
      <c r="P37" s="144"/>
      <c r="Q37" s="211"/>
      <c r="R37" s="144"/>
      <c r="S37" s="144"/>
      <c r="T37" s="211"/>
      <c r="AC37" s="144"/>
    </row>
    <row r="38" spans="1:31" ht="13.5" hidden="1" customHeight="1" thickBot="1" x14ac:dyDescent="0.25">
      <c r="A38" s="212">
        <v>92</v>
      </c>
      <c r="B38" s="213" t="s">
        <v>17</v>
      </c>
      <c r="C38" s="214" t="e">
        <f>'str1'!#REF!</f>
        <v>#REF!</v>
      </c>
      <c r="D38" s="214">
        <f t="shared" si="21"/>
        <v>3362.3771919019005</v>
      </c>
      <c r="E38" s="215" t="e">
        <f t="shared" si="22"/>
        <v>#REF!</v>
      </c>
      <c r="F38" s="215"/>
      <c r="G38" s="215"/>
      <c r="H38" s="215"/>
      <c r="I38" s="215"/>
      <c r="J38" s="215"/>
      <c r="K38" s="215"/>
      <c r="L38" s="214">
        <v>2251</v>
      </c>
      <c r="M38" s="214"/>
      <c r="N38" s="215"/>
      <c r="O38" s="214"/>
      <c r="P38" s="214"/>
      <c r="Q38" s="215"/>
      <c r="R38" s="214"/>
      <c r="S38" s="214"/>
      <c r="T38" s="215"/>
      <c r="AC38" s="214"/>
    </row>
    <row r="39" spans="1:31" ht="13.5" hidden="1" customHeight="1" thickBot="1" x14ac:dyDescent="0.25">
      <c r="A39" s="216" t="s">
        <v>67</v>
      </c>
      <c r="B39" s="152"/>
      <c r="C39" s="146" t="e">
        <f>SUM(C27:C37)</f>
        <v>#REF!</v>
      </c>
      <c r="D39" s="146">
        <f>SUM(D27:D38)</f>
        <v>556732.3742399998</v>
      </c>
      <c r="E39" s="217" t="e">
        <f>SUM(E27:E38)</f>
        <v>#REF!</v>
      </c>
      <c r="F39" s="217"/>
      <c r="G39" s="217"/>
      <c r="H39" s="217"/>
      <c r="I39" s="217"/>
      <c r="J39" s="217"/>
      <c r="K39" s="217"/>
      <c r="L39" s="146">
        <f>SUM(L27:L38)</f>
        <v>1820104</v>
      </c>
      <c r="M39" s="146"/>
      <c r="N39" s="217"/>
      <c r="O39" s="146"/>
      <c r="P39" s="146"/>
      <c r="Q39" s="217"/>
      <c r="R39" s="146"/>
      <c r="S39" s="146"/>
      <c r="T39" s="217"/>
      <c r="AC39" s="146"/>
    </row>
    <row r="40" spans="1:31" hidden="1" x14ac:dyDescent="0.2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AC40" s="219"/>
    </row>
    <row r="42" spans="1:31" x14ac:dyDescent="0.2">
      <c r="AD42" s="1209"/>
      <c r="AE42" s="1208"/>
    </row>
    <row r="43" spans="1:31" x14ac:dyDescent="0.2">
      <c r="AD43" s="1209"/>
      <c r="AE43" s="1208"/>
    </row>
    <row r="44" spans="1:31" x14ac:dyDescent="0.2">
      <c r="AD44" s="1209"/>
      <c r="AE44" s="1208"/>
    </row>
    <row r="45" spans="1:31" x14ac:dyDescent="0.2"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AD45" s="1209"/>
      <c r="AE45" s="1208"/>
    </row>
    <row r="46" spans="1:31" x14ac:dyDescent="0.2">
      <c r="AD46" s="1209"/>
      <c r="AE46" s="1208"/>
    </row>
    <row r="47" spans="1:31" x14ac:dyDescent="0.2">
      <c r="AD47" s="1209"/>
      <c r="AE47" s="1208"/>
    </row>
    <row r="48" spans="1:31" x14ac:dyDescent="0.2">
      <c r="AD48" s="1209"/>
      <c r="AE48" s="1208"/>
    </row>
    <row r="49" spans="30:31" x14ac:dyDescent="0.2">
      <c r="AD49" s="1209"/>
      <c r="AE49" s="1208"/>
    </row>
    <row r="50" spans="30:31" x14ac:dyDescent="0.2">
      <c r="AD50" s="1209"/>
      <c r="AE50" s="1208"/>
    </row>
  </sheetData>
  <mergeCells count="4">
    <mergeCell ref="A3:B3"/>
    <mergeCell ref="A25:B26"/>
    <mergeCell ref="A4:B4"/>
    <mergeCell ref="AH3:AH4"/>
  </mergeCells>
  <phoneticPr fontId="6" type="noConversion"/>
  <pageMargins left="0.27559055118110237" right="0.19685039370078741" top="0.98425196850393704" bottom="0.98425196850393704" header="0.51181102362204722" footer="0.51181102362204722"/>
  <pageSetup paperSize="9" scale="52" orientation="landscape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T28"/>
  <sheetViews>
    <sheetView showGridLines="0" workbookViewId="0"/>
  </sheetViews>
  <sheetFormatPr defaultColWidth="11.42578125" defaultRowHeight="12.75" x14ac:dyDescent="0.2"/>
  <cols>
    <col min="1" max="1" width="11.42578125" style="1" customWidth="1"/>
    <col min="2" max="2" width="11.140625" style="1" customWidth="1"/>
    <col min="3" max="3" width="10.42578125" style="1" customWidth="1"/>
    <col min="4" max="4" width="10.28515625" style="1" customWidth="1"/>
    <col min="5" max="5" width="10.85546875" style="1" customWidth="1"/>
    <col min="6" max="6" width="11.28515625" style="1" customWidth="1"/>
    <col min="7" max="7" width="11.140625" style="1" customWidth="1"/>
    <col min="8" max="8" width="10.42578125" style="1" customWidth="1"/>
    <col min="9" max="9" width="10.28515625" style="1" customWidth="1"/>
    <col min="10" max="10" width="11" style="1" bestFit="1" customWidth="1"/>
    <col min="11" max="11" width="9.85546875" style="1" customWidth="1"/>
    <col min="12" max="12" width="9.140625" style="1" customWidth="1"/>
    <col min="13" max="13" width="9.5703125" style="1" customWidth="1"/>
    <col min="14" max="14" width="4" style="1" customWidth="1"/>
    <col min="15" max="15" width="10.28515625" style="1" customWidth="1"/>
    <col min="16" max="16" width="2.7109375" style="1" customWidth="1"/>
    <col min="17" max="17" width="8.7109375" style="1" customWidth="1"/>
    <col min="18" max="18" width="11.42578125" style="1" customWidth="1"/>
    <col min="19" max="19" width="10.7109375" style="1" customWidth="1"/>
    <col min="20" max="16384" width="11.42578125" style="1"/>
  </cols>
  <sheetData>
    <row r="1" spans="1:20" ht="15.75" x14ac:dyDescent="0.25">
      <c r="A1" s="74" t="s">
        <v>668</v>
      </c>
    </row>
    <row r="2" spans="1:20" ht="13.5" thickBot="1" x14ac:dyDescent="0.25"/>
    <row r="3" spans="1:20" x14ac:dyDescent="0.2">
      <c r="A3" s="1547" t="s">
        <v>669</v>
      </c>
      <c r="B3" s="1548" t="s">
        <v>670</v>
      </c>
      <c r="C3" s="1549" t="s">
        <v>671</v>
      </c>
      <c r="D3" s="1550" t="s">
        <v>701</v>
      </c>
      <c r="E3" s="1551" t="s">
        <v>702</v>
      </c>
      <c r="F3"/>
    </row>
    <row r="4" spans="1:20" ht="13.5" thickBot="1" x14ac:dyDescent="0.25">
      <c r="A4" s="1552">
        <v>885354.28799999994</v>
      </c>
      <c r="B4" s="1553">
        <v>130282.74399999995</v>
      </c>
      <c r="C4" s="1553">
        <v>13570</v>
      </c>
      <c r="D4" s="1553">
        <v>22000</v>
      </c>
      <c r="E4" s="1554">
        <v>94712.743999999948</v>
      </c>
      <c r="F4"/>
    </row>
    <row r="5" spans="1:20" ht="13.5" thickBot="1" x14ac:dyDescent="0.25">
      <c r="A5"/>
      <c r="B5"/>
      <c r="C5"/>
      <c r="D5"/>
      <c r="E5"/>
      <c r="F5"/>
      <c r="T5" s="73"/>
    </row>
    <row r="6" spans="1:20" ht="25.5" x14ac:dyDescent="0.2">
      <c r="A6" s="1555" t="s">
        <v>406</v>
      </c>
      <c r="B6" s="1556" t="s">
        <v>672</v>
      </c>
      <c r="C6" s="1557" t="s">
        <v>673</v>
      </c>
      <c r="D6" s="1558" t="s">
        <v>674</v>
      </c>
      <c r="E6" s="1559" t="s">
        <v>675</v>
      </c>
      <c r="F6" s="1560" t="s">
        <v>70</v>
      </c>
      <c r="T6" s="73"/>
    </row>
    <row r="7" spans="1:20" x14ac:dyDescent="0.2">
      <c r="A7" s="1561" t="s">
        <v>7</v>
      </c>
      <c r="B7" s="665">
        <v>75750.8</v>
      </c>
      <c r="C7" s="665">
        <v>2000</v>
      </c>
      <c r="D7" s="665">
        <v>10148.481904619923</v>
      </c>
      <c r="E7" s="1562"/>
      <c r="F7" s="1563">
        <v>87899.281904619929</v>
      </c>
      <c r="T7" s="73"/>
    </row>
    <row r="8" spans="1:20" x14ac:dyDescent="0.2">
      <c r="A8" s="1561" t="s">
        <v>8</v>
      </c>
      <c r="B8" s="665">
        <v>74632.399999999994</v>
      </c>
      <c r="C8" s="665">
        <v>2000</v>
      </c>
      <c r="D8" s="665">
        <v>7494.5383274902497</v>
      </c>
      <c r="E8" s="1562"/>
      <c r="F8" s="1563">
        <v>84126.93832749025</v>
      </c>
      <c r="T8" s="73"/>
    </row>
    <row r="9" spans="1:20" x14ac:dyDescent="0.2">
      <c r="A9" s="1561" t="s">
        <v>9</v>
      </c>
      <c r="B9" s="665">
        <v>26143.8</v>
      </c>
      <c r="C9" s="665">
        <v>2000</v>
      </c>
      <c r="D9" s="665">
        <v>3609.8456157772775</v>
      </c>
      <c r="E9" s="1562"/>
      <c r="F9" s="1563">
        <v>31753.645615777277</v>
      </c>
      <c r="T9" s="73"/>
    </row>
    <row r="10" spans="1:20" x14ac:dyDescent="0.2">
      <c r="A10" s="1561" t="s">
        <v>10</v>
      </c>
      <c r="B10" s="665">
        <v>40034.5</v>
      </c>
      <c r="C10" s="665">
        <v>2000</v>
      </c>
      <c r="D10" s="665">
        <v>12338.620726495377</v>
      </c>
      <c r="E10" s="1562"/>
      <c r="F10" s="1563">
        <v>54373.120726495377</v>
      </c>
      <c r="T10" s="73"/>
    </row>
    <row r="11" spans="1:20" x14ac:dyDescent="0.2">
      <c r="A11" s="1561" t="s">
        <v>11</v>
      </c>
      <c r="B11" s="665">
        <v>274096.09999999998</v>
      </c>
      <c r="C11" s="665">
        <v>2000</v>
      </c>
      <c r="D11" s="665">
        <v>25862.067764588322</v>
      </c>
      <c r="E11" s="1562"/>
      <c r="F11" s="1563">
        <v>301958.16776458832</v>
      </c>
      <c r="T11" s="73"/>
    </row>
    <row r="12" spans="1:20" x14ac:dyDescent="0.2">
      <c r="A12" s="1561" t="s">
        <v>12</v>
      </c>
      <c r="B12" s="665">
        <v>46326</v>
      </c>
      <c r="C12" s="665">
        <v>2000</v>
      </c>
      <c r="D12" s="665">
        <v>4649.8631195593653</v>
      </c>
      <c r="E12" s="1562"/>
      <c r="F12" s="1563">
        <v>52975.863119559363</v>
      </c>
      <c r="T12" s="73"/>
    </row>
    <row r="13" spans="1:20" x14ac:dyDescent="0.2">
      <c r="A13" s="1561" t="s">
        <v>13</v>
      </c>
      <c r="B13" s="665">
        <v>29592.5</v>
      </c>
      <c r="C13" s="665">
        <v>2000</v>
      </c>
      <c r="D13" s="665">
        <v>3249.3429221722577</v>
      </c>
      <c r="E13" s="1562"/>
      <c r="F13" s="1563">
        <v>34841.842922172254</v>
      </c>
      <c r="T13" s="73"/>
    </row>
    <row r="14" spans="1:20" x14ac:dyDescent="0.2">
      <c r="A14" s="1561" t="s">
        <v>14</v>
      </c>
      <c r="B14" s="665">
        <v>4503.7</v>
      </c>
      <c r="C14" s="665">
        <v>2000</v>
      </c>
      <c r="D14" s="665">
        <v>1564.5852163608836</v>
      </c>
      <c r="E14" s="1562"/>
      <c r="F14" s="1563">
        <v>8068.2852163608832</v>
      </c>
      <c r="T14" s="73"/>
    </row>
    <row r="15" spans="1:20" x14ac:dyDescent="0.2">
      <c r="A15" s="1561" t="s">
        <v>15</v>
      </c>
      <c r="B15" s="665">
        <v>15987.1</v>
      </c>
      <c r="C15" s="665">
        <v>2000</v>
      </c>
      <c r="D15" s="665">
        <v>5533.9393411301153</v>
      </c>
      <c r="E15" s="1562"/>
      <c r="F15" s="1563">
        <v>23521.039341130112</v>
      </c>
      <c r="T15" s="73"/>
    </row>
    <row r="16" spans="1:20" x14ac:dyDescent="0.2">
      <c r="A16" s="1561" t="s">
        <v>251</v>
      </c>
      <c r="B16" s="665">
        <v>100878.8</v>
      </c>
      <c r="C16" s="665">
        <v>2000</v>
      </c>
      <c r="D16" s="665">
        <v>18246.573664062416</v>
      </c>
      <c r="E16" s="1562"/>
      <c r="F16" s="1563">
        <v>121125.37366406241</v>
      </c>
      <c r="T16" s="73"/>
    </row>
    <row r="17" spans="1:20" x14ac:dyDescent="0.2">
      <c r="A17" s="1561" t="s">
        <v>98</v>
      </c>
      <c r="B17" s="665">
        <v>1793</v>
      </c>
      <c r="C17" s="665"/>
      <c r="D17" s="665"/>
      <c r="E17" s="1562"/>
      <c r="F17" s="1563">
        <v>1793</v>
      </c>
      <c r="T17" s="73"/>
    </row>
    <row r="18" spans="1:20" x14ac:dyDescent="0.2">
      <c r="A18" s="1561" t="s">
        <v>126</v>
      </c>
      <c r="B18" s="665">
        <v>18.600000000000001</v>
      </c>
      <c r="C18" s="665"/>
      <c r="D18" s="665"/>
      <c r="E18" s="1562"/>
      <c r="F18" s="1563">
        <v>18.600000000000001</v>
      </c>
      <c r="T18" s="73"/>
    </row>
    <row r="19" spans="1:20" x14ac:dyDescent="0.2">
      <c r="A19" s="1561" t="s">
        <v>78</v>
      </c>
      <c r="B19" s="665">
        <v>580.79999999999995</v>
      </c>
      <c r="C19" s="665"/>
      <c r="D19" s="665"/>
      <c r="E19" s="1562"/>
      <c r="F19" s="1563">
        <v>580.79999999999995</v>
      </c>
      <c r="T19" s="73"/>
    </row>
    <row r="20" spans="1:20" x14ac:dyDescent="0.2">
      <c r="A20" s="1561" t="s">
        <v>17</v>
      </c>
      <c r="B20" s="665">
        <v>5136.2</v>
      </c>
      <c r="C20" s="665">
        <v>2000</v>
      </c>
      <c r="D20" s="665">
        <v>2014.8853977437557</v>
      </c>
      <c r="E20" s="1562"/>
      <c r="F20" s="1563">
        <v>9151.0853977437546</v>
      </c>
      <c r="T20" s="73"/>
    </row>
    <row r="21" spans="1:20" x14ac:dyDescent="0.2">
      <c r="A21" s="1561" t="s">
        <v>23</v>
      </c>
      <c r="B21" s="665">
        <v>897.2</v>
      </c>
      <c r="C21" s="665"/>
      <c r="D21" s="665"/>
      <c r="E21" s="1562"/>
      <c r="F21" s="1563">
        <v>897.2</v>
      </c>
      <c r="T21" s="73"/>
    </row>
    <row r="22" spans="1:20" x14ac:dyDescent="0.2">
      <c r="A22" s="1564" t="s">
        <v>676</v>
      </c>
      <c r="B22" s="665">
        <v>58700</v>
      </c>
      <c r="C22" s="665"/>
      <c r="D22" s="665"/>
      <c r="E22" s="1562">
        <v>13570</v>
      </c>
      <c r="F22" s="1563">
        <v>72270</v>
      </c>
      <c r="T22" s="73"/>
    </row>
    <row r="23" spans="1:20" ht="15.75" thickBot="1" x14ac:dyDescent="0.3">
      <c r="A23" s="1565" t="s">
        <v>677</v>
      </c>
      <c r="B23" s="1566">
        <v>755071.49999999988</v>
      </c>
      <c r="C23" s="1566">
        <v>22000</v>
      </c>
      <c r="D23" s="1566">
        <v>94712.743999999948</v>
      </c>
      <c r="E23" s="1567">
        <v>13570</v>
      </c>
      <c r="F23" s="1568">
        <v>885354.24399999995</v>
      </c>
      <c r="T23" s="73"/>
    </row>
    <row r="24" spans="1:20" ht="12.75" customHeight="1" x14ac:dyDescent="0.2">
      <c r="A24" s="1605" t="s">
        <v>694</v>
      </c>
      <c r="B24" s="1605"/>
      <c r="C24" s="1605"/>
      <c r="D24" s="1605"/>
      <c r="E24" s="1605"/>
      <c r="F24" s="1605"/>
      <c r="T24" s="73"/>
    </row>
    <row r="25" spans="1:20" ht="38.25" customHeight="1" x14ac:dyDescent="0.2">
      <c r="A25" s="1606"/>
      <c r="B25" s="1606"/>
      <c r="C25" s="1606"/>
      <c r="D25" s="1606"/>
      <c r="E25" s="1606"/>
      <c r="F25" s="1606"/>
      <c r="T25" s="73"/>
    </row>
    <row r="26" spans="1:20" x14ac:dyDescent="0.2">
      <c r="T26" s="73"/>
    </row>
    <row r="28" spans="1:20" x14ac:dyDescent="0.2">
      <c r="L28" s="73"/>
    </row>
  </sheetData>
  <mergeCells count="1">
    <mergeCell ref="A24:F25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>
    <oddFooter xml:space="preserve">&amp;C&amp;9 3  
&amp;10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3:O52"/>
  <sheetViews>
    <sheetView showGridLines="0" workbookViewId="0"/>
  </sheetViews>
  <sheetFormatPr defaultColWidth="8.7109375" defaultRowHeight="12.75" x14ac:dyDescent="0.2"/>
  <cols>
    <col min="1" max="1" width="3.7109375" style="1" customWidth="1"/>
    <col min="2" max="2" width="8.7109375" style="1"/>
    <col min="3" max="3" width="9.7109375" style="1" customWidth="1"/>
    <col min="4" max="5" width="10.7109375" style="1" customWidth="1"/>
    <col min="6" max="6" width="10" style="1" customWidth="1"/>
    <col min="7" max="7" width="11" style="1" customWidth="1"/>
    <col min="8" max="8" width="9.5703125" style="1" customWidth="1"/>
    <col min="9" max="9" width="9.140625" style="1" bestFit="1" customWidth="1"/>
    <col min="10" max="16384" width="8.7109375" style="1"/>
  </cols>
  <sheetData>
    <row r="3" spans="1:12" ht="16.5" thickBot="1" x14ac:dyDescent="0.3">
      <c r="A3" s="71" t="s">
        <v>290</v>
      </c>
      <c r="B3" s="12"/>
      <c r="C3" s="12"/>
      <c r="D3" s="12"/>
      <c r="E3" s="12"/>
      <c r="F3" s="12"/>
      <c r="G3" s="12"/>
      <c r="H3" s="12"/>
      <c r="I3" s="12"/>
      <c r="J3" s="13"/>
      <c r="K3" s="13"/>
      <c r="L3" s="13"/>
    </row>
    <row r="4" spans="1:12" x14ac:dyDescent="0.2">
      <c r="A4" s="88"/>
      <c r="B4" s="91"/>
      <c r="C4" s="1610" t="s">
        <v>679</v>
      </c>
      <c r="D4" s="1611"/>
      <c r="E4" s="1612"/>
      <c r="F4" s="1613" t="s">
        <v>680</v>
      </c>
      <c r="G4" s="1613"/>
      <c r="H4" s="1614"/>
      <c r="I4" s="12"/>
      <c r="J4" s="12"/>
      <c r="K4" s="12"/>
      <c r="L4" s="13"/>
    </row>
    <row r="5" spans="1:12" ht="33.75" customHeight="1" thickBot="1" x14ac:dyDescent="0.25">
      <c r="A5" s="1618" t="s">
        <v>6</v>
      </c>
      <c r="B5" s="1619"/>
      <c r="C5" s="221" t="s">
        <v>19</v>
      </c>
      <c r="D5" s="222" t="s">
        <v>678</v>
      </c>
      <c r="E5" s="223" t="s">
        <v>16</v>
      </c>
      <c r="F5" s="224" t="s">
        <v>19</v>
      </c>
      <c r="G5" s="222" t="s">
        <v>678</v>
      </c>
      <c r="H5" s="223" t="s">
        <v>16</v>
      </c>
      <c r="I5" s="12"/>
      <c r="J5" s="12"/>
      <c r="K5" s="12"/>
      <c r="L5" s="13"/>
    </row>
    <row r="6" spans="1:12" x14ac:dyDescent="0.2">
      <c r="A6" s="598">
        <v>11</v>
      </c>
      <c r="B6" s="154" t="s">
        <v>7</v>
      </c>
      <c r="C6" s="619">
        <f>'str1'!H16</f>
        <v>413650.1</v>
      </c>
      <c r="D6" s="227">
        <f>'str3'!F7</f>
        <v>87899.281904619929</v>
      </c>
      <c r="E6" s="225">
        <f>SUM(C6:D6)</f>
        <v>501549.38190461992</v>
      </c>
      <c r="F6" s="226">
        <v>392563.6</v>
      </c>
      <c r="G6" s="227">
        <v>75750.8</v>
      </c>
      <c r="H6" s="615">
        <v>468314.39999999997</v>
      </c>
      <c r="I6" s="12"/>
      <c r="J6" s="12"/>
      <c r="K6" s="12"/>
      <c r="L6" s="13"/>
    </row>
    <row r="7" spans="1:12" x14ac:dyDescent="0.2">
      <c r="A7" s="599">
        <v>21</v>
      </c>
      <c r="B7" s="158" t="s">
        <v>8</v>
      </c>
      <c r="C7" s="563">
        <f>'str1'!H17</f>
        <v>411292.2</v>
      </c>
      <c r="D7" s="231">
        <f>'str3'!F8</f>
        <v>84126.93832749025</v>
      </c>
      <c r="E7" s="229">
        <f t="shared" ref="E7:E22" si="0">SUM(C7:D7)</f>
        <v>495419.13832749025</v>
      </c>
      <c r="F7" s="230">
        <v>392816.1</v>
      </c>
      <c r="G7" s="231">
        <v>74632.399999999994</v>
      </c>
      <c r="H7" s="616">
        <v>467448.5</v>
      </c>
      <c r="I7" s="12"/>
      <c r="J7" s="12"/>
      <c r="K7" s="12"/>
      <c r="L7" s="13"/>
    </row>
    <row r="8" spans="1:12" x14ac:dyDescent="0.2">
      <c r="A8" s="599">
        <v>22</v>
      </c>
      <c r="B8" s="158" t="s">
        <v>9</v>
      </c>
      <c r="C8" s="563">
        <f>'str1'!H18</f>
        <v>152439.9</v>
      </c>
      <c r="D8" s="231">
        <f>'str3'!F9</f>
        <v>31753.645615777277</v>
      </c>
      <c r="E8" s="229">
        <f t="shared" si="0"/>
        <v>184193.54561577726</v>
      </c>
      <c r="F8" s="230">
        <v>146723.29999999999</v>
      </c>
      <c r="G8" s="231">
        <v>26143.8</v>
      </c>
      <c r="H8" s="616">
        <v>172867.09999999998</v>
      </c>
      <c r="I8" s="12"/>
      <c r="J8" s="12"/>
      <c r="K8" s="12"/>
      <c r="L8" s="13"/>
    </row>
    <row r="9" spans="1:12" x14ac:dyDescent="0.2">
      <c r="A9" s="599">
        <v>23</v>
      </c>
      <c r="B9" s="158" t="s">
        <v>10</v>
      </c>
      <c r="C9" s="563">
        <f>'str1'!H19</f>
        <v>183333.5</v>
      </c>
      <c r="D9" s="231">
        <f>'str3'!F10</f>
        <v>54373.120726495377</v>
      </c>
      <c r="E9" s="229">
        <f t="shared" si="0"/>
        <v>237706.62072649537</v>
      </c>
      <c r="F9" s="230">
        <v>176456.2</v>
      </c>
      <c r="G9" s="231">
        <v>40034.5</v>
      </c>
      <c r="H9" s="616">
        <v>216490.7</v>
      </c>
      <c r="I9" s="12"/>
      <c r="J9" s="12"/>
      <c r="K9" s="12"/>
      <c r="L9" s="13"/>
    </row>
    <row r="10" spans="1:12" x14ac:dyDescent="0.2">
      <c r="A10" s="599">
        <v>31</v>
      </c>
      <c r="B10" s="158" t="s">
        <v>11</v>
      </c>
      <c r="C10" s="563">
        <f>'str1'!H20</f>
        <v>467518.6</v>
      </c>
      <c r="D10" s="231">
        <f>'str3'!F11</f>
        <v>301958.16776458832</v>
      </c>
      <c r="E10" s="229">
        <f t="shared" si="0"/>
        <v>769476.76776458835</v>
      </c>
      <c r="F10" s="230">
        <v>441788.8</v>
      </c>
      <c r="G10" s="231">
        <v>274096.09999999998</v>
      </c>
      <c r="H10" s="616">
        <v>715884.89999999991</v>
      </c>
      <c r="I10" s="12"/>
      <c r="J10" s="12"/>
      <c r="K10" s="12"/>
      <c r="L10" s="13"/>
    </row>
    <row r="11" spans="1:12" x14ac:dyDescent="0.2">
      <c r="A11" s="599">
        <v>33</v>
      </c>
      <c r="B11" s="158" t="s">
        <v>12</v>
      </c>
      <c r="C11" s="563">
        <f>'str1'!H21</f>
        <v>165989.6</v>
      </c>
      <c r="D11" s="231">
        <f>'str3'!F12</f>
        <v>52975.863119559363</v>
      </c>
      <c r="E11" s="229">
        <f t="shared" si="0"/>
        <v>218965.46311955937</v>
      </c>
      <c r="F11" s="230">
        <v>158885.1</v>
      </c>
      <c r="G11" s="231">
        <v>46326</v>
      </c>
      <c r="H11" s="616">
        <v>205211.1</v>
      </c>
      <c r="I11" s="12"/>
      <c r="J11" s="12"/>
      <c r="K11" s="12"/>
      <c r="L11" s="13"/>
    </row>
    <row r="12" spans="1:12" x14ac:dyDescent="0.2">
      <c r="A12" s="599">
        <v>41</v>
      </c>
      <c r="B12" s="158" t="s">
        <v>13</v>
      </c>
      <c r="C12" s="617">
        <f>'str1'!H22</f>
        <v>238322.5</v>
      </c>
      <c r="D12" s="231">
        <f>'str3'!F13</f>
        <v>34841.842922172254</v>
      </c>
      <c r="E12" s="229">
        <f t="shared" si="0"/>
        <v>273164.34292217228</v>
      </c>
      <c r="F12" s="230">
        <v>225134.1</v>
      </c>
      <c r="G12" s="231">
        <v>29592.5</v>
      </c>
      <c r="H12" s="616">
        <v>254726.6</v>
      </c>
      <c r="I12" s="12"/>
      <c r="J12" s="12"/>
      <c r="K12" s="12"/>
      <c r="L12" s="13"/>
    </row>
    <row r="13" spans="1:12" x14ac:dyDescent="0.2">
      <c r="A13" s="599">
        <v>51</v>
      </c>
      <c r="B13" s="158" t="s">
        <v>14</v>
      </c>
      <c r="C13" s="563">
        <f>'str1'!H23</f>
        <v>91390</v>
      </c>
      <c r="D13" s="231">
        <f>'str3'!F14</f>
        <v>8068.2852163608832</v>
      </c>
      <c r="E13" s="229">
        <f t="shared" si="0"/>
        <v>99458.285216360877</v>
      </c>
      <c r="F13" s="230">
        <v>86325.4</v>
      </c>
      <c r="G13" s="231">
        <v>4503.7</v>
      </c>
      <c r="H13" s="616">
        <v>90829.099999999991</v>
      </c>
      <c r="I13" s="12"/>
      <c r="J13" s="12"/>
      <c r="K13" s="12"/>
      <c r="L13" s="13"/>
    </row>
    <row r="14" spans="1:12" x14ac:dyDescent="0.2">
      <c r="A14" s="599">
        <v>56</v>
      </c>
      <c r="B14" s="158" t="s">
        <v>15</v>
      </c>
      <c r="C14" s="618">
        <f>'str1'!H24</f>
        <v>156501.5</v>
      </c>
      <c r="D14" s="231">
        <f>'str3'!F15</f>
        <v>23521.039341130112</v>
      </c>
      <c r="E14" s="229">
        <f t="shared" si="0"/>
        <v>180022.53934113012</v>
      </c>
      <c r="F14" s="230">
        <v>150682.29999999999</v>
      </c>
      <c r="G14" s="231">
        <v>15987.1</v>
      </c>
      <c r="H14" s="616">
        <v>166669.4</v>
      </c>
      <c r="I14" s="12"/>
      <c r="J14" s="12"/>
      <c r="K14" s="12"/>
      <c r="L14" s="13"/>
    </row>
    <row r="15" spans="1:12" x14ac:dyDescent="0.2">
      <c r="A15" s="599"/>
      <c r="B15" s="158" t="s">
        <v>181</v>
      </c>
      <c r="C15" s="563">
        <v>0</v>
      </c>
      <c r="D15" s="231">
        <v>0</v>
      </c>
      <c r="E15" s="229">
        <f t="shared" si="0"/>
        <v>0</v>
      </c>
      <c r="F15" s="230">
        <v>0</v>
      </c>
      <c r="G15" s="231">
        <v>0</v>
      </c>
      <c r="H15" s="616">
        <v>0</v>
      </c>
      <c r="I15" s="12"/>
      <c r="J15" s="12"/>
      <c r="K15" s="12"/>
      <c r="L15" s="13"/>
    </row>
    <row r="16" spans="1:12" x14ac:dyDescent="0.2">
      <c r="A16" s="599">
        <v>71</v>
      </c>
      <c r="B16" s="158" t="s">
        <v>186</v>
      </c>
      <c r="C16" s="563">
        <f>'str1'!H25</f>
        <v>35482.300000000003</v>
      </c>
      <c r="D16" s="231">
        <f>'str3'!F16</f>
        <v>121125.37366406241</v>
      </c>
      <c r="E16" s="229">
        <f t="shared" si="0"/>
        <v>156607.6736640624</v>
      </c>
      <c r="F16" s="230">
        <v>36537.199999999997</v>
      </c>
      <c r="G16" s="231">
        <v>100878.8</v>
      </c>
      <c r="H16" s="616">
        <v>137416</v>
      </c>
      <c r="I16" s="12"/>
      <c r="J16" s="12"/>
      <c r="K16" s="12"/>
      <c r="L16" s="13"/>
    </row>
    <row r="17" spans="1:15" x14ac:dyDescent="0.2">
      <c r="A17" s="599">
        <v>84</v>
      </c>
      <c r="B17" s="158" t="s">
        <v>78</v>
      </c>
      <c r="C17" s="563">
        <v>0</v>
      </c>
      <c r="D17" s="231">
        <f>'str3'!F19</f>
        <v>580.79999999999995</v>
      </c>
      <c r="E17" s="229">
        <f t="shared" si="0"/>
        <v>580.79999999999995</v>
      </c>
      <c r="F17" s="230">
        <v>0</v>
      </c>
      <c r="G17" s="231">
        <v>580.79999999999995</v>
      </c>
      <c r="H17" s="616">
        <v>580.79999999999995</v>
      </c>
      <c r="I17" s="12"/>
      <c r="J17" s="12"/>
      <c r="K17" s="12"/>
      <c r="L17" s="13"/>
    </row>
    <row r="18" spans="1:15" x14ac:dyDescent="0.2">
      <c r="A18" s="599">
        <v>85</v>
      </c>
      <c r="B18" s="158" t="s">
        <v>98</v>
      </c>
      <c r="C18" s="563">
        <f>'str1'!H26</f>
        <v>435.7</v>
      </c>
      <c r="D18" s="231">
        <f>'str3'!F17</f>
        <v>1793</v>
      </c>
      <c r="E18" s="229">
        <f t="shared" si="0"/>
        <v>2228.6999999999998</v>
      </c>
      <c r="F18" s="230">
        <v>742.8</v>
      </c>
      <c r="G18" s="231">
        <v>1793</v>
      </c>
      <c r="H18" s="616">
        <v>2535.8000000000002</v>
      </c>
      <c r="I18" s="12"/>
      <c r="J18" s="12"/>
      <c r="K18" s="12"/>
      <c r="L18" s="13"/>
    </row>
    <row r="19" spans="1:15" x14ac:dyDescent="0.2">
      <c r="A19" s="599">
        <v>87</v>
      </c>
      <c r="B19" s="158" t="s">
        <v>126</v>
      </c>
      <c r="C19" s="563"/>
      <c r="D19" s="231">
        <f>'str3'!F18</f>
        <v>18.600000000000001</v>
      </c>
      <c r="E19" s="229">
        <f>SUM(C19:D19)</f>
        <v>18.600000000000001</v>
      </c>
      <c r="F19" s="230"/>
      <c r="G19" s="231">
        <v>18.600000000000001</v>
      </c>
      <c r="H19" s="616">
        <v>18.600000000000001</v>
      </c>
      <c r="I19" s="12"/>
      <c r="J19" s="12"/>
      <c r="K19" s="12"/>
      <c r="L19" s="13"/>
    </row>
    <row r="20" spans="1:15" x14ac:dyDescent="0.2">
      <c r="A20" s="599">
        <v>92</v>
      </c>
      <c r="B20" s="158" t="s">
        <v>17</v>
      </c>
      <c r="C20" s="563">
        <f>'str1'!H27</f>
        <v>3362.4</v>
      </c>
      <c r="D20" s="231">
        <f>'str3'!F20</f>
        <v>9151.0853977437546</v>
      </c>
      <c r="E20" s="229">
        <f t="shared" si="0"/>
        <v>12513.485397743754</v>
      </c>
      <c r="F20" s="230">
        <v>3089.4</v>
      </c>
      <c r="G20" s="231">
        <v>5136.2</v>
      </c>
      <c r="H20" s="616">
        <v>8225.6</v>
      </c>
      <c r="I20" s="12"/>
      <c r="J20" s="12"/>
      <c r="K20" s="12"/>
      <c r="L20" s="13"/>
    </row>
    <row r="21" spans="1:15" x14ac:dyDescent="0.2">
      <c r="A21" s="600">
        <v>96</v>
      </c>
      <c r="B21" s="601" t="s">
        <v>23</v>
      </c>
      <c r="C21" s="563">
        <v>0</v>
      </c>
      <c r="D21" s="231">
        <f>'str3'!F21</f>
        <v>897.2</v>
      </c>
      <c r="E21" s="229">
        <f t="shared" si="0"/>
        <v>897.2</v>
      </c>
      <c r="F21" s="230">
        <v>0</v>
      </c>
      <c r="G21" s="232">
        <v>897.2</v>
      </c>
      <c r="H21" s="616">
        <v>897.2</v>
      </c>
      <c r="I21" s="12"/>
      <c r="J21" s="12"/>
      <c r="K21" s="12"/>
      <c r="L21" s="13"/>
    </row>
    <row r="22" spans="1:15" ht="13.5" thickBot="1" x14ac:dyDescent="0.25">
      <c r="A22" s="600">
        <v>99</v>
      </c>
      <c r="B22" s="601" t="s">
        <v>249</v>
      </c>
      <c r="C22" s="617">
        <v>0</v>
      </c>
      <c r="D22" s="1234">
        <f>'str3'!F22</f>
        <v>72270</v>
      </c>
      <c r="E22" s="1235">
        <f t="shared" si="0"/>
        <v>72270</v>
      </c>
      <c r="F22" s="233">
        <v>0</v>
      </c>
      <c r="G22" s="232">
        <v>58700</v>
      </c>
      <c r="H22" s="1236">
        <v>58700</v>
      </c>
      <c r="I22" s="12"/>
      <c r="J22" s="12"/>
      <c r="K22" s="12"/>
      <c r="L22" s="13"/>
    </row>
    <row r="23" spans="1:15" ht="13.5" thickBot="1" x14ac:dyDescent="0.25">
      <c r="A23" s="1242" t="s">
        <v>70</v>
      </c>
      <c r="B23" s="1237"/>
      <c r="C23" s="1238">
        <f>SUM(C6:C21)</f>
        <v>2319718.3000000003</v>
      </c>
      <c r="D23" s="1239">
        <f>SUM(D6:D22)</f>
        <v>885354.24399999995</v>
      </c>
      <c r="E23" s="1240">
        <f>SUM(E6:E22)</f>
        <v>3205072.5440000002</v>
      </c>
      <c r="F23" s="1241">
        <v>2211744.2999999998</v>
      </c>
      <c r="G23" s="1241">
        <v>755071.49999999988</v>
      </c>
      <c r="H23" s="1240">
        <v>2966815.8</v>
      </c>
      <c r="I23" s="810">
        <f>H23-G23-F23</f>
        <v>0</v>
      </c>
      <c r="J23" s="12"/>
      <c r="K23" s="12"/>
      <c r="L23" s="79"/>
      <c r="M23" s="79"/>
      <c r="N23" s="79"/>
      <c r="O23" s="79"/>
    </row>
    <row r="24" spans="1:15" s="79" customFormat="1" ht="6" customHeight="1" x14ac:dyDescent="0.2">
      <c r="C24" s="234"/>
      <c r="D24" s="234"/>
      <c r="E24" s="235"/>
      <c r="F24" s="236"/>
      <c r="J24" s="12"/>
      <c r="K24" s="12"/>
      <c r="L24" s="13"/>
      <c r="M24" s="1"/>
      <c r="N24" s="1"/>
      <c r="O24" s="1"/>
    </row>
    <row r="25" spans="1:15" s="79" customFormat="1" x14ac:dyDescent="0.2">
      <c r="A25" s="16" t="s">
        <v>693</v>
      </c>
      <c r="C25" s="234"/>
      <c r="D25" s="796">
        <f>'str3'!F22</f>
        <v>72270</v>
      </c>
      <c r="E25" s="79" t="s">
        <v>459</v>
      </c>
      <c r="J25" s="12"/>
      <c r="K25" s="12"/>
      <c r="L25" s="237"/>
      <c r="M25" s="1"/>
      <c r="N25" s="1"/>
      <c r="O25" s="1"/>
    </row>
    <row r="26" spans="1:15" s="79" customFormat="1" x14ac:dyDescent="0.2">
      <c r="C26" s="234"/>
      <c r="D26" s="234"/>
      <c r="E26" s="235"/>
      <c r="F26" s="236"/>
      <c r="L26" s="13"/>
      <c r="M26" s="1"/>
      <c r="N26" s="1"/>
      <c r="O26" s="1"/>
    </row>
    <row r="27" spans="1:15" s="79" customFormat="1" x14ac:dyDescent="0.2">
      <c r="C27" s="234"/>
      <c r="D27" s="234"/>
      <c r="E27" s="235"/>
      <c r="F27" s="236"/>
      <c r="L27" s="13"/>
      <c r="M27" s="1"/>
      <c r="N27" s="1"/>
      <c r="O27" s="1"/>
    </row>
    <row r="28" spans="1:15" ht="15.75" x14ac:dyDescent="0.25">
      <c r="A28" s="238" t="s">
        <v>291</v>
      </c>
      <c r="L28" s="13"/>
    </row>
    <row r="29" spans="1:15" ht="11.25" customHeight="1" x14ac:dyDescent="0.25">
      <c r="A29" s="238"/>
      <c r="L29" s="13"/>
      <c r="M29" s="77"/>
      <c r="N29" s="77"/>
      <c r="O29" s="77"/>
    </row>
    <row r="30" spans="1:15" s="77" customFormat="1" ht="15.75" thickBot="1" x14ac:dyDescent="0.3">
      <c r="A30" s="76" t="s">
        <v>152</v>
      </c>
      <c r="L30" s="13"/>
      <c r="M30" s="1"/>
      <c r="N30" s="1"/>
      <c r="O30" s="1"/>
    </row>
    <row r="31" spans="1:15" ht="15" x14ac:dyDescent="0.25">
      <c r="A31" s="2">
        <v>4</v>
      </c>
      <c r="B31" s="239" t="s">
        <v>292</v>
      </c>
      <c r="C31" s="240"/>
      <c r="D31" s="240"/>
      <c r="E31" s="240"/>
      <c r="F31" s="240"/>
      <c r="G31" s="240"/>
      <c r="H31" s="240"/>
      <c r="I31" s="241">
        <f>'příl.1 - cp 2020'!M7</f>
        <v>88000</v>
      </c>
      <c r="J31" s="77"/>
      <c r="L31" s="13"/>
    </row>
    <row r="32" spans="1:15" ht="15" x14ac:dyDescent="0.25">
      <c r="A32" s="242">
        <v>5</v>
      </c>
      <c r="B32" s="7" t="s">
        <v>293</v>
      </c>
      <c r="C32" s="7"/>
      <c r="D32" s="7"/>
      <c r="E32" s="7"/>
      <c r="F32" s="7"/>
      <c r="G32" s="7"/>
      <c r="H32" s="7"/>
      <c r="I32" s="243">
        <f>'příl.1 - cp 2020'!M12</f>
        <v>0</v>
      </c>
      <c r="J32" s="77"/>
      <c r="L32" s="13"/>
    </row>
    <row r="33" spans="1:15" ht="15" x14ac:dyDescent="0.25">
      <c r="A33" s="242">
        <v>6</v>
      </c>
      <c r="B33" s="7" t="s">
        <v>80</v>
      </c>
      <c r="C33" s="7"/>
      <c r="D33" s="7"/>
      <c r="E33" s="7"/>
      <c r="F33" s="7"/>
      <c r="G33" s="7"/>
      <c r="H33" s="7"/>
      <c r="I33" s="243">
        <f>'příl.1 - cp 2020'!M13</f>
        <v>26220</v>
      </c>
      <c r="J33" s="77"/>
      <c r="L33" s="13"/>
    </row>
    <row r="34" spans="1:15" ht="15.75" thickBot="1" x14ac:dyDescent="0.3">
      <c r="A34" s="3">
        <v>7</v>
      </c>
      <c r="B34" s="118" t="s">
        <v>180</v>
      </c>
      <c r="C34" s="10"/>
      <c r="D34" s="10"/>
      <c r="E34" s="10"/>
      <c r="F34" s="10"/>
      <c r="G34" s="10"/>
      <c r="H34" s="10"/>
      <c r="I34" s="244">
        <f>'příl.1 - cp 2020'!M26</f>
        <v>0</v>
      </c>
      <c r="J34" s="77"/>
      <c r="L34" s="245"/>
      <c r="M34" s="72"/>
      <c r="N34" s="72"/>
      <c r="O34" s="72"/>
    </row>
    <row r="35" spans="1:15" s="72" customFormat="1" ht="13.5" thickBot="1" x14ac:dyDescent="0.25">
      <c r="A35" s="246">
        <v>8</v>
      </c>
      <c r="B35" s="1607" t="s">
        <v>294</v>
      </c>
      <c r="C35" s="1608"/>
      <c r="D35" s="1608"/>
      <c r="E35" s="1608"/>
      <c r="F35" s="1608"/>
      <c r="G35" s="1608"/>
      <c r="H35" s="1609"/>
      <c r="I35" s="247">
        <f>SUM(I31:I34)</f>
        <v>114220</v>
      </c>
      <c r="J35" s="248"/>
      <c r="L35" s="13"/>
      <c r="M35" s="16"/>
      <c r="N35" s="16"/>
      <c r="O35" s="16"/>
    </row>
    <row r="36" spans="1:15" s="16" customFormat="1" ht="15" x14ac:dyDescent="0.25">
      <c r="A36" s="249"/>
      <c r="B36" s="250"/>
      <c r="I36" s="80"/>
      <c r="J36" s="251"/>
      <c r="L36" s="13"/>
      <c r="M36" s="77"/>
      <c r="N36" s="77"/>
      <c r="O36" s="77"/>
    </row>
    <row r="37" spans="1:15" s="77" customFormat="1" ht="15.75" thickBot="1" x14ac:dyDescent="0.3">
      <c r="A37" s="76" t="s">
        <v>153</v>
      </c>
      <c r="J37" s="251"/>
      <c r="L37" s="13"/>
      <c r="M37" s="1"/>
      <c r="N37" s="1"/>
      <c r="O37" s="1"/>
    </row>
    <row r="38" spans="1:15" x14ac:dyDescent="0.2">
      <c r="A38" s="252">
        <v>9</v>
      </c>
      <c r="B38" s="253" t="s">
        <v>158</v>
      </c>
      <c r="C38" s="253"/>
      <c r="D38" s="253"/>
      <c r="E38" s="253"/>
      <c r="F38" s="253"/>
      <c r="G38" s="253"/>
      <c r="H38" s="253"/>
      <c r="I38" s="254">
        <f>'příl.1 - cp 2020'!M27-'příl.1 - cp 2020'!M92</f>
        <v>211656</v>
      </c>
      <c r="J38" s="251"/>
      <c r="L38" s="13"/>
    </row>
    <row r="39" spans="1:15" ht="13.5" thickBot="1" x14ac:dyDescent="0.25">
      <c r="A39" s="3">
        <v>10</v>
      </c>
      <c r="B39" s="10" t="s">
        <v>159</v>
      </c>
      <c r="C39" s="10"/>
      <c r="D39" s="10"/>
      <c r="E39" s="10"/>
      <c r="F39" s="10"/>
      <c r="G39" s="10"/>
      <c r="H39" s="10"/>
      <c r="I39" s="244">
        <f>'příl.1 - cp 2020'!M92</f>
        <v>15000</v>
      </c>
      <c r="J39" s="251"/>
      <c r="L39" s="255"/>
      <c r="M39" s="256"/>
      <c r="N39" s="256"/>
      <c r="O39" s="256"/>
    </row>
    <row r="40" spans="1:15" s="256" customFormat="1" x14ac:dyDescent="0.2">
      <c r="A40" s="257">
        <v>11</v>
      </c>
      <c r="B40" s="1615" t="s">
        <v>155</v>
      </c>
      <c r="C40" s="1616"/>
      <c r="D40" s="1616"/>
      <c r="E40" s="1616"/>
      <c r="F40" s="1616"/>
      <c r="G40" s="1616"/>
      <c r="H40" s="1617"/>
      <c r="I40" s="258">
        <f>SUM(I38:I39)</f>
        <v>226656</v>
      </c>
      <c r="J40" s="251"/>
      <c r="L40" s="13"/>
      <c r="M40" s="1"/>
      <c r="N40" s="1"/>
      <c r="O40" s="1"/>
    </row>
    <row r="41" spans="1:15" ht="13.5" thickBot="1" x14ac:dyDescent="0.25">
      <c r="A41" s="260">
        <v>12</v>
      </c>
      <c r="B41" s="261" t="s">
        <v>154</v>
      </c>
      <c r="C41" s="261"/>
      <c r="D41" s="261"/>
      <c r="E41" s="261"/>
      <c r="F41" s="261"/>
      <c r="G41" s="261"/>
      <c r="H41" s="261"/>
      <c r="I41" s="262">
        <f>'příl.1 - cp 2020'!M164</f>
        <v>251183</v>
      </c>
      <c r="J41" s="251"/>
      <c r="L41" s="245"/>
      <c r="M41" s="72"/>
      <c r="N41" s="72"/>
      <c r="O41" s="72"/>
    </row>
    <row r="42" spans="1:15" s="72" customFormat="1" ht="13.5" thickBot="1" x14ac:dyDescent="0.25">
      <c r="A42" s="246">
        <v>13</v>
      </c>
      <c r="B42" s="1607" t="s">
        <v>173</v>
      </c>
      <c r="C42" s="1608"/>
      <c r="D42" s="1608"/>
      <c r="E42" s="1608"/>
      <c r="F42" s="1608"/>
      <c r="G42" s="1608"/>
      <c r="H42" s="1609"/>
      <c r="I42" s="247">
        <f>SUM(I40:I41)</f>
        <v>477839</v>
      </c>
      <c r="J42" s="259"/>
      <c r="K42" s="263"/>
      <c r="L42" s="14"/>
      <c r="M42" s="10"/>
      <c r="N42" s="10"/>
      <c r="O42" s="10"/>
    </row>
    <row r="43" spans="1:15" s="10" customFormat="1" ht="15.75" thickBot="1" x14ac:dyDescent="0.3">
      <c r="A43" s="264"/>
      <c r="H43" s="595" t="s">
        <v>70</v>
      </c>
      <c r="I43" s="327">
        <f>I35+I42</f>
        <v>592059</v>
      </c>
      <c r="J43" s="248"/>
      <c r="L43" s="15"/>
      <c r="M43" s="151"/>
      <c r="N43" s="151"/>
      <c r="O43" s="151"/>
    </row>
    <row r="44" spans="1:15" s="151" customFormat="1" ht="15.75" hidden="1" thickBot="1" x14ac:dyDescent="0.3">
      <c r="A44" s="81" t="s">
        <v>119</v>
      </c>
      <c r="J44" s="265"/>
      <c r="L44" s="1"/>
      <c r="M44" s="1"/>
      <c r="N44" s="1"/>
      <c r="O44" s="1"/>
    </row>
    <row r="45" spans="1:15" ht="12.75" hidden="1" customHeight="1" x14ac:dyDescent="0.2">
      <c r="A45" s="105">
        <v>14</v>
      </c>
      <c r="B45" s="266" t="s">
        <v>178</v>
      </c>
      <c r="C45" s="267"/>
      <c r="D45" s="267"/>
      <c r="E45" s="267"/>
      <c r="F45" s="267"/>
      <c r="G45" s="268"/>
      <c r="H45" s="269"/>
      <c r="I45" s="109">
        <v>2333005</v>
      </c>
      <c r="J45" s="251"/>
      <c r="L45" s="72"/>
      <c r="M45" s="72"/>
      <c r="N45" s="72"/>
      <c r="O45" s="72"/>
    </row>
    <row r="46" spans="1:15" s="72" customFormat="1" ht="12.75" hidden="1" customHeight="1" x14ac:dyDescent="0.2">
      <c r="A46" s="270">
        <v>15</v>
      </c>
      <c r="B46" s="271" t="s">
        <v>179</v>
      </c>
      <c r="C46" s="272"/>
      <c r="D46" s="272"/>
      <c r="E46" s="272"/>
      <c r="F46" s="272"/>
      <c r="G46" s="273"/>
      <c r="H46" s="274"/>
      <c r="I46" s="275">
        <v>555881</v>
      </c>
      <c r="J46" s="259"/>
    </row>
    <row r="47" spans="1:15" s="72" customFormat="1" ht="12.75" hidden="1" customHeight="1" thickBot="1" x14ac:dyDescent="0.25">
      <c r="A47" s="276">
        <v>16</v>
      </c>
      <c r="B47" s="277" t="s">
        <v>207</v>
      </c>
      <c r="C47" s="278"/>
      <c r="D47" s="278"/>
      <c r="E47" s="278"/>
      <c r="F47" s="278"/>
      <c r="G47" s="279"/>
      <c r="H47" s="280"/>
      <c r="I47" s="281" t="e">
        <v>#REF!</v>
      </c>
      <c r="J47" s="259"/>
      <c r="L47" s="282" t="s">
        <v>160</v>
      </c>
    </row>
    <row r="48" spans="1:15" s="72" customFormat="1" ht="13.5" hidden="1" thickBot="1" x14ac:dyDescent="0.25">
      <c r="A48" s="283">
        <v>17</v>
      </c>
      <c r="B48" s="284" t="s">
        <v>295</v>
      </c>
      <c r="C48" s="285"/>
      <c r="D48" s="285"/>
      <c r="E48" s="285"/>
      <c r="F48" s="285"/>
      <c r="G48" s="285"/>
      <c r="H48" s="286"/>
      <c r="I48" s="287" t="e">
        <v>#REF!</v>
      </c>
      <c r="K48" s="288"/>
      <c r="L48" s="13"/>
      <c r="M48" s="1"/>
      <c r="N48" s="1"/>
      <c r="O48" s="1"/>
    </row>
    <row r="49" spans="1:12" ht="13.5" hidden="1" customHeight="1" x14ac:dyDescent="0.2">
      <c r="A49" s="12"/>
      <c r="B49" s="12"/>
      <c r="C49" s="12"/>
      <c r="D49" s="12"/>
      <c r="E49" s="12"/>
      <c r="F49" s="12"/>
      <c r="G49" s="12"/>
      <c r="H49" s="12"/>
      <c r="I49" s="228" t="e">
        <v>#REF!</v>
      </c>
      <c r="K49" s="73"/>
      <c r="L49" s="13"/>
    </row>
    <row r="50" spans="1:12" hidden="1" x14ac:dyDescent="0.2">
      <c r="A50" s="12"/>
      <c r="B50" s="12"/>
      <c r="C50" s="12"/>
      <c r="D50" s="12"/>
      <c r="E50" s="12"/>
      <c r="F50" s="12"/>
      <c r="G50" s="12"/>
      <c r="H50" s="12" t="s">
        <v>103</v>
      </c>
      <c r="I50" s="228" t="e">
        <v>#REF!</v>
      </c>
      <c r="L50" s="13"/>
    </row>
    <row r="51" spans="1:12" ht="13.5" thickBot="1" x14ac:dyDescent="0.25">
      <c r="I51" s="73"/>
    </row>
    <row r="52" spans="1:12" ht="30.75" customHeight="1" thickBot="1" x14ac:dyDescent="0.25">
      <c r="H52" s="1146" t="s">
        <v>501</v>
      </c>
      <c r="I52" s="1147">
        <f>I43</f>
        <v>592059</v>
      </c>
    </row>
  </sheetData>
  <mergeCells count="6">
    <mergeCell ref="B42:H42"/>
    <mergeCell ref="C4:E4"/>
    <mergeCell ref="F4:H4"/>
    <mergeCell ref="B35:H35"/>
    <mergeCell ref="B40:H40"/>
    <mergeCell ref="A5:B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R190"/>
  <sheetViews>
    <sheetView showGridLines="0" zoomScale="112" zoomScaleNormal="112" workbookViewId="0"/>
  </sheetViews>
  <sheetFormatPr defaultColWidth="11.42578125" defaultRowHeight="11.25" x14ac:dyDescent="0.2"/>
  <cols>
    <col min="1" max="1" width="9" style="293" customWidth="1"/>
    <col min="2" max="2" width="11.7109375" style="293" customWidth="1"/>
    <col min="3" max="3" width="10.5703125" style="293" customWidth="1"/>
    <col min="4" max="4" width="10.28515625" style="293" customWidth="1"/>
    <col min="5" max="5" width="10" style="293" customWidth="1"/>
    <col min="6" max="6" width="8.7109375" style="293" customWidth="1"/>
    <col min="7" max="7" width="10" style="293" customWidth="1"/>
    <col min="8" max="8" width="8.42578125" style="293" customWidth="1"/>
    <col min="9" max="9" width="11.140625" style="293" customWidth="1"/>
    <col min="10" max="10" width="10.7109375" style="293" customWidth="1"/>
    <col min="11" max="11" width="12.140625" style="293" customWidth="1"/>
    <col min="12" max="12" width="11.140625" style="293" customWidth="1"/>
    <col min="13" max="13" width="4.5703125" style="293" customWidth="1"/>
    <col min="14" max="14" width="20.140625" style="293" bestFit="1" customWidth="1"/>
    <col min="15" max="15" width="7.42578125" style="293" bestFit="1" customWidth="1"/>
    <col min="16" max="16384" width="11.42578125" style="293"/>
  </cols>
  <sheetData>
    <row r="1" spans="1:18" s="289" customFormat="1" ht="15.75" x14ac:dyDescent="0.25">
      <c r="A1" s="71" t="s">
        <v>681</v>
      </c>
      <c r="G1" s="290"/>
      <c r="H1" s="290"/>
      <c r="I1" s="290"/>
      <c r="J1" s="290"/>
      <c r="K1" s="290"/>
      <c r="L1" s="290"/>
      <c r="M1" s="290"/>
    </row>
    <row r="2" spans="1:18" s="289" customFormat="1" ht="15.75" x14ac:dyDescent="0.25">
      <c r="A2" s="71"/>
      <c r="G2" s="290"/>
      <c r="H2" s="290"/>
      <c r="I2" s="290"/>
      <c r="J2" s="290"/>
      <c r="K2" s="290"/>
      <c r="L2" s="290"/>
      <c r="M2" s="290"/>
    </row>
    <row r="3" spans="1:18" ht="13.5" customHeight="1" thickBot="1" x14ac:dyDescent="0.25">
      <c r="A3" s="291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</row>
    <row r="4" spans="1:18" ht="12" hidden="1" thickBot="1" x14ac:dyDescent="0.25">
      <c r="B4" s="294"/>
      <c r="C4" s="291"/>
      <c r="D4" s="291"/>
      <c r="E4" s="291"/>
      <c r="F4" s="295">
        <v>1</v>
      </c>
      <c r="G4" s="296">
        <v>1</v>
      </c>
      <c r="H4" s="295"/>
      <c r="I4" s="297"/>
      <c r="J4" s="291"/>
      <c r="K4" s="291"/>
      <c r="L4" s="291"/>
    </row>
    <row r="5" spans="1:18" s="302" customFormat="1" ht="18.75" customHeight="1" x14ac:dyDescent="0.2">
      <c r="A5" s="298"/>
      <c r="B5" s="1632" t="s">
        <v>703</v>
      </c>
      <c r="C5" s="1644" t="s">
        <v>564</v>
      </c>
      <c r="D5" s="1635" t="s">
        <v>704</v>
      </c>
      <c r="E5" s="299" t="s">
        <v>187</v>
      </c>
      <c r="F5" s="299"/>
      <c r="G5" s="1641" t="s">
        <v>500</v>
      </c>
      <c r="H5" s="299" t="s">
        <v>190</v>
      </c>
      <c r="I5" s="1626" t="s">
        <v>273</v>
      </c>
      <c r="J5" s="1629" t="s">
        <v>705</v>
      </c>
      <c r="K5" s="1638" t="s">
        <v>275</v>
      </c>
      <c r="L5" s="1623" t="s">
        <v>275</v>
      </c>
      <c r="M5" s="293"/>
      <c r="N5" s="300"/>
      <c r="O5" s="301"/>
    </row>
    <row r="6" spans="1:18" s="302" customFormat="1" ht="12" customHeight="1" x14ac:dyDescent="0.2">
      <c r="A6" s="303" t="s">
        <v>6</v>
      </c>
      <c r="B6" s="1633"/>
      <c r="C6" s="1645"/>
      <c r="D6" s="1636"/>
      <c r="E6" s="304" t="s">
        <v>188</v>
      </c>
      <c r="F6" s="304" t="s">
        <v>21</v>
      </c>
      <c r="G6" s="1642"/>
      <c r="H6" s="304" t="s">
        <v>189</v>
      </c>
      <c r="I6" s="1627"/>
      <c r="J6" s="1630"/>
      <c r="K6" s="1639"/>
      <c r="L6" s="1624"/>
      <c r="M6" s="293"/>
      <c r="N6" s="1586" t="s">
        <v>230</v>
      </c>
      <c r="O6" s="306">
        <v>2020</v>
      </c>
    </row>
    <row r="7" spans="1:18" s="302" customFormat="1" ht="19.5" customHeight="1" thickBot="1" x14ac:dyDescent="0.25">
      <c r="A7" s="307"/>
      <c r="B7" s="1634"/>
      <c r="C7" s="1646"/>
      <c r="D7" s="1637"/>
      <c r="E7" s="308" t="s">
        <v>192</v>
      </c>
      <c r="F7" s="308"/>
      <c r="G7" s="1643"/>
      <c r="H7" s="308" t="s">
        <v>191</v>
      </c>
      <c r="I7" s="1628"/>
      <c r="J7" s="1631"/>
      <c r="K7" s="1640"/>
      <c r="L7" s="1625"/>
      <c r="M7" s="293"/>
      <c r="N7" s="309"/>
      <c r="O7" s="310"/>
    </row>
    <row r="8" spans="1:18" ht="12" customHeight="1" thickBot="1" x14ac:dyDescent="0.25">
      <c r="A8" s="1577"/>
      <c r="B8" s="1578">
        <v>1</v>
      </c>
      <c r="C8" s="1579">
        <v>2</v>
      </c>
      <c r="D8" s="1579" t="s">
        <v>274</v>
      </c>
      <c r="E8" s="1580">
        <v>4</v>
      </c>
      <c r="F8" s="1580">
        <v>5</v>
      </c>
      <c r="G8" s="1581">
        <v>6</v>
      </c>
      <c r="H8" s="1580">
        <v>7</v>
      </c>
      <c r="I8" s="1582" t="s">
        <v>593</v>
      </c>
      <c r="J8" s="1583">
        <v>9</v>
      </c>
      <c r="K8" s="1584" t="s">
        <v>594</v>
      </c>
      <c r="L8" s="1585">
        <v>11</v>
      </c>
      <c r="N8" s="311"/>
      <c r="O8" s="312"/>
    </row>
    <row r="9" spans="1:18" ht="12.75" customHeight="1" x14ac:dyDescent="0.2">
      <c r="A9" s="1569" t="s">
        <v>7</v>
      </c>
      <c r="B9" s="1570">
        <v>413650.05927094753</v>
      </c>
      <c r="C9" s="1571">
        <v>-1975.1755058046347</v>
      </c>
      <c r="D9" s="1571">
        <f>B9+C9</f>
        <v>411674.88376514288</v>
      </c>
      <c r="E9" s="1572">
        <v>572976.62534877006</v>
      </c>
      <c r="F9" s="1573">
        <f>E9/$E$26</f>
        <v>0.1440951967193243</v>
      </c>
      <c r="G9" s="1574">
        <f>F9*'str4'!$I$52</f>
        <v>85312.858074446427</v>
      </c>
      <c r="H9" s="1573">
        <f>IF(E9=0,0,G9/E9)</f>
        <v>0.14889413337327087</v>
      </c>
      <c r="I9" s="1575">
        <f>D9-G9</f>
        <v>326362.02569069644</v>
      </c>
      <c r="J9" s="1576">
        <v>-10170.800681159766</v>
      </c>
      <c r="K9" s="571">
        <f>I9+J9</f>
        <v>316191.22500953666</v>
      </c>
      <c r="L9" s="880">
        <f>ROUND(K9,1)</f>
        <v>316191.2</v>
      </c>
      <c r="N9" s="313" t="s">
        <v>144</v>
      </c>
      <c r="O9" s="314">
        <f>'příl.1 - cp 2020'!M7</f>
        <v>88000</v>
      </c>
      <c r="Q9" s="356"/>
      <c r="R9" s="575"/>
    </row>
    <row r="10" spans="1:18" ht="12.75" customHeight="1" x14ac:dyDescent="0.2">
      <c r="A10" s="315" t="s">
        <v>8</v>
      </c>
      <c r="B10" s="572">
        <v>411292.2287205063</v>
      </c>
      <c r="C10" s="316">
        <v>3022.2643963506962</v>
      </c>
      <c r="D10" s="316">
        <f t="shared" ref="D10:D25" si="0">B10+C10</f>
        <v>414314.49311685702</v>
      </c>
      <c r="E10" s="317">
        <v>584670.72445869655</v>
      </c>
      <c r="F10" s="318">
        <f t="shared" ref="F10:F25" si="1">E10/$E$26</f>
        <v>0.14703609070548723</v>
      </c>
      <c r="G10" s="881">
        <f>F10*'str4'!$I$52</f>
        <v>87054.040827000063</v>
      </c>
      <c r="H10" s="318">
        <f t="shared" ref="H10:H25" si="2">IF(E10=0,0,G10/E10)</f>
        <v>0.14889413337327087</v>
      </c>
      <c r="I10" s="1218">
        <f t="shared" ref="I10:I25" si="3">D10-G10</f>
        <v>327260.45228985697</v>
      </c>
      <c r="J10" s="666">
        <v>-10176.802172356438</v>
      </c>
      <c r="K10" s="571">
        <f>I10+J10</f>
        <v>317083.65011750051</v>
      </c>
      <c r="L10" s="880">
        <f t="shared" ref="L10:L25" si="4">ROUND(K10,1)</f>
        <v>317083.7</v>
      </c>
      <c r="N10" s="320" t="s">
        <v>239</v>
      </c>
      <c r="O10" s="321">
        <f>'příl.1 - cp 2020'!M13</f>
        <v>26220</v>
      </c>
      <c r="Q10" s="356"/>
      <c r="R10" s="575"/>
    </row>
    <row r="11" spans="1:18" ht="12.75" customHeight="1" x14ac:dyDescent="0.2">
      <c r="A11" s="315" t="s">
        <v>9</v>
      </c>
      <c r="B11" s="572">
        <v>152439.9259056173</v>
      </c>
      <c r="C11" s="316">
        <v>964.14791080023861</v>
      </c>
      <c r="D11" s="316">
        <f>B11+C11</f>
        <v>153404.07381641754</v>
      </c>
      <c r="E11" s="317">
        <v>201206.58306813327</v>
      </c>
      <c r="F11" s="318">
        <f t="shared" si="1"/>
        <v>5.0600497272952086E-2</v>
      </c>
      <c r="G11" s="881">
        <f>F11*'str4'!$I$52</f>
        <v>29958.479814926737</v>
      </c>
      <c r="H11" s="318">
        <f t="shared" si="2"/>
        <v>0.14889413337327084</v>
      </c>
      <c r="I11" s="1218">
        <f t="shared" si="3"/>
        <v>123445.5940014908</v>
      </c>
      <c r="J11" s="666">
        <v>-7236.6532502725659</v>
      </c>
      <c r="K11" s="571">
        <f t="shared" ref="K11:K25" si="5">I11+J11</f>
        <v>116208.94075121824</v>
      </c>
      <c r="L11" s="880">
        <f t="shared" si="4"/>
        <v>116208.9</v>
      </c>
      <c r="N11" s="320" t="s">
        <v>168</v>
      </c>
      <c r="O11" s="321">
        <f>'příl.1 - cp 2020'!M26</f>
        <v>0</v>
      </c>
      <c r="Q11" s="356"/>
      <c r="R11" s="575"/>
    </row>
    <row r="12" spans="1:18" ht="12.75" customHeight="1" x14ac:dyDescent="0.2">
      <c r="A12" s="315" t="s">
        <v>10</v>
      </c>
      <c r="B12" s="572">
        <v>183333.46679292867</v>
      </c>
      <c r="C12" s="316">
        <v>-4652.5627847932628</v>
      </c>
      <c r="D12" s="316">
        <f t="shared" si="0"/>
        <v>178680.9040081354</v>
      </c>
      <c r="E12" s="317">
        <v>273379.26451815007</v>
      </c>
      <c r="F12" s="318">
        <f t="shared" si="1"/>
        <v>6.8750865492547414E-2</v>
      </c>
      <c r="G12" s="881">
        <f>F12*'str4'!$I$52</f>
        <v>40704.568672652131</v>
      </c>
      <c r="H12" s="318">
        <f t="shared" si="2"/>
        <v>0.14889413337327087</v>
      </c>
      <c r="I12" s="1218">
        <f t="shared" si="3"/>
        <v>137976.33533548328</v>
      </c>
      <c r="J12" s="666">
        <v>-4757.906178044349</v>
      </c>
      <c r="K12" s="571">
        <f t="shared" si="5"/>
        <v>133218.42915743892</v>
      </c>
      <c r="L12" s="880">
        <f t="shared" si="4"/>
        <v>133218.4</v>
      </c>
      <c r="N12" s="320" t="s">
        <v>157</v>
      </c>
      <c r="O12" s="321">
        <f>'příl.1 - cp 2020'!M27-'příl.1 - cp 2020'!M92</f>
        <v>211656</v>
      </c>
      <c r="Q12" s="356"/>
      <c r="R12" s="575"/>
    </row>
    <row r="13" spans="1:18" ht="12.75" customHeight="1" x14ac:dyDescent="0.2">
      <c r="A13" s="315" t="s">
        <v>11</v>
      </c>
      <c r="B13" s="572">
        <v>467518.57224181999</v>
      </c>
      <c r="C13" s="316">
        <v>-945.330471126681</v>
      </c>
      <c r="D13" s="316">
        <f t="shared" si="0"/>
        <v>466573.24177069333</v>
      </c>
      <c r="E13" s="317">
        <v>1049041.0530500002</v>
      </c>
      <c r="F13" s="318">
        <f t="shared" si="1"/>
        <v>0.26381840064396156</v>
      </c>
      <c r="G13" s="881">
        <f>F13*'str4'!$I$52</f>
        <v>156196.05846686324</v>
      </c>
      <c r="H13" s="318">
        <f t="shared" si="2"/>
        <v>0.14889413337327084</v>
      </c>
      <c r="I13" s="1218">
        <f t="shared" si="3"/>
        <v>310377.1833038301</v>
      </c>
      <c r="J13" s="666">
        <v>-6968.2642732935528</v>
      </c>
      <c r="K13" s="571">
        <f t="shared" si="5"/>
        <v>303408.91903053655</v>
      </c>
      <c r="L13" s="880">
        <f t="shared" si="4"/>
        <v>303408.90000000002</v>
      </c>
      <c r="N13" s="320" t="s">
        <v>32</v>
      </c>
      <c r="O13" s="321">
        <f>'příl.1 - cp 2020'!M92</f>
        <v>15000</v>
      </c>
      <c r="Q13" s="356"/>
      <c r="R13" s="575"/>
    </row>
    <row r="14" spans="1:18" ht="12.75" customHeight="1" x14ac:dyDescent="0.2">
      <c r="A14" s="315" t="s">
        <v>12</v>
      </c>
      <c r="B14" s="572">
        <v>165989.55951370636</v>
      </c>
      <c r="C14" s="316">
        <v>-8484.042653098837</v>
      </c>
      <c r="D14" s="316">
        <f t="shared" si="0"/>
        <v>157505.51686060752</v>
      </c>
      <c r="E14" s="317">
        <v>275374.61240316665</v>
      </c>
      <c r="F14" s="318">
        <f t="shared" si="1"/>
        <v>6.9252666147748554E-2</v>
      </c>
      <c r="G14" s="881">
        <f>F14*'str4'!$I$52</f>
        <v>41001.664266769862</v>
      </c>
      <c r="H14" s="318">
        <f t="shared" si="2"/>
        <v>0.14889413337327084</v>
      </c>
      <c r="I14" s="1218">
        <f t="shared" si="3"/>
        <v>116503.85259383766</v>
      </c>
      <c r="J14" s="666">
        <v>-4399.7790604030724</v>
      </c>
      <c r="K14" s="571">
        <f t="shared" si="5"/>
        <v>112104.07353343458</v>
      </c>
      <c r="L14" s="880">
        <f t="shared" si="4"/>
        <v>112104.1</v>
      </c>
      <c r="N14" s="320" t="s">
        <v>71</v>
      </c>
      <c r="O14" s="321">
        <f>'příl.1 - cp 2020'!M164</f>
        <v>251183</v>
      </c>
      <c r="Q14" s="356"/>
      <c r="R14" s="575"/>
    </row>
    <row r="15" spans="1:18" ht="12.75" customHeight="1" x14ac:dyDescent="0.2">
      <c r="A15" s="315" t="s">
        <v>13</v>
      </c>
      <c r="B15" s="572">
        <v>238322.49209829466</v>
      </c>
      <c r="C15" s="316">
        <v>12508.352103564466</v>
      </c>
      <c r="D15" s="316">
        <f t="shared" si="0"/>
        <v>250830.84420185914</v>
      </c>
      <c r="E15" s="317">
        <v>293094.60077805986</v>
      </c>
      <c r="F15" s="318">
        <f t="shared" si="1"/>
        <v>7.3708982684553434E-2</v>
      </c>
      <c r="G15" s="881">
        <f>F15*'str4'!$I$52</f>
        <v>43640.066579234022</v>
      </c>
      <c r="H15" s="318">
        <f t="shared" si="2"/>
        <v>0.14889413337327087</v>
      </c>
      <c r="I15" s="1218">
        <f t="shared" si="3"/>
        <v>207190.77762262512</v>
      </c>
      <c r="J15" s="666">
        <v>-7922.1941150811917</v>
      </c>
      <c r="K15" s="571">
        <f t="shared" si="5"/>
        <v>199268.58350754392</v>
      </c>
      <c r="L15" s="880">
        <f t="shared" si="4"/>
        <v>199268.6</v>
      </c>
      <c r="N15" s="320"/>
      <c r="O15" s="321"/>
      <c r="Q15" s="356"/>
      <c r="R15" s="575"/>
    </row>
    <row r="16" spans="1:18" ht="12.75" customHeight="1" x14ac:dyDescent="0.2">
      <c r="A16" s="315" t="s">
        <v>14</v>
      </c>
      <c r="B16" s="572">
        <v>91390.040209095212</v>
      </c>
      <c r="C16" s="316">
        <v>-5214.4633353242407</v>
      </c>
      <c r="D16" s="316">
        <f t="shared" si="0"/>
        <v>86175.576873770973</v>
      </c>
      <c r="E16" s="317">
        <v>95525.820683333324</v>
      </c>
      <c r="F16" s="318">
        <f t="shared" si="1"/>
        <v>2.40233393722845E-2</v>
      </c>
      <c r="G16" s="881">
        <f>F16*'str4'!$I$52</f>
        <v>14223.234285415389</v>
      </c>
      <c r="H16" s="318">
        <f t="shared" si="2"/>
        <v>0.14889413337327087</v>
      </c>
      <c r="I16" s="1218">
        <f t="shared" si="3"/>
        <v>71952.34258835559</v>
      </c>
      <c r="J16" s="666">
        <v>-1345.9963561624199</v>
      </c>
      <c r="K16" s="571">
        <f t="shared" si="5"/>
        <v>70606.346232193173</v>
      </c>
      <c r="L16" s="880">
        <f t="shared" si="4"/>
        <v>70606.3</v>
      </c>
      <c r="N16" s="320"/>
      <c r="O16" s="321"/>
      <c r="Q16" s="356"/>
      <c r="R16" s="575"/>
    </row>
    <row r="17" spans="1:18" ht="12.75" customHeight="1" x14ac:dyDescent="0.2">
      <c r="A17" s="315" t="s">
        <v>15</v>
      </c>
      <c r="B17" s="572">
        <v>156501.45828533958</v>
      </c>
      <c r="C17" s="316">
        <v>4776.8103394322534</v>
      </c>
      <c r="D17" s="316">
        <f t="shared" si="0"/>
        <v>161278.26862477185</v>
      </c>
      <c r="E17" s="317">
        <v>210382.42086393997</v>
      </c>
      <c r="F17" s="318">
        <f t="shared" si="1"/>
        <v>5.2908085564964104E-2</v>
      </c>
      <c r="G17" s="881">
        <f>F17*'str4'!$I$52</f>
        <v>31324.708231507084</v>
      </c>
      <c r="H17" s="318">
        <f t="shared" si="2"/>
        <v>0.14889413337327087</v>
      </c>
      <c r="I17" s="1218">
        <f t="shared" si="3"/>
        <v>129953.56039326476</v>
      </c>
      <c r="J17" s="666">
        <v>-9093.4039132266389</v>
      </c>
      <c r="K17" s="571">
        <f t="shared" si="5"/>
        <v>120860.15648003813</v>
      </c>
      <c r="L17" s="880">
        <f t="shared" si="4"/>
        <v>120860.2</v>
      </c>
      <c r="N17" s="322"/>
      <c r="O17" s="323"/>
      <c r="Q17" s="356"/>
      <c r="R17" s="575"/>
    </row>
    <row r="18" spans="1:18" ht="12.75" customHeight="1" x14ac:dyDescent="0.2">
      <c r="A18" s="315" t="s">
        <v>181</v>
      </c>
      <c r="B18" s="572"/>
      <c r="C18" s="316"/>
      <c r="D18" s="316">
        <f>B18+C18</f>
        <v>0</v>
      </c>
      <c r="E18" s="317"/>
      <c r="F18" s="318">
        <f t="shared" si="1"/>
        <v>0</v>
      </c>
      <c r="G18" s="881">
        <f>F18*'str4'!$I$52</f>
        <v>0</v>
      </c>
      <c r="H18" s="318">
        <f t="shared" si="2"/>
        <v>0</v>
      </c>
      <c r="I18" s="317">
        <f t="shared" si="3"/>
        <v>0</v>
      </c>
      <c r="J18" s="666">
        <v>22000</v>
      </c>
      <c r="K18" s="571">
        <f t="shared" si="5"/>
        <v>22000</v>
      </c>
      <c r="L18" s="880">
        <f t="shared" si="4"/>
        <v>22000</v>
      </c>
      <c r="N18" s="324"/>
      <c r="O18" s="325"/>
      <c r="Q18" s="356"/>
    </row>
    <row r="19" spans="1:18" ht="12.75" customHeight="1" thickBot="1" x14ac:dyDescent="0.25">
      <c r="A19" s="315" t="s">
        <v>23</v>
      </c>
      <c r="B19" s="572"/>
      <c r="C19" s="316"/>
      <c r="D19" s="316">
        <f t="shared" si="0"/>
        <v>0</v>
      </c>
      <c r="E19" s="317"/>
      <c r="F19" s="318">
        <f t="shared" si="1"/>
        <v>0</v>
      </c>
      <c r="G19" s="881">
        <f>F19*'str4'!$I$52</f>
        <v>0</v>
      </c>
      <c r="H19" s="318">
        <f t="shared" si="2"/>
        <v>0</v>
      </c>
      <c r="I19" s="317">
        <f t="shared" si="3"/>
        <v>0</v>
      </c>
      <c r="J19" s="666">
        <v>40071.799999999996</v>
      </c>
      <c r="K19" s="571">
        <f t="shared" si="5"/>
        <v>40071.799999999996</v>
      </c>
      <c r="L19" s="880">
        <f t="shared" si="4"/>
        <v>40071.800000000003</v>
      </c>
      <c r="N19" s="326" t="s">
        <v>231</v>
      </c>
      <c r="O19" s="644">
        <f>SUM(O9:O17)</f>
        <v>592059</v>
      </c>
    </row>
    <row r="20" spans="1:18" ht="12.75" customHeight="1" x14ac:dyDescent="0.2">
      <c r="A20" s="328" t="s">
        <v>186</v>
      </c>
      <c r="B20" s="572">
        <v>35482.303645874999</v>
      </c>
      <c r="C20" s="316"/>
      <c r="D20" s="316">
        <f t="shared" si="0"/>
        <v>35482.303645874999</v>
      </c>
      <c r="E20" s="317">
        <v>378054.06662333338</v>
      </c>
      <c r="F20" s="318">
        <f t="shared" si="1"/>
        <v>9.5075039173666859E-2</v>
      </c>
      <c r="G20" s="881">
        <f>F20*'str4'!$I$52</f>
        <v>56290.03261812203</v>
      </c>
      <c r="H20" s="318">
        <f t="shared" si="2"/>
        <v>0.14889413337327087</v>
      </c>
      <c r="I20" s="317">
        <f t="shared" si="3"/>
        <v>-20807.72897224703</v>
      </c>
      <c r="J20" s="319"/>
      <c r="K20" s="588">
        <f t="shared" si="5"/>
        <v>-20807.72897224703</v>
      </c>
      <c r="L20" s="1149">
        <f t="shared" si="4"/>
        <v>-20807.7</v>
      </c>
      <c r="N20" s="330"/>
      <c r="O20" s="331"/>
    </row>
    <row r="21" spans="1:18" ht="12.75" customHeight="1" x14ac:dyDescent="0.2">
      <c r="A21" s="332" t="s">
        <v>98</v>
      </c>
      <c r="B21" s="572">
        <v>435.74212396720782</v>
      </c>
      <c r="C21" s="316"/>
      <c r="D21" s="316">
        <f t="shared" si="0"/>
        <v>435.74212396720782</v>
      </c>
      <c r="E21" s="329"/>
      <c r="F21" s="318">
        <f t="shared" si="1"/>
        <v>0</v>
      </c>
      <c r="G21" s="881">
        <f>F21*'str4'!$I$52</f>
        <v>0</v>
      </c>
      <c r="H21" s="318">
        <f t="shared" si="2"/>
        <v>0</v>
      </c>
      <c r="I21" s="329">
        <f t="shared" si="3"/>
        <v>435.74212396720782</v>
      </c>
      <c r="J21" s="319"/>
      <c r="K21" s="588">
        <f t="shared" si="5"/>
        <v>435.74212396720782</v>
      </c>
      <c r="L21" s="1149">
        <f t="shared" si="4"/>
        <v>435.7</v>
      </c>
      <c r="N21" s="330"/>
      <c r="O21" s="331"/>
    </row>
    <row r="22" spans="1:18" ht="12.75" customHeight="1" x14ac:dyDescent="0.2">
      <c r="A22" s="332" t="s">
        <v>126</v>
      </c>
      <c r="B22" s="572"/>
      <c r="C22" s="316"/>
      <c r="D22" s="316">
        <f t="shared" si="0"/>
        <v>0</v>
      </c>
      <c r="E22" s="329">
        <v>308.22989666666666</v>
      </c>
      <c r="F22" s="318">
        <f t="shared" si="1"/>
        <v>7.7515287064154354E-5</v>
      </c>
      <c r="G22" s="881">
        <f>F22*'str4'!$I$52</f>
        <v>45.893623343916161</v>
      </c>
      <c r="H22" s="318">
        <f t="shared" si="2"/>
        <v>0.14889413337327087</v>
      </c>
      <c r="I22" s="329">
        <f t="shared" si="3"/>
        <v>-45.893623343916161</v>
      </c>
      <c r="J22" s="319"/>
      <c r="K22" s="588">
        <f t="shared" si="5"/>
        <v>-45.893623343916161</v>
      </c>
      <c r="L22" s="1149">
        <f t="shared" si="4"/>
        <v>-45.9</v>
      </c>
      <c r="N22" s="330"/>
      <c r="O22" s="331"/>
    </row>
    <row r="23" spans="1:18" ht="12.75" customHeight="1" x14ac:dyDescent="0.2">
      <c r="A23" s="332" t="s">
        <v>17</v>
      </c>
      <c r="B23" s="572">
        <v>3362.3771919019005</v>
      </c>
      <c r="C23" s="316"/>
      <c r="D23" s="316">
        <f t="shared" si="0"/>
        <v>3362.3771919019005</v>
      </c>
      <c r="E23" s="329">
        <v>42361.605503333332</v>
      </c>
      <c r="F23" s="318">
        <f t="shared" si="1"/>
        <v>1.0653320935445958E-2</v>
      </c>
      <c r="G23" s="881">
        <f>F23*'str4'!$I$52</f>
        <v>6307.3945397191983</v>
      </c>
      <c r="H23" s="318">
        <f t="shared" si="2"/>
        <v>0.14889413337327087</v>
      </c>
      <c r="I23" s="329">
        <f t="shared" si="3"/>
        <v>-2945.0173478172978</v>
      </c>
      <c r="J23" s="319"/>
      <c r="K23" s="588">
        <f t="shared" si="5"/>
        <v>-2945.0173478172978</v>
      </c>
      <c r="L23" s="1149">
        <f t="shared" si="4"/>
        <v>-2945</v>
      </c>
      <c r="N23" s="330"/>
      <c r="O23" s="331"/>
    </row>
    <row r="24" spans="1:18" ht="12.75" customHeight="1" x14ac:dyDescent="0.2">
      <c r="A24" s="333" t="s">
        <v>198</v>
      </c>
      <c r="B24" s="572"/>
      <c r="C24" s="316"/>
      <c r="D24" s="316">
        <f t="shared" si="0"/>
        <v>0</v>
      </c>
      <c r="E24" s="329"/>
      <c r="F24" s="318">
        <f t="shared" si="1"/>
        <v>0</v>
      </c>
      <c r="G24" s="881">
        <f>F24*'str4'!$I$52</f>
        <v>0</v>
      </c>
      <c r="H24" s="318">
        <f t="shared" si="2"/>
        <v>0</v>
      </c>
      <c r="I24" s="329">
        <f t="shared" si="3"/>
        <v>0</v>
      </c>
      <c r="J24" s="319"/>
      <c r="K24" s="588">
        <f t="shared" si="5"/>
        <v>0</v>
      </c>
      <c r="L24" s="1149">
        <f t="shared" si="4"/>
        <v>0</v>
      </c>
      <c r="N24" s="330"/>
      <c r="O24" s="331"/>
    </row>
    <row r="25" spans="1:18" ht="12.75" customHeight="1" x14ac:dyDescent="0.2">
      <c r="A25" s="333" t="s">
        <v>201</v>
      </c>
      <c r="B25" s="572"/>
      <c r="C25" s="316"/>
      <c r="D25" s="316">
        <f t="shared" si="0"/>
        <v>0</v>
      </c>
      <c r="E25" s="329"/>
      <c r="F25" s="318">
        <f t="shared" si="1"/>
        <v>0</v>
      </c>
      <c r="G25" s="882">
        <f>F25*'str4'!$I$52</f>
        <v>0</v>
      </c>
      <c r="H25" s="318">
        <f t="shared" si="2"/>
        <v>0</v>
      </c>
      <c r="I25" s="329">
        <f t="shared" si="3"/>
        <v>0</v>
      </c>
      <c r="J25" s="319"/>
      <c r="K25" s="588">
        <f t="shared" si="5"/>
        <v>0</v>
      </c>
      <c r="L25" s="1149">
        <f t="shared" si="4"/>
        <v>0</v>
      </c>
      <c r="N25" s="334"/>
      <c r="O25" s="331"/>
    </row>
    <row r="26" spans="1:18" ht="12.75" customHeight="1" thickBot="1" x14ac:dyDescent="0.25">
      <c r="A26" s="335" t="s">
        <v>184</v>
      </c>
      <c r="B26" s="573">
        <f t="shared" ref="B26:G26" si="6">SUM(B9:B25)</f>
        <v>2319718.2259999989</v>
      </c>
      <c r="C26" s="336">
        <f t="shared" si="6"/>
        <v>0</v>
      </c>
      <c r="D26" s="336">
        <f t="shared" si="6"/>
        <v>2319718.2259999993</v>
      </c>
      <c r="E26" s="337">
        <f t="shared" si="6"/>
        <v>3976375.6071955827</v>
      </c>
      <c r="F26" s="338">
        <f t="shared" si="6"/>
        <v>1.0000000000000002</v>
      </c>
      <c r="G26" s="1148">
        <f t="shared" si="6"/>
        <v>592059.00000000012</v>
      </c>
      <c r="H26" s="338">
        <f>IF(E26=0,0,G26/E26)</f>
        <v>0.1488941333732709</v>
      </c>
      <c r="I26" s="336">
        <f t="shared" ref="I26:L26" si="7">SUM(I9:I25)</f>
        <v>1727659.226</v>
      </c>
      <c r="J26" s="339">
        <f t="shared" si="7"/>
        <v>0</v>
      </c>
      <c r="K26" s="589">
        <f t="shared" si="7"/>
        <v>1727659.2259999998</v>
      </c>
      <c r="L26" s="587">
        <f t="shared" si="7"/>
        <v>1727659.2000000004</v>
      </c>
      <c r="N26" s="340"/>
      <c r="O26" s="341"/>
      <c r="P26" s="341"/>
      <c r="Q26" s="356"/>
    </row>
    <row r="27" spans="1:18" ht="12" customHeight="1" x14ac:dyDescent="0.2">
      <c r="A27" s="342" t="s">
        <v>250</v>
      </c>
      <c r="B27" s="341"/>
      <c r="C27" s="341"/>
      <c r="D27" s="341"/>
      <c r="E27" s="341"/>
      <c r="F27" s="341"/>
      <c r="G27" s="343"/>
      <c r="H27" s="341"/>
      <c r="I27" s="1243"/>
      <c r="J27" s="341"/>
      <c r="K27" s="15"/>
      <c r="L27" s="574"/>
      <c r="N27" s="341"/>
    </row>
    <row r="28" spans="1:18" ht="12.75" customHeight="1" x14ac:dyDescent="0.2">
      <c r="A28" s="342"/>
      <c r="B28" s="341"/>
      <c r="C28" s="341"/>
      <c r="D28" s="341"/>
      <c r="E28" s="341"/>
      <c r="F28" s="341"/>
      <c r="G28" s="343"/>
      <c r="K28" s="575"/>
      <c r="L28" s="356"/>
      <c r="N28" s="341"/>
    </row>
    <row r="29" spans="1:18" ht="12.75" customHeight="1" x14ac:dyDescent="0.2">
      <c r="A29" s="15"/>
      <c r="B29" s="15"/>
      <c r="C29" s="15"/>
      <c r="D29" s="15"/>
      <c r="E29" s="15"/>
      <c r="F29" s="15"/>
      <c r="G29" s="15"/>
      <c r="I29" s="356"/>
      <c r="L29" s="575"/>
      <c r="N29" s="341"/>
    </row>
    <row r="30" spans="1:18" ht="12" thickBot="1" x14ac:dyDescent="0.25">
      <c r="A30" s="1587" t="s">
        <v>232</v>
      </c>
      <c r="B30" s="15"/>
      <c r="C30" s="15"/>
      <c r="D30" s="343"/>
      <c r="E30" s="343"/>
      <c r="F30" s="15"/>
      <c r="G30" s="15"/>
      <c r="H30" s="15"/>
      <c r="I30" s="343"/>
      <c r="J30" s="343"/>
      <c r="K30" s="343"/>
      <c r="L30" s="343"/>
      <c r="N30" s="341"/>
    </row>
    <row r="31" spans="1:18" ht="12.75" customHeight="1" x14ac:dyDescent="0.2">
      <c r="A31" s="344">
        <v>1</v>
      </c>
      <c r="B31" s="1621" t="s">
        <v>0</v>
      </c>
      <c r="C31" s="1621"/>
      <c r="D31" s="1621"/>
      <c r="E31" s="1621"/>
      <c r="F31" s="1621"/>
      <c r="G31" s="345">
        <f>'str1'!F7</f>
        <v>2319718.2259999998</v>
      </c>
      <c r="H31" s="15"/>
      <c r="I31" s="15"/>
      <c r="J31" s="15"/>
      <c r="K31" s="15"/>
      <c r="L31" s="15"/>
      <c r="N31" s="341"/>
      <c r="O31" s="341"/>
      <c r="P31" s="341"/>
    </row>
    <row r="32" spans="1:18" ht="13.5" customHeight="1" x14ac:dyDescent="0.2">
      <c r="A32" s="346">
        <v>2</v>
      </c>
      <c r="B32" s="1622" t="s">
        <v>326</v>
      </c>
      <c r="C32" s="1622"/>
      <c r="D32" s="1622"/>
      <c r="E32" s="1622"/>
      <c r="F32" s="1622"/>
      <c r="G32" s="143">
        <f>'příl.1 - cp 2020'!M7</f>
        <v>88000</v>
      </c>
      <c r="H32" s="15"/>
      <c r="I32" s="15"/>
      <c r="J32" s="15"/>
      <c r="K32" s="15"/>
      <c r="L32" s="15"/>
      <c r="M32" s="15"/>
      <c r="N32" s="341"/>
      <c r="O32" s="341"/>
      <c r="P32" s="341"/>
    </row>
    <row r="33" spans="1:16" x14ac:dyDescent="0.2">
      <c r="A33" s="346">
        <v>3</v>
      </c>
      <c r="B33" s="1622" t="s">
        <v>209</v>
      </c>
      <c r="C33" s="1622"/>
      <c r="D33" s="1622"/>
      <c r="E33" s="1622"/>
      <c r="F33" s="1622"/>
      <c r="G33" s="143">
        <f>G31-G32</f>
        <v>2231718.2259999998</v>
      </c>
      <c r="H33" s="15"/>
      <c r="I33" s="15"/>
      <c r="J33" s="15"/>
      <c r="K33" s="15"/>
      <c r="L33" s="15"/>
      <c r="M33" s="15"/>
      <c r="N33" s="341"/>
      <c r="O33" s="341"/>
      <c r="P33" s="341"/>
    </row>
    <row r="34" spans="1:16" x14ac:dyDescent="0.2">
      <c r="A34" s="346">
        <v>4</v>
      </c>
      <c r="B34" s="1622" t="s">
        <v>556</v>
      </c>
      <c r="C34" s="1622"/>
      <c r="D34" s="1622"/>
      <c r="E34" s="1622"/>
      <c r="F34" s="1622"/>
      <c r="G34" s="586">
        <f>SUM(L9:L19)+L21</f>
        <v>1751457.8000000003</v>
      </c>
      <c r="H34" s="15"/>
      <c r="I34" s="15"/>
      <c r="J34" s="15"/>
      <c r="K34" s="15"/>
      <c r="L34" s="15"/>
      <c r="M34" s="15"/>
      <c r="N34" s="341"/>
      <c r="O34" s="341"/>
      <c r="P34" s="341"/>
    </row>
    <row r="35" spans="1:16" x14ac:dyDescent="0.2">
      <c r="A35" s="346">
        <v>5</v>
      </c>
      <c r="B35" s="1622" t="s">
        <v>234</v>
      </c>
      <c r="C35" s="1622"/>
      <c r="D35" s="1622"/>
      <c r="E35" s="1622"/>
      <c r="F35" s="1622"/>
      <c r="G35" s="347">
        <f>G33-G34</f>
        <v>480260.42599999951</v>
      </c>
      <c r="H35" s="15"/>
      <c r="I35" s="15"/>
      <c r="J35" s="15"/>
      <c r="K35" s="15"/>
      <c r="L35" s="15"/>
      <c r="M35" s="15"/>
      <c r="N35" s="341"/>
      <c r="O35" s="341"/>
      <c r="P35" s="341"/>
    </row>
    <row r="36" spans="1:16" x14ac:dyDescent="0.2">
      <c r="A36" s="346">
        <v>6</v>
      </c>
      <c r="B36" s="1622" t="s">
        <v>595</v>
      </c>
      <c r="C36" s="1622"/>
      <c r="D36" s="1622"/>
      <c r="E36" s="1622"/>
      <c r="F36" s="1622"/>
      <c r="G36" s="143">
        <f>G26-G32</f>
        <v>504059.00000000012</v>
      </c>
      <c r="H36" s="15"/>
      <c r="I36" s="15"/>
      <c r="J36" s="15"/>
      <c r="K36" s="15"/>
      <c r="L36" s="15"/>
      <c r="M36" s="15"/>
      <c r="N36" s="341"/>
      <c r="O36" s="341"/>
      <c r="P36" s="341"/>
    </row>
    <row r="37" spans="1:16" x14ac:dyDescent="0.2">
      <c r="A37" s="346">
        <v>7</v>
      </c>
      <c r="B37" s="1622" t="s">
        <v>235</v>
      </c>
      <c r="C37" s="1622"/>
      <c r="D37" s="1622"/>
      <c r="E37" s="1622"/>
      <c r="F37" s="1622"/>
      <c r="G37" s="143">
        <f>G35-G36</f>
        <v>-23798.574000000604</v>
      </c>
      <c r="H37" s="15"/>
      <c r="I37" s="15"/>
      <c r="J37" s="15"/>
      <c r="K37" s="15"/>
      <c r="L37" s="15"/>
      <c r="M37" s="15"/>
      <c r="N37" s="341"/>
      <c r="O37" s="341"/>
      <c r="P37" s="341"/>
    </row>
    <row r="38" spans="1:16" x14ac:dyDescent="0.2">
      <c r="A38" s="346">
        <v>8</v>
      </c>
      <c r="B38" s="1622" t="s">
        <v>233</v>
      </c>
      <c r="C38" s="1622"/>
      <c r="D38" s="1622"/>
      <c r="E38" s="1622"/>
      <c r="F38" s="1622"/>
      <c r="G38" s="143">
        <f>'příl.1 - cp 2020'!M176</f>
        <v>111681</v>
      </c>
      <c r="H38" s="15"/>
      <c r="I38" s="15"/>
      <c r="J38" s="15"/>
      <c r="K38" s="15"/>
      <c r="L38" s="15"/>
      <c r="M38" s="15"/>
      <c r="N38" s="341"/>
      <c r="O38" s="341"/>
      <c r="P38" s="341"/>
    </row>
    <row r="39" spans="1:16" x14ac:dyDescent="0.2">
      <c r="A39" s="346">
        <v>9</v>
      </c>
      <c r="B39" s="1622" t="s">
        <v>455</v>
      </c>
      <c r="C39" s="1622"/>
      <c r="D39" s="1622"/>
      <c r="E39" s="1622"/>
      <c r="F39" s="1622"/>
      <c r="G39" s="143">
        <f>G38+G37</f>
        <v>87882.425999999396</v>
      </c>
      <c r="H39" s="15"/>
      <c r="I39" s="15"/>
      <c r="J39" s="15"/>
      <c r="K39" s="15"/>
      <c r="L39" s="15"/>
      <c r="M39" s="15"/>
      <c r="N39" s="341"/>
      <c r="O39" s="341"/>
      <c r="P39" s="341"/>
    </row>
    <row r="40" spans="1:16" ht="12" thickBot="1" x14ac:dyDescent="0.25">
      <c r="A40" s="348">
        <v>10</v>
      </c>
      <c r="B40" s="1620" t="s">
        <v>236</v>
      </c>
      <c r="C40" s="1620"/>
      <c r="D40" s="1620"/>
      <c r="E40" s="1620"/>
      <c r="F40" s="1620"/>
      <c r="G40" s="349">
        <f>-G37</f>
        <v>23798.574000000604</v>
      </c>
      <c r="H40" s="343"/>
      <c r="I40" s="15"/>
      <c r="J40" s="15"/>
      <c r="K40" s="15"/>
      <c r="L40" s="15"/>
      <c r="M40" s="15"/>
      <c r="N40" s="341"/>
      <c r="O40" s="341"/>
      <c r="P40" s="341"/>
    </row>
    <row r="41" spans="1: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341"/>
      <c r="O41" s="341"/>
      <c r="P41" s="341"/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6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52" spans="1:13" x14ac:dyDescent="0.2">
      <c r="E52" s="350"/>
    </row>
    <row r="53" spans="1:13" x14ac:dyDescent="0.2">
      <c r="E53" s="350"/>
    </row>
    <row r="54" spans="1:13" x14ac:dyDescent="0.2">
      <c r="E54" s="350"/>
    </row>
    <row r="55" spans="1:13" x14ac:dyDescent="0.2">
      <c r="E55" s="350"/>
    </row>
    <row r="56" spans="1:13" x14ac:dyDescent="0.2">
      <c r="E56" s="350"/>
    </row>
    <row r="57" spans="1:13" ht="15.75" x14ac:dyDescent="0.25">
      <c r="A57" s="351"/>
      <c r="B57" s="351"/>
      <c r="C57" s="289"/>
      <c r="D57" s="289"/>
      <c r="E57" s="290"/>
      <c r="F57" s="289"/>
      <c r="G57" s="289"/>
      <c r="H57" s="289"/>
      <c r="I57" s="289"/>
      <c r="J57" s="289"/>
      <c r="K57" s="289"/>
      <c r="L57" s="289"/>
      <c r="M57" s="289"/>
    </row>
    <row r="58" spans="1:13" x14ac:dyDescent="0.2">
      <c r="E58" s="350"/>
    </row>
    <row r="59" spans="1:13" x14ac:dyDescent="0.2">
      <c r="E59" s="350"/>
    </row>
    <row r="60" spans="1:13" x14ac:dyDescent="0.2">
      <c r="E60" s="350"/>
    </row>
    <row r="61" spans="1:13" x14ac:dyDescent="0.2">
      <c r="E61" s="350"/>
    </row>
    <row r="62" spans="1:13" x14ac:dyDescent="0.2">
      <c r="E62" s="350"/>
    </row>
    <row r="63" spans="1:13" x14ac:dyDescent="0.2">
      <c r="E63" s="350"/>
    </row>
    <row r="64" spans="1:13" x14ac:dyDescent="0.2">
      <c r="E64" s="350"/>
    </row>
    <row r="65" spans="1:5" x14ac:dyDescent="0.2">
      <c r="E65" s="350"/>
    </row>
    <row r="66" spans="1:5" x14ac:dyDescent="0.2">
      <c r="E66" s="350"/>
    </row>
    <row r="67" spans="1:5" x14ac:dyDescent="0.2">
      <c r="E67" s="350"/>
    </row>
    <row r="68" spans="1:5" x14ac:dyDescent="0.2">
      <c r="E68" s="350"/>
    </row>
    <row r="69" spans="1:5" x14ac:dyDescent="0.2">
      <c r="E69" s="350"/>
    </row>
    <row r="70" spans="1:5" x14ac:dyDescent="0.2">
      <c r="E70" s="350"/>
    </row>
    <row r="71" spans="1:5" x14ac:dyDescent="0.2">
      <c r="E71" s="350"/>
    </row>
    <row r="72" spans="1:5" x14ac:dyDescent="0.2">
      <c r="E72" s="350"/>
    </row>
    <row r="73" spans="1:5" x14ac:dyDescent="0.2">
      <c r="E73" s="350"/>
    </row>
    <row r="74" spans="1:5" x14ac:dyDescent="0.2">
      <c r="E74" s="350"/>
    </row>
    <row r="75" spans="1:5" x14ac:dyDescent="0.2">
      <c r="E75" s="350"/>
    </row>
    <row r="76" spans="1:5" x14ac:dyDescent="0.2">
      <c r="E76" s="350"/>
    </row>
    <row r="77" spans="1:5" x14ac:dyDescent="0.2">
      <c r="E77" s="350"/>
    </row>
    <row r="78" spans="1:5" ht="12.75" x14ac:dyDescent="0.2">
      <c r="A78" s="305"/>
      <c r="B78" s="305"/>
      <c r="C78" s="352"/>
      <c r="D78" s="352"/>
      <c r="E78" s="350"/>
    </row>
    <row r="79" spans="1:5" x14ac:dyDescent="0.2">
      <c r="A79" s="291"/>
      <c r="B79" s="291"/>
      <c r="C79" s="353"/>
      <c r="D79" s="353"/>
      <c r="E79" s="350"/>
    </row>
    <row r="80" spans="1:5" x14ac:dyDescent="0.2">
      <c r="A80" s="291"/>
      <c r="B80" s="291"/>
      <c r="C80" s="353"/>
      <c r="E80" s="350"/>
    </row>
    <row r="81" spans="1:13" x14ac:dyDescent="0.2">
      <c r="A81" s="352"/>
      <c r="B81" s="352"/>
      <c r="C81" s="353"/>
      <c r="E81" s="350"/>
    </row>
    <row r="82" spans="1:13" x14ac:dyDescent="0.2">
      <c r="A82" s="354"/>
      <c r="B82" s="354"/>
      <c r="C82" s="355"/>
      <c r="D82" s="355"/>
      <c r="E82" s="350"/>
      <c r="I82" s="356"/>
      <c r="J82" s="356"/>
      <c r="K82" s="356"/>
      <c r="L82" s="356"/>
      <c r="M82" s="356"/>
    </row>
    <row r="83" spans="1:13" x14ac:dyDescent="0.2">
      <c r="A83" s="354"/>
      <c r="B83" s="354"/>
      <c r="C83" s="355"/>
      <c r="D83" s="355"/>
      <c r="E83" s="350"/>
      <c r="I83" s="356"/>
      <c r="J83" s="356"/>
      <c r="K83" s="356"/>
      <c r="L83" s="356"/>
      <c r="M83" s="356"/>
    </row>
    <row r="84" spans="1:13" x14ac:dyDescent="0.2">
      <c r="A84" s="354"/>
      <c r="B84" s="354"/>
      <c r="C84" s="355"/>
      <c r="D84" s="355"/>
      <c r="E84" s="350"/>
      <c r="I84" s="356"/>
      <c r="J84" s="356"/>
      <c r="K84" s="356"/>
      <c r="L84" s="356"/>
      <c r="M84" s="356"/>
    </row>
    <row r="85" spans="1:13" x14ac:dyDescent="0.2">
      <c r="A85" s="354"/>
      <c r="B85" s="354"/>
      <c r="C85" s="355"/>
      <c r="D85" s="355"/>
      <c r="E85" s="350"/>
      <c r="I85" s="356"/>
      <c r="J85" s="356"/>
      <c r="K85" s="356"/>
      <c r="L85" s="356"/>
      <c r="M85" s="356"/>
    </row>
    <row r="86" spans="1:13" x14ac:dyDescent="0.2">
      <c r="A86" s="354"/>
      <c r="B86" s="354"/>
      <c r="C86" s="355"/>
      <c r="D86" s="355"/>
      <c r="E86" s="350"/>
      <c r="I86" s="356"/>
      <c r="J86" s="356"/>
      <c r="K86" s="356"/>
      <c r="L86" s="356"/>
      <c r="M86" s="356"/>
    </row>
    <row r="87" spans="1:13" x14ac:dyDescent="0.2">
      <c r="A87" s="354"/>
      <c r="B87" s="354"/>
      <c r="C87" s="355"/>
      <c r="D87" s="355"/>
      <c r="E87" s="350"/>
      <c r="I87" s="356"/>
      <c r="J87" s="356"/>
      <c r="K87" s="356"/>
      <c r="L87" s="356"/>
      <c r="M87" s="356"/>
    </row>
    <row r="88" spans="1:13" x14ac:dyDescent="0.2">
      <c r="A88" s="354"/>
      <c r="B88" s="354"/>
      <c r="C88" s="355"/>
      <c r="D88" s="355"/>
      <c r="E88" s="350"/>
      <c r="I88" s="356"/>
      <c r="J88" s="356"/>
      <c r="K88" s="356"/>
      <c r="L88" s="356"/>
      <c r="M88" s="356"/>
    </row>
    <row r="89" spans="1:13" x14ac:dyDescent="0.2">
      <c r="A89" s="354"/>
      <c r="B89" s="354"/>
      <c r="C89" s="355"/>
      <c r="D89" s="355"/>
      <c r="E89" s="350"/>
      <c r="F89" s="291"/>
      <c r="G89" s="291"/>
      <c r="I89" s="356"/>
      <c r="J89" s="356"/>
      <c r="K89" s="356"/>
      <c r="L89" s="356"/>
      <c r="M89" s="356"/>
    </row>
    <row r="90" spans="1:13" x14ac:dyDescent="0.2">
      <c r="A90" s="354"/>
      <c r="B90" s="354"/>
      <c r="C90" s="355"/>
      <c r="D90" s="355"/>
      <c r="E90" s="350"/>
      <c r="I90" s="356"/>
      <c r="J90" s="356"/>
      <c r="K90" s="356"/>
      <c r="L90" s="356"/>
      <c r="M90" s="356"/>
    </row>
    <row r="91" spans="1:13" x14ac:dyDescent="0.2">
      <c r="A91" s="354"/>
      <c r="B91" s="354"/>
      <c r="C91" s="355"/>
      <c r="D91" s="355"/>
      <c r="E91" s="350"/>
      <c r="I91" s="356"/>
      <c r="J91" s="356"/>
      <c r="K91" s="356"/>
      <c r="L91" s="356"/>
      <c r="M91" s="356"/>
    </row>
    <row r="92" spans="1:13" x14ac:dyDescent="0.2">
      <c r="C92" s="355"/>
      <c r="D92" s="355"/>
      <c r="E92" s="350"/>
    </row>
    <row r="93" spans="1:13" x14ac:dyDescent="0.2">
      <c r="E93" s="350"/>
    </row>
    <row r="94" spans="1:13" x14ac:dyDescent="0.2">
      <c r="E94" s="350"/>
    </row>
    <row r="108" spans="5:5" x14ac:dyDescent="0.2">
      <c r="E108" s="350"/>
    </row>
    <row r="109" spans="5:5" x14ac:dyDescent="0.2">
      <c r="E109" s="350"/>
    </row>
    <row r="110" spans="5:5" x14ac:dyDescent="0.2">
      <c r="E110" s="350"/>
    </row>
    <row r="111" spans="5:5" x14ac:dyDescent="0.2">
      <c r="E111" s="350"/>
    </row>
    <row r="112" spans="5:5" x14ac:dyDescent="0.2">
      <c r="E112" s="350"/>
    </row>
    <row r="113" spans="5:5" x14ac:dyDescent="0.2">
      <c r="E113" s="350"/>
    </row>
    <row r="114" spans="5:5" x14ac:dyDescent="0.2">
      <c r="E114" s="350"/>
    </row>
    <row r="115" spans="5:5" x14ac:dyDescent="0.2">
      <c r="E115" s="350"/>
    </row>
    <row r="116" spans="5:5" x14ac:dyDescent="0.2">
      <c r="E116" s="350"/>
    </row>
    <row r="117" spans="5:5" x14ac:dyDescent="0.2">
      <c r="E117" s="350"/>
    </row>
    <row r="118" spans="5:5" x14ac:dyDescent="0.2">
      <c r="E118" s="350"/>
    </row>
    <row r="119" spans="5:5" x14ac:dyDescent="0.2">
      <c r="E119" s="350"/>
    </row>
    <row r="120" spans="5:5" x14ac:dyDescent="0.2">
      <c r="E120" s="350"/>
    </row>
    <row r="121" spans="5:5" x14ac:dyDescent="0.2">
      <c r="E121" s="350"/>
    </row>
    <row r="122" spans="5:5" x14ac:dyDescent="0.2">
      <c r="E122" s="350"/>
    </row>
    <row r="123" spans="5:5" x14ac:dyDescent="0.2">
      <c r="E123" s="350"/>
    </row>
    <row r="124" spans="5:5" x14ac:dyDescent="0.2">
      <c r="E124" s="350"/>
    </row>
    <row r="125" spans="5:5" x14ac:dyDescent="0.2">
      <c r="E125" s="350"/>
    </row>
    <row r="126" spans="5:5" x14ac:dyDescent="0.2">
      <c r="E126" s="350"/>
    </row>
    <row r="127" spans="5:5" x14ac:dyDescent="0.2">
      <c r="E127" s="350"/>
    </row>
    <row r="128" spans="5:5" x14ac:dyDescent="0.2">
      <c r="E128" s="350"/>
    </row>
    <row r="129" spans="5:5" x14ac:dyDescent="0.2">
      <c r="E129" s="350"/>
    </row>
    <row r="130" spans="5:5" x14ac:dyDescent="0.2">
      <c r="E130" s="350"/>
    </row>
    <row r="131" spans="5:5" x14ac:dyDescent="0.2">
      <c r="E131" s="350"/>
    </row>
    <row r="132" spans="5:5" x14ac:dyDescent="0.2">
      <c r="E132" s="350"/>
    </row>
    <row r="133" spans="5:5" x14ac:dyDescent="0.2">
      <c r="E133" s="350"/>
    </row>
    <row r="134" spans="5:5" x14ac:dyDescent="0.2">
      <c r="E134" s="350"/>
    </row>
    <row r="135" spans="5:5" x14ac:dyDescent="0.2">
      <c r="E135" s="350"/>
    </row>
    <row r="136" spans="5:5" x14ac:dyDescent="0.2">
      <c r="E136" s="350"/>
    </row>
    <row r="137" spans="5:5" x14ac:dyDescent="0.2">
      <c r="E137" s="350"/>
    </row>
    <row r="138" spans="5:5" x14ac:dyDescent="0.2">
      <c r="E138" s="350"/>
    </row>
    <row r="139" spans="5:5" x14ac:dyDescent="0.2">
      <c r="E139" s="350"/>
    </row>
    <row r="140" spans="5:5" x14ac:dyDescent="0.2">
      <c r="E140" s="350"/>
    </row>
    <row r="141" spans="5:5" x14ac:dyDescent="0.2">
      <c r="E141" s="350"/>
    </row>
    <row r="142" spans="5:5" x14ac:dyDescent="0.2">
      <c r="E142" s="350"/>
    </row>
    <row r="143" spans="5:5" x14ac:dyDescent="0.2">
      <c r="E143" s="350"/>
    </row>
    <row r="144" spans="5:5" x14ac:dyDescent="0.2">
      <c r="E144" s="350"/>
    </row>
    <row r="145" spans="5:5" x14ac:dyDescent="0.2">
      <c r="E145" s="350"/>
    </row>
    <row r="146" spans="5:5" x14ac:dyDescent="0.2">
      <c r="E146" s="350"/>
    </row>
    <row r="147" spans="5:5" x14ac:dyDescent="0.2">
      <c r="E147" s="350"/>
    </row>
    <row r="148" spans="5:5" x14ac:dyDescent="0.2">
      <c r="E148" s="350"/>
    </row>
    <row r="149" spans="5:5" x14ac:dyDescent="0.2">
      <c r="E149" s="350"/>
    </row>
    <row r="150" spans="5:5" x14ac:dyDescent="0.2">
      <c r="E150" s="350"/>
    </row>
    <row r="151" spans="5:5" x14ac:dyDescent="0.2">
      <c r="E151" s="350"/>
    </row>
    <row r="152" spans="5:5" x14ac:dyDescent="0.2">
      <c r="E152" s="350"/>
    </row>
    <row r="153" spans="5:5" x14ac:dyDescent="0.2">
      <c r="E153" s="350"/>
    </row>
    <row r="154" spans="5:5" x14ac:dyDescent="0.2">
      <c r="E154" s="350"/>
    </row>
    <row r="155" spans="5:5" x14ac:dyDescent="0.2">
      <c r="E155" s="350"/>
    </row>
    <row r="156" spans="5:5" x14ac:dyDescent="0.2">
      <c r="E156" s="350"/>
    </row>
    <row r="157" spans="5:5" x14ac:dyDescent="0.2">
      <c r="E157" s="350"/>
    </row>
    <row r="158" spans="5:5" x14ac:dyDescent="0.2">
      <c r="E158" s="350"/>
    </row>
    <row r="159" spans="5:5" x14ac:dyDescent="0.2">
      <c r="E159" s="350"/>
    </row>
    <row r="160" spans="5:5" x14ac:dyDescent="0.2">
      <c r="E160" s="350"/>
    </row>
    <row r="161" spans="5:5" x14ac:dyDescent="0.2">
      <c r="E161" s="350"/>
    </row>
    <row r="162" spans="5:5" x14ac:dyDescent="0.2">
      <c r="E162" s="350"/>
    </row>
    <row r="163" spans="5:5" x14ac:dyDescent="0.2">
      <c r="E163" s="350"/>
    </row>
    <row r="164" spans="5:5" x14ac:dyDescent="0.2">
      <c r="E164" s="350"/>
    </row>
    <row r="165" spans="5:5" x14ac:dyDescent="0.2">
      <c r="E165" s="350"/>
    </row>
    <row r="166" spans="5:5" x14ac:dyDescent="0.2">
      <c r="E166" s="350"/>
    </row>
    <row r="167" spans="5:5" x14ac:dyDescent="0.2">
      <c r="E167" s="350"/>
    </row>
    <row r="168" spans="5:5" x14ac:dyDescent="0.2">
      <c r="E168" s="350"/>
    </row>
    <row r="169" spans="5:5" x14ac:dyDescent="0.2">
      <c r="E169" s="350"/>
    </row>
    <row r="170" spans="5:5" x14ac:dyDescent="0.2">
      <c r="E170" s="350"/>
    </row>
    <row r="171" spans="5:5" x14ac:dyDescent="0.2">
      <c r="E171" s="350"/>
    </row>
    <row r="172" spans="5:5" x14ac:dyDescent="0.2">
      <c r="E172" s="350"/>
    </row>
    <row r="173" spans="5:5" x14ac:dyDescent="0.2">
      <c r="E173" s="350"/>
    </row>
    <row r="174" spans="5:5" x14ac:dyDescent="0.2">
      <c r="E174" s="350"/>
    </row>
    <row r="175" spans="5:5" x14ac:dyDescent="0.2">
      <c r="E175" s="350"/>
    </row>
    <row r="176" spans="5:5" x14ac:dyDescent="0.2">
      <c r="E176" s="350"/>
    </row>
    <row r="177" spans="4:5" x14ac:dyDescent="0.2">
      <c r="E177" s="350"/>
    </row>
    <row r="178" spans="4:5" x14ac:dyDescent="0.2">
      <c r="E178" s="350"/>
    </row>
    <row r="179" spans="4:5" x14ac:dyDescent="0.2">
      <c r="E179" s="350"/>
    </row>
    <row r="180" spans="4:5" x14ac:dyDescent="0.2">
      <c r="E180" s="350"/>
    </row>
    <row r="181" spans="4:5" x14ac:dyDescent="0.2">
      <c r="E181" s="350"/>
    </row>
    <row r="182" spans="4:5" x14ac:dyDescent="0.2">
      <c r="E182" s="350"/>
    </row>
    <row r="183" spans="4:5" x14ac:dyDescent="0.2">
      <c r="E183" s="350"/>
    </row>
    <row r="184" spans="4:5" x14ac:dyDescent="0.2">
      <c r="E184" s="350"/>
    </row>
    <row r="185" spans="4:5" x14ac:dyDescent="0.2">
      <c r="E185" s="350"/>
    </row>
    <row r="186" spans="4:5" x14ac:dyDescent="0.2">
      <c r="E186" s="350"/>
    </row>
    <row r="187" spans="4:5" x14ac:dyDescent="0.2">
      <c r="D187" s="350"/>
    </row>
    <row r="188" spans="4:5" x14ac:dyDescent="0.2">
      <c r="D188" s="350"/>
    </row>
    <row r="189" spans="4:5" x14ac:dyDescent="0.2">
      <c r="D189" s="350"/>
    </row>
    <row r="190" spans="4:5" x14ac:dyDescent="0.2">
      <c r="D190" s="350"/>
    </row>
  </sheetData>
  <mergeCells count="18">
    <mergeCell ref="L5:L7"/>
    <mergeCell ref="I5:I7"/>
    <mergeCell ref="J5:J7"/>
    <mergeCell ref="B5:B7"/>
    <mergeCell ref="D5:D7"/>
    <mergeCell ref="K5:K7"/>
    <mergeCell ref="G5:G7"/>
    <mergeCell ref="C5:C7"/>
    <mergeCell ref="B40:F4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</mergeCells>
  <phoneticPr fontId="0" type="noConversion"/>
  <printOptions horizontalCentered="1" verticalCentered="1"/>
  <pageMargins left="0.27559055118110237" right="0.15748031496062992" top="0.59055118110236227" bottom="0.6692913385826772" header="0.39370078740157483" footer="0.35433070866141736"/>
  <pageSetup paperSize="9" scale="85" orientation="landscape" r:id="rId1"/>
  <headerFooter alignWithMargins="0">
    <oddHeader xml:space="preserve">&amp;R
</oddHeader>
    <oddFooter xml:space="preserve">&amp;C&amp;9 5
&amp;8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indexed="10"/>
  </sheetPr>
  <dimension ref="A1:X121"/>
  <sheetViews>
    <sheetView showGridLines="0" topLeftCell="A69" zoomScaleNormal="100" workbookViewId="0">
      <selection activeCell="G85" sqref="G85"/>
    </sheetView>
  </sheetViews>
  <sheetFormatPr defaultColWidth="11.42578125" defaultRowHeight="12.75" x14ac:dyDescent="0.2"/>
  <cols>
    <col min="1" max="1" width="4.5703125" style="1" customWidth="1"/>
    <col min="2" max="2" width="5" style="1" customWidth="1"/>
    <col min="3" max="3" width="17.5703125" style="1" customWidth="1"/>
    <col min="4" max="4" width="11.28515625" style="1" customWidth="1"/>
    <col min="5" max="5" width="10.140625" style="1" customWidth="1"/>
    <col min="6" max="6" width="9.42578125" style="1" customWidth="1"/>
    <col min="7" max="7" width="10.140625" style="1" customWidth="1"/>
    <col min="8" max="8" width="10.7109375" style="1" customWidth="1"/>
    <col min="9" max="9" width="9.28515625" style="1" customWidth="1"/>
    <col min="10" max="10" width="10.42578125" style="1" customWidth="1"/>
    <col min="11" max="11" width="11.28515625" style="1" customWidth="1"/>
    <col min="12" max="12" width="9.85546875" style="1" customWidth="1"/>
    <col min="13" max="13" width="10.28515625" style="357" customWidth="1"/>
    <col min="14" max="14" width="10" style="1" bestFit="1" customWidth="1"/>
    <col min="15" max="15" width="2.28515625" style="1" customWidth="1"/>
    <col min="16" max="17" width="8.7109375" style="1" customWidth="1"/>
    <col min="18" max="18" width="10.42578125" style="1" customWidth="1"/>
    <col min="19" max="19" width="14.140625" style="1" customWidth="1"/>
    <col min="20" max="20" width="11.85546875" style="1" customWidth="1"/>
    <col min="21" max="16384" width="11.42578125" style="1"/>
  </cols>
  <sheetData>
    <row r="1" spans="1:17" x14ac:dyDescent="0.2">
      <c r="A1" s="82" t="s">
        <v>696</v>
      </c>
      <c r="B1" s="72"/>
    </row>
    <row r="2" spans="1:17" x14ac:dyDescent="0.2">
      <c r="A2" s="72"/>
      <c r="B2" s="72"/>
      <c r="C2" s="358"/>
    </row>
    <row r="3" spans="1:17" ht="13.5" thickBot="1" x14ac:dyDescent="0.25">
      <c r="A3" s="72" t="s">
        <v>697</v>
      </c>
      <c r="B3" s="72"/>
    </row>
    <row r="4" spans="1:17" x14ac:dyDescent="0.2">
      <c r="A4" s="75"/>
      <c r="B4" s="359"/>
      <c r="C4" s="240"/>
      <c r="D4" s="1647">
        <v>2020</v>
      </c>
      <c r="E4" s="1648"/>
      <c r="F4" s="1648"/>
      <c r="G4" s="1649"/>
      <c r="H4" s="1650">
        <v>2019</v>
      </c>
      <c r="I4" s="1651"/>
      <c r="J4" s="1651"/>
      <c r="K4" s="1652"/>
      <c r="M4" s="1"/>
      <c r="N4" s="357"/>
    </row>
    <row r="5" spans="1:17" x14ac:dyDescent="0.2">
      <c r="A5" s="360"/>
      <c r="B5" s="9"/>
      <c r="C5" s="10"/>
      <c r="D5" s="541" t="s">
        <v>132</v>
      </c>
      <c r="E5" s="1653" t="s">
        <v>170</v>
      </c>
      <c r="F5" s="1653"/>
      <c r="G5" s="542" t="s">
        <v>208</v>
      </c>
      <c r="H5" s="649" t="s">
        <v>132</v>
      </c>
      <c r="I5" s="1653" t="s">
        <v>30</v>
      </c>
      <c r="J5" s="1653"/>
      <c r="K5" s="704"/>
      <c r="M5" s="1"/>
      <c r="N5" s="357"/>
    </row>
    <row r="6" spans="1:17" x14ac:dyDescent="0.2">
      <c r="A6" s="360"/>
      <c r="B6" s="9" t="s">
        <v>35</v>
      </c>
      <c r="C6" s="10"/>
      <c r="D6" s="544" t="s">
        <v>133</v>
      </c>
      <c r="E6" s="1667" t="s">
        <v>678</v>
      </c>
      <c r="F6" s="361" t="s">
        <v>64</v>
      </c>
      <c r="G6" s="545" t="s">
        <v>243</v>
      </c>
      <c r="H6" s="543" t="s">
        <v>133</v>
      </c>
      <c r="I6" s="1667" t="s">
        <v>678</v>
      </c>
      <c r="J6" s="361" t="s">
        <v>64</v>
      </c>
      <c r="K6" s="692" t="s">
        <v>103</v>
      </c>
      <c r="L6" s="133"/>
      <c r="M6" s="133"/>
      <c r="N6" s="133"/>
      <c r="O6" s="133"/>
    </row>
    <row r="7" spans="1:17" ht="13.5" thickBot="1" x14ac:dyDescent="0.25">
      <c r="A7" s="362" t="s">
        <v>33</v>
      </c>
      <c r="B7" s="363" t="s">
        <v>36</v>
      </c>
      <c r="C7" s="364"/>
      <c r="D7" s="546" t="s">
        <v>244</v>
      </c>
      <c r="E7" s="1668"/>
      <c r="F7" s="365" t="s">
        <v>16</v>
      </c>
      <c r="G7" s="366" t="s">
        <v>103</v>
      </c>
      <c r="H7" s="547" t="s">
        <v>244</v>
      </c>
      <c r="I7" s="1668"/>
      <c r="J7" s="365" t="s">
        <v>16</v>
      </c>
      <c r="K7" s="693"/>
      <c r="L7" s="133"/>
      <c r="M7" s="1"/>
      <c r="N7" s="357"/>
    </row>
    <row r="8" spans="1:17" x14ac:dyDescent="0.2">
      <c r="A8" s="367">
        <v>1</v>
      </c>
      <c r="B8" s="368">
        <v>11</v>
      </c>
      <c r="C8" s="10" t="s">
        <v>7</v>
      </c>
      <c r="D8" s="871">
        <f>SUM(E8:G8)</f>
        <v>404090.48190461996</v>
      </c>
      <c r="E8" s="377">
        <f>'str4'!D6</f>
        <v>87899.281904619929</v>
      </c>
      <c r="F8" s="369">
        <f>'str5'!L9</f>
        <v>316191.2</v>
      </c>
      <c r="G8" s="370"/>
      <c r="H8" s="371">
        <f>SUM(I8:K8)</f>
        <v>362670.1</v>
      </c>
      <c r="I8" s="372">
        <v>75750.8</v>
      </c>
      <c r="J8" s="684">
        <v>286919.3</v>
      </c>
      <c r="K8" s="694"/>
      <c r="L8" s="373"/>
      <c r="M8" s="374"/>
      <c r="N8" s="357"/>
    </row>
    <row r="9" spans="1:17" x14ac:dyDescent="0.2">
      <c r="A9" s="375">
        <v>2</v>
      </c>
      <c r="B9" s="376">
        <v>21</v>
      </c>
      <c r="C9" s="7" t="s">
        <v>8</v>
      </c>
      <c r="D9" s="870">
        <f t="shared" ref="D9:D16" si="0">SUM(E9:G9)</f>
        <v>401210.63832749025</v>
      </c>
      <c r="E9" s="391">
        <f>'str4'!D7</f>
        <v>84126.93832749025</v>
      </c>
      <c r="F9" s="391">
        <f>'str5'!L10</f>
        <v>317083.7</v>
      </c>
      <c r="G9" s="378"/>
      <c r="H9" s="379">
        <f t="shared" ref="H9:H16" si="1">SUM(I9:K9)</f>
        <v>379458.6</v>
      </c>
      <c r="I9" s="380">
        <v>74632.399999999994</v>
      </c>
      <c r="J9" s="660">
        <v>304826.2</v>
      </c>
      <c r="K9" s="695"/>
      <c r="L9" s="373"/>
      <c r="M9" s="374"/>
      <c r="N9" s="357"/>
    </row>
    <row r="10" spans="1:17" x14ac:dyDescent="0.2">
      <c r="A10" s="375">
        <v>3</v>
      </c>
      <c r="B10" s="376">
        <v>22</v>
      </c>
      <c r="C10" s="7" t="s">
        <v>9</v>
      </c>
      <c r="D10" s="870">
        <f t="shared" si="0"/>
        <v>147962.54561577726</v>
      </c>
      <c r="E10" s="381">
        <f>'str4'!D8</f>
        <v>31753.645615777277</v>
      </c>
      <c r="F10" s="381">
        <f>'str5'!L11</f>
        <v>116208.9</v>
      </c>
      <c r="G10" s="378"/>
      <c r="H10" s="379">
        <f t="shared" si="1"/>
        <v>139276.9</v>
      </c>
      <c r="I10" s="380">
        <v>26143.8</v>
      </c>
      <c r="J10" s="660">
        <v>113133.1</v>
      </c>
      <c r="K10" s="695"/>
      <c r="L10" s="373"/>
      <c r="M10" s="374"/>
      <c r="N10" s="357"/>
    </row>
    <row r="11" spans="1:17" x14ac:dyDescent="0.2">
      <c r="A11" s="375">
        <v>4</v>
      </c>
      <c r="B11" s="376">
        <v>23</v>
      </c>
      <c r="C11" s="7" t="s">
        <v>10</v>
      </c>
      <c r="D11" s="870">
        <f t="shared" si="0"/>
        <v>187591.52072649536</v>
      </c>
      <c r="E11" s="381">
        <f>'str4'!D9</f>
        <v>54373.120726495377</v>
      </c>
      <c r="F11" s="381">
        <f>'str5'!L12</f>
        <v>133218.4</v>
      </c>
      <c r="G11" s="378"/>
      <c r="H11" s="379">
        <f t="shared" si="1"/>
        <v>166686.39999999999</v>
      </c>
      <c r="I11" s="380">
        <v>40034.5</v>
      </c>
      <c r="J11" s="660">
        <v>126651.9</v>
      </c>
      <c r="K11" s="695"/>
      <c r="L11" s="373"/>
      <c r="M11" s="374"/>
      <c r="N11" s="357"/>
    </row>
    <row r="12" spans="1:17" x14ac:dyDescent="0.2">
      <c r="A12" s="375">
        <v>5</v>
      </c>
      <c r="B12" s="376">
        <v>31</v>
      </c>
      <c r="C12" s="7" t="s">
        <v>11</v>
      </c>
      <c r="D12" s="870">
        <f t="shared" si="0"/>
        <v>605367.0677645884</v>
      </c>
      <c r="E12" s="585">
        <f>'str4'!D10</f>
        <v>301958.16776458832</v>
      </c>
      <c r="F12" s="585">
        <f>'str5'!L13</f>
        <v>303408.90000000002</v>
      </c>
      <c r="G12" s="378"/>
      <c r="H12" s="379">
        <f t="shared" si="1"/>
        <v>568958.1</v>
      </c>
      <c r="I12" s="380">
        <v>274096.09999999998</v>
      </c>
      <c r="J12" s="660">
        <v>294862</v>
      </c>
      <c r="K12" s="695"/>
      <c r="L12" s="373"/>
      <c r="M12" s="374"/>
      <c r="N12" s="357"/>
    </row>
    <row r="13" spans="1:17" x14ac:dyDescent="0.2">
      <c r="A13" s="375">
        <v>6</v>
      </c>
      <c r="B13" s="376">
        <v>33</v>
      </c>
      <c r="C13" s="7" t="s">
        <v>12</v>
      </c>
      <c r="D13" s="870">
        <f t="shared" si="0"/>
        <v>165079.96311955937</v>
      </c>
      <c r="E13" s="381">
        <f>'str4'!D11</f>
        <v>52975.863119559363</v>
      </c>
      <c r="F13" s="381">
        <f>'str5'!L14</f>
        <v>112104.1</v>
      </c>
      <c r="G13" s="378"/>
      <c r="H13" s="379">
        <f t="shared" si="1"/>
        <v>156007.20000000001</v>
      </c>
      <c r="I13" s="380">
        <v>46326</v>
      </c>
      <c r="J13" s="660">
        <v>109681.2</v>
      </c>
      <c r="K13" s="695"/>
      <c r="L13" s="373"/>
      <c r="M13" s="374"/>
      <c r="N13" s="357"/>
    </row>
    <row r="14" spans="1:17" x14ac:dyDescent="0.2">
      <c r="A14" s="375">
        <v>7</v>
      </c>
      <c r="B14" s="376">
        <v>41</v>
      </c>
      <c r="C14" s="7" t="s">
        <v>13</v>
      </c>
      <c r="D14" s="870">
        <f t="shared" si="0"/>
        <v>234110.44292217225</v>
      </c>
      <c r="E14" s="585">
        <f>'str4'!D12</f>
        <v>34841.842922172254</v>
      </c>
      <c r="F14" s="585">
        <f>'str5'!L15</f>
        <v>199268.6</v>
      </c>
      <c r="G14" s="378"/>
      <c r="H14" s="379">
        <f t="shared" si="1"/>
        <v>209016.5</v>
      </c>
      <c r="I14" s="380">
        <v>29592.5</v>
      </c>
      <c r="J14" s="660">
        <v>179424</v>
      </c>
      <c r="K14" s="695"/>
      <c r="L14" s="373"/>
      <c r="M14" s="374"/>
      <c r="N14" s="357"/>
    </row>
    <row r="15" spans="1:17" x14ac:dyDescent="0.2">
      <c r="A15" s="375">
        <v>8</v>
      </c>
      <c r="B15" s="376">
        <v>51</v>
      </c>
      <c r="C15" s="7" t="s">
        <v>211</v>
      </c>
      <c r="D15" s="870">
        <f t="shared" si="0"/>
        <v>100674.58521636088</v>
      </c>
      <c r="E15" s="535">
        <f>'str4'!D13</f>
        <v>8068.2852163608832</v>
      </c>
      <c r="F15" s="381">
        <f>'str5'!L16+'str5'!L18</f>
        <v>92606.3</v>
      </c>
      <c r="G15" s="378"/>
      <c r="H15" s="379">
        <f t="shared" si="1"/>
        <v>93854.5</v>
      </c>
      <c r="I15" s="380">
        <v>4503.7</v>
      </c>
      <c r="J15" s="660">
        <v>89350.8</v>
      </c>
      <c r="K15" s="695"/>
      <c r="L15" s="373"/>
      <c r="M15" s="374"/>
      <c r="N15" s="73"/>
      <c r="P15" s="73"/>
      <c r="Q15" s="73"/>
    </row>
    <row r="16" spans="1:17" x14ac:dyDescent="0.2">
      <c r="A16" s="736">
        <v>9</v>
      </c>
      <c r="B16" s="382">
        <v>56</v>
      </c>
      <c r="C16" s="8" t="s">
        <v>15</v>
      </c>
      <c r="D16" s="872">
        <f t="shared" si="0"/>
        <v>144381.2393411301</v>
      </c>
      <c r="E16" s="737">
        <f>'str4'!D14</f>
        <v>23521.039341130112</v>
      </c>
      <c r="F16" s="539">
        <f>'str5'!L17</f>
        <v>120860.2</v>
      </c>
      <c r="G16" s="383"/>
      <c r="H16" s="384">
        <f t="shared" si="1"/>
        <v>132945.70000000001</v>
      </c>
      <c r="I16" s="372">
        <v>15987.1</v>
      </c>
      <c r="J16" s="685">
        <v>116958.6</v>
      </c>
      <c r="K16" s="696"/>
      <c r="L16" s="373"/>
      <c r="M16" s="374"/>
      <c r="N16" s="73"/>
    </row>
    <row r="17" spans="1:17" s="608" customFormat="1" x14ac:dyDescent="0.2">
      <c r="A17" s="738">
        <v>10</v>
      </c>
      <c r="B17" s="739" t="s">
        <v>37</v>
      </c>
      <c r="C17" s="740"/>
      <c r="D17" s="612">
        <f t="shared" ref="D17:J17" si="2">SUM(D8:D16)</f>
        <v>2390468.484938194</v>
      </c>
      <c r="E17" s="741">
        <f t="shared" si="2"/>
        <v>679518.18493819376</v>
      </c>
      <c r="F17" s="742">
        <f t="shared" si="2"/>
        <v>1710950.3000000003</v>
      </c>
      <c r="G17" s="743">
        <f t="shared" si="2"/>
        <v>0</v>
      </c>
      <c r="H17" s="744">
        <f t="shared" si="2"/>
        <v>2208874</v>
      </c>
      <c r="I17" s="745">
        <f t="shared" si="2"/>
        <v>587066.89999999991</v>
      </c>
      <c r="J17" s="443">
        <f t="shared" si="2"/>
        <v>1621807.1</v>
      </c>
      <c r="K17" s="714">
        <v>0</v>
      </c>
      <c r="L17" s="606"/>
      <c r="M17" s="606"/>
      <c r="N17" s="607"/>
    </row>
    <row r="18" spans="1:17" s="72" customFormat="1" x14ac:dyDescent="0.2">
      <c r="A18" s="387">
        <v>11</v>
      </c>
      <c r="B18" s="388">
        <v>71</v>
      </c>
      <c r="C18" s="6" t="s">
        <v>186</v>
      </c>
      <c r="D18" s="389">
        <f>SUM(E18:G18)</f>
        <v>121125.37366406241</v>
      </c>
      <c r="E18" s="390">
        <f>'str4'!D16</f>
        <v>121125.37366406241</v>
      </c>
      <c r="F18" s="391"/>
      <c r="G18" s="392"/>
      <c r="H18" s="384">
        <f>SUM(I18:K18)</f>
        <v>100878.8</v>
      </c>
      <c r="I18" s="390">
        <v>100878.8</v>
      </c>
      <c r="J18" s="686"/>
      <c r="K18" s="697"/>
      <c r="L18" s="263"/>
      <c r="M18" s="263"/>
      <c r="N18" s="386"/>
    </row>
    <row r="19" spans="1:17" s="72" customFormat="1" x14ac:dyDescent="0.2">
      <c r="A19" s="387">
        <v>12</v>
      </c>
      <c r="B19" s="388">
        <v>79</v>
      </c>
      <c r="C19" s="6" t="s">
        <v>252</v>
      </c>
      <c r="D19" s="389"/>
      <c r="E19" s="390"/>
      <c r="F19" s="391"/>
      <c r="G19" s="392"/>
      <c r="H19" s="379"/>
      <c r="I19" s="390"/>
      <c r="J19" s="686"/>
      <c r="K19" s="697"/>
      <c r="L19" s="263"/>
      <c r="M19" s="263"/>
      <c r="N19" s="386"/>
    </row>
    <row r="20" spans="1:17" x14ac:dyDescent="0.2">
      <c r="A20" s="375">
        <v>13</v>
      </c>
      <c r="B20" s="376">
        <v>81</v>
      </c>
      <c r="C20" s="7" t="s">
        <v>68</v>
      </c>
      <c r="D20" s="389">
        <f t="shared" ref="D20:D29" si="3">SUM(E20:G20)</f>
        <v>0</v>
      </c>
      <c r="E20" s="380"/>
      <c r="F20" s="381"/>
      <c r="G20" s="393"/>
      <c r="H20" s="379">
        <f t="shared" ref="H20:H30" si="4">SUM(I20:K20)</f>
        <v>0</v>
      </c>
      <c r="I20" s="380"/>
      <c r="J20" s="660"/>
      <c r="K20" s="434"/>
      <c r="L20" s="73"/>
      <c r="M20" s="73"/>
      <c r="N20" s="357"/>
    </row>
    <row r="21" spans="1:17" x14ac:dyDescent="0.2">
      <c r="A21" s="387">
        <v>14</v>
      </c>
      <c r="B21" s="376">
        <v>82</v>
      </c>
      <c r="C21" s="7" t="s">
        <v>1</v>
      </c>
      <c r="D21" s="389">
        <f t="shared" si="3"/>
        <v>0</v>
      </c>
      <c r="E21" s="380"/>
      <c r="F21" s="381"/>
      <c r="G21" s="393"/>
      <c r="H21" s="379">
        <f t="shared" si="4"/>
        <v>0</v>
      </c>
      <c r="I21" s="380"/>
      <c r="J21" s="660"/>
      <c r="K21" s="434"/>
      <c r="M21" s="1"/>
      <c r="N21" s="357"/>
    </row>
    <row r="22" spans="1:17" x14ac:dyDescent="0.2">
      <c r="A22" s="387">
        <v>15</v>
      </c>
      <c r="B22" s="376">
        <v>83</v>
      </c>
      <c r="C22" s="7" t="s">
        <v>79</v>
      </c>
      <c r="D22" s="389">
        <f t="shared" si="3"/>
        <v>6500</v>
      </c>
      <c r="E22" s="380"/>
      <c r="F22" s="381">
        <f>'příl.1 - cp 2020'!M169</f>
        <v>6500</v>
      </c>
      <c r="G22" s="393"/>
      <c r="H22" s="379">
        <f t="shared" si="4"/>
        <v>6000</v>
      </c>
      <c r="I22" s="380"/>
      <c r="J22" s="687">
        <v>6000</v>
      </c>
      <c r="K22" s="698"/>
      <c r="M22" s="1"/>
      <c r="N22" s="357"/>
      <c r="P22" s="73"/>
      <c r="Q22" s="73"/>
    </row>
    <row r="23" spans="1:17" x14ac:dyDescent="0.2">
      <c r="A23" s="375">
        <v>16</v>
      </c>
      <c r="B23" s="368">
        <v>84</v>
      </c>
      <c r="C23" s="118" t="s">
        <v>78</v>
      </c>
      <c r="D23" s="389">
        <f t="shared" si="3"/>
        <v>580.79999999999995</v>
      </c>
      <c r="E23" s="380">
        <f>'str4'!D17</f>
        <v>580.79999999999995</v>
      </c>
      <c r="F23" s="381">
        <f>'příl.1 - cp 2020'!M170</f>
        <v>0</v>
      </c>
      <c r="G23" s="393"/>
      <c r="H23" s="379">
        <f t="shared" si="4"/>
        <v>1580.8</v>
      </c>
      <c r="I23" s="380">
        <v>580.79999999999995</v>
      </c>
      <c r="J23" s="687">
        <v>1000</v>
      </c>
      <c r="K23" s="698"/>
      <c r="M23" s="1"/>
      <c r="N23" s="357"/>
    </row>
    <row r="24" spans="1:17" x14ac:dyDescent="0.2">
      <c r="A24" s="387">
        <v>17</v>
      </c>
      <c r="B24" s="548">
        <v>85</v>
      </c>
      <c r="C24" s="549" t="s">
        <v>98</v>
      </c>
      <c r="D24" s="389">
        <f t="shared" si="3"/>
        <v>2228.6999999999998</v>
      </c>
      <c r="E24" s="380">
        <f>'str4'!D18</f>
        <v>1793</v>
      </c>
      <c r="F24" s="381">
        <f>'str4'!C18</f>
        <v>435.7</v>
      </c>
      <c r="G24" s="393"/>
      <c r="H24" s="379">
        <f t="shared" si="4"/>
        <v>2535.8000000000002</v>
      </c>
      <c r="I24" s="380">
        <v>1793</v>
      </c>
      <c r="J24" s="688">
        <v>742.8</v>
      </c>
      <c r="K24" s="699"/>
      <c r="M24" s="1"/>
      <c r="N24" s="357"/>
    </row>
    <row r="25" spans="1:17" x14ac:dyDescent="0.2">
      <c r="A25" s="387">
        <v>18</v>
      </c>
      <c r="B25" s="548">
        <v>87</v>
      </c>
      <c r="C25" s="549" t="s">
        <v>126</v>
      </c>
      <c r="D25" s="389">
        <f t="shared" si="3"/>
        <v>7918.6</v>
      </c>
      <c r="E25" s="380">
        <f>'str4'!D19</f>
        <v>18.600000000000001</v>
      </c>
      <c r="F25" s="381">
        <f>'příl.1 - cp 2020'!M172</f>
        <v>7900</v>
      </c>
      <c r="G25" s="393"/>
      <c r="H25" s="379">
        <f t="shared" si="4"/>
        <v>7918.6</v>
      </c>
      <c r="I25" s="380">
        <v>18.600000000000001</v>
      </c>
      <c r="J25" s="688">
        <v>7900</v>
      </c>
      <c r="K25" s="699"/>
      <c r="M25" s="1"/>
      <c r="N25" s="357"/>
    </row>
    <row r="26" spans="1:17" x14ac:dyDescent="0.2">
      <c r="A26" s="375">
        <v>19</v>
      </c>
      <c r="B26" s="548">
        <v>92</v>
      </c>
      <c r="C26" s="549" t="s">
        <v>17</v>
      </c>
      <c r="D26" s="399">
        <f t="shared" si="3"/>
        <v>122103.08539774375</v>
      </c>
      <c r="E26" s="380">
        <f>'str4'!D20</f>
        <v>9151.0853977437546</v>
      </c>
      <c r="F26" s="381">
        <f>'příl.1 - cp 2020'!M173</f>
        <v>112952</v>
      </c>
      <c r="G26" s="393"/>
      <c r="H26" s="379">
        <f t="shared" si="4"/>
        <v>115186.2</v>
      </c>
      <c r="I26" s="380">
        <v>5136.2</v>
      </c>
      <c r="J26" s="688">
        <v>110050</v>
      </c>
      <c r="K26" s="699"/>
      <c r="M26" s="1"/>
      <c r="N26" s="357"/>
    </row>
    <row r="27" spans="1:17" x14ac:dyDescent="0.2">
      <c r="A27" s="387">
        <v>20</v>
      </c>
      <c r="B27" s="548">
        <v>96</v>
      </c>
      <c r="C27" s="549" t="s">
        <v>23</v>
      </c>
      <c r="D27" s="389">
        <f t="shared" si="3"/>
        <v>40968.999999999993</v>
      </c>
      <c r="E27" s="380">
        <f>'str4'!D21</f>
        <v>897.2</v>
      </c>
      <c r="F27" s="381">
        <f>'str5'!J19</f>
        <v>40071.799999999996</v>
      </c>
      <c r="G27" s="393"/>
      <c r="H27" s="379">
        <f t="shared" si="4"/>
        <v>39096.799999999996</v>
      </c>
      <c r="I27" s="380">
        <v>897.2</v>
      </c>
      <c r="J27" s="660">
        <v>38199.599999999999</v>
      </c>
      <c r="K27" s="434"/>
      <c r="M27" s="1"/>
      <c r="N27" s="357"/>
    </row>
    <row r="28" spans="1:17" x14ac:dyDescent="0.2">
      <c r="A28" s="387">
        <v>21</v>
      </c>
      <c r="B28" s="548">
        <v>97</v>
      </c>
      <c r="C28" s="549" t="s">
        <v>24</v>
      </c>
      <c r="D28" s="389">
        <f t="shared" si="3"/>
        <v>12150</v>
      </c>
      <c r="E28" s="380"/>
      <c r="F28" s="381">
        <f>'příl.1 - cp 2020'!M175</f>
        <v>12150</v>
      </c>
      <c r="G28" s="393"/>
      <c r="H28" s="379">
        <f t="shared" si="4"/>
        <v>11650</v>
      </c>
      <c r="I28" s="380"/>
      <c r="J28" s="660">
        <v>11650</v>
      </c>
      <c r="K28" s="434"/>
      <c r="M28" s="1"/>
      <c r="N28" s="357"/>
    </row>
    <row r="29" spans="1:17" x14ac:dyDescent="0.2">
      <c r="A29" s="736">
        <v>22</v>
      </c>
      <c r="B29" s="746">
        <v>99</v>
      </c>
      <c r="C29" s="747" t="s">
        <v>18</v>
      </c>
      <c r="D29" s="609">
        <f t="shared" si="3"/>
        <v>183951</v>
      </c>
      <c r="E29" s="748">
        <f>'str4'!D22</f>
        <v>72270</v>
      </c>
      <c r="F29" s="646">
        <f>'příl.1 - cp 2020'!M176-'str5'!G40</f>
        <v>87882.425999999396</v>
      </c>
      <c r="G29" s="749">
        <f>'str5'!G40</f>
        <v>23798.574000000604</v>
      </c>
      <c r="H29" s="384">
        <f t="shared" si="4"/>
        <v>162701</v>
      </c>
      <c r="I29" s="748">
        <v>58700</v>
      </c>
      <c r="J29" s="749">
        <v>88161.723824239569</v>
      </c>
      <c r="K29" s="452">
        <v>15839.276175760431</v>
      </c>
      <c r="L29" s="73"/>
      <c r="M29" s="1"/>
      <c r="N29" s="357"/>
    </row>
    <row r="30" spans="1:17" s="608" customFormat="1" x14ac:dyDescent="0.2">
      <c r="A30" s="752">
        <v>23</v>
      </c>
      <c r="B30" s="740" t="s">
        <v>306</v>
      </c>
      <c r="C30" s="740"/>
      <c r="D30" s="612">
        <f>SUM(D18:D29)</f>
        <v>497526.55906180618</v>
      </c>
      <c r="E30" s="677">
        <f>SUM(E18:E29)</f>
        <v>205836.05906180618</v>
      </c>
      <c r="F30" s="635">
        <f>SUM(F22:F29)</f>
        <v>267891.9259999994</v>
      </c>
      <c r="G30" s="636">
        <f>SUM(G18:G29)</f>
        <v>23798.574000000604</v>
      </c>
      <c r="H30" s="753">
        <f t="shared" si="4"/>
        <v>447548</v>
      </c>
      <c r="I30" s="754">
        <f>SUM(I18:I29)</f>
        <v>168004.6</v>
      </c>
      <c r="J30" s="755">
        <f>SUM(J18:J29)</f>
        <v>263704.12382423959</v>
      </c>
      <c r="K30" s="444">
        <f>SUM(K29)</f>
        <v>15839.276175760431</v>
      </c>
      <c r="L30" s="606"/>
      <c r="M30" s="455"/>
      <c r="N30" s="607"/>
    </row>
    <row r="31" spans="1:17" x14ac:dyDescent="0.2">
      <c r="A31" s="396">
        <v>24</v>
      </c>
      <c r="B31" s="397" t="s">
        <v>237</v>
      </c>
      <c r="C31" s="397"/>
      <c r="D31" s="389">
        <f>SUM(E31:G31)</f>
        <v>114220</v>
      </c>
      <c r="E31" s="390"/>
      <c r="F31" s="391">
        <f>'příl.1 - cp 2020'!M6</f>
        <v>114220</v>
      </c>
      <c r="G31" s="392"/>
      <c r="H31" s="750">
        <f>SUM(I31:K31)</f>
        <v>114130</v>
      </c>
      <c r="I31" s="390"/>
      <c r="J31" s="686">
        <v>114130</v>
      </c>
      <c r="K31" s="751"/>
      <c r="M31" s="73"/>
      <c r="N31" s="357"/>
      <c r="Q31" s="608"/>
    </row>
    <row r="32" spans="1:17" x14ac:dyDescent="0.2">
      <c r="A32" s="242">
        <v>25</v>
      </c>
      <c r="B32" s="398" t="s">
        <v>238</v>
      </c>
      <c r="C32" s="398"/>
      <c r="D32" s="389">
        <f>SUM(E32:G32)</f>
        <v>211656</v>
      </c>
      <c r="E32" s="380"/>
      <c r="F32" s="381">
        <f>'příl.1 - cp 2020'!M27-'příl.1 - cp 2020'!M92</f>
        <v>211656</v>
      </c>
      <c r="G32" s="393"/>
      <c r="H32" s="379">
        <f>SUM(I32:K32)</f>
        <v>197103</v>
      </c>
      <c r="I32" s="380"/>
      <c r="J32" s="660">
        <v>197103</v>
      </c>
      <c r="K32" s="700"/>
      <c r="M32" s="1"/>
      <c r="N32" s="357"/>
      <c r="Q32" s="608"/>
    </row>
    <row r="33" spans="1:21" x14ac:dyDescent="0.2">
      <c r="A33" s="5">
        <v>26</v>
      </c>
      <c r="B33" s="400" t="s">
        <v>32</v>
      </c>
      <c r="C33" s="400"/>
      <c r="D33" s="389">
        <f>SUM(E33:G33)</f>
        <v>15000</v>
      </c>
      <c r="E33" s="401"/>
      <c r="F33" s="402">
        <f>'příl.1 - cp 2020'!M92</f>
        <v>15000</v>
      </c>
      <c r="G33" s="403"/>
      <c r="H33" s="384">
        <f>SUM(I33:K33)</f>
        <v>15000</v>
      </c>
      <c r="I33" s="611"/>
      <c r="J33" s="689">
        <v>15000</v>
      </c>
      <c r="K33" s="701"/>
      <c r="M33" s="1"/>
      <c r="N33" s="357"/>
      <c r="Q33" s="608"/>
    </row>
    <row r="34" spans="1:21" ht="13.5" thickBot="1" x14ac:dyDescent="0.25">
      <c r="A34" s="3">
        <v>27</v>
      </c>
      <c r="B34" s="10" t="s">
        <v>460</v>
      </c>
      <c r="C34" s="10"/>
      <c r="D34" s="609">
        <f>SUM(D31:D33)</f>
        <v>340876</v>
      </c>
      <c r="E34" s="610">
        <f t="shared" ref="E34:K34" si="5">SUM(E31:E33)</f>
        <v>0</v>
      </c>
      <c r="F34" s="610">
        <f>SUM(F31:F33)</f>
        <v>340876</v>
      </c>
      <c r="G34" s="610">
        <f t="shared" si="5"/>
        <v>0</v>
      </c>
      <c r="H34" s="652">
        <f t="shared" si="5"/>
        <v>326233</v>
      </c>
      <c r="I34" s="653">
        <f t="shared" si="5"/>
        <v>0</v>
      </c>
      <c r="J34" s="690">
        <f t="shared" si="5"/>
        <v>326233</v>
      </c>
      <c r="K34" s="702">
        <f t="shared" si="5"/>
        <v>0</v>
      </c>
      <c r="L34" s="73"/>
      <c r="M34" s="1"/>
      <c r="N34" s="357"/>
      <c r="Q34" s="608"/>
    </row>
    <row r="35" spans="1:21" s="455" customFormat="1" ht="13.5" thickBot="1" x14ac:dyDescent="0.25">
      <c r="A35" s="604">
        <v>28</v>
      </c>
      <c r="B35" s="605" t="s">
        <v>569</v>
      </c>
      <c r="C35" s="605"/>
      <c r="D35" s="385">
        <f t="shared" ref="D35:K35" si="6">D34+D30+D17</f>
        <v>3228871.0440000002</v>
      </c>
      <c r="E35" s="654">
        <f t="shared" si="6"/>
        <v>885354.24399999995</v>
      </c>
      <c r="F35" s="651">
        <f>F34+F30+F17</f>
        <v>2319718.2259999998</v>
      </c>
      <c r="G35" s="650">
        <f t="shared" si="6"/>
        <v>23798.574000000604</v>
      </c>
      <c r="H35" s="655">
        <f t="shared" si="6"/>
        <v>2982655</v>
      </c>
      <c r="I35" s="656">
        <f t="shared" si="6"/>
        <v>755071.49999999988</v>
      </c>
      <c r="J35" s="691">
        <f t="shared" si="6"/>
        <v>2211744.2238242398</v>
      </c>
      <c r="K35" s="703">
        <f t="shared" si="6"/>
        <v>15839.276175760431</v>
      </c>
      <c r="L35" s="559"/>
      <c r="M35" s="559"/>
      <c r="N35" s="560"/>
      <c r="O35" s="559"/>
      <c r="Q35" s="608"/>
    </row>
    <row r="36" spans="1:21" s="531" customFormat="1" hidden="1" x14ac:dyDescent="0.2">
      <c r="D36" s="531" t="s">
        <v>466</v>
      </c>
      <c r="E36" s="550">
        <f>'str1'!F8</f>
        <v>885354.28799999994</v>
      </c>
      <c r="F36" s="550">
        <f>'str1'!F7</f>
        <v>2319718.2259999998</v>
      </c>
      <c r="H36" s="550"/>
      <c r="I36" s="550"/>
      <c r="J36" s="550"/>
      <c r="Q36" s="608"/>
    </row>
    <row r="37" spans="1:21" s="531" customFormat="1" ht="15" hidden="1" x14ac:dyDescent="0.2">
      <c r="A37" s="551"/>
      <c r="D37" s="531" t="s">
        <v>467</v>
      </c>
      <c r="F37" s="550">
        <f>F36-F32-F33</f>
        <v>2093062.2259999998</v>
      </c>
      <c r="H37" s="550"/>
      <c r="I37" s="550"/>
      <c r="Q37" s="608"/>
    </row>
    <row r="38" spans="1:21" s="531" customFormat="1" ht="15" hidden="1" x14ac:dyDescent="0.2">
      <c r="A38" s="551"/>
      <c r="D38" s="550" t="s">
        <v>210</v>
      </c>
      <c r="E38" s="550">
        <f>E36+F36-'str1'!F9</f>
        <v>0</v>
      </c>
      <c r="F38" s="550"/>
      <c r="H38" s="550"/>
      <c r="I38" s="550"/>
      <c r="Q38" s="608"/>
    </row>
    <row r="39" spans="1:21" ht="13.5" customHeight="1" x14ac:dyDescent="0.2">
      <c r="A39" s="407"/>
      <c r="D39" s="73"/>
      <c r="E39" s="648"/>
      <c r="F39" s="846">
        <f>E35+F35+G35</f>
        <v>3228871.0440000002</v>
      </c>
      <c r="G39" s="845"/>
      <c r="H39" s="73"/>
      <c r="I39" s="648"/>
      <c r="J39" s="846">
        <f>I35+J35+K35</f>
        <v>2982655</v>
      </c>
      <c r="K39" s="845"/>
      <c r="Q39" s="608"/>
    </row>
    <row r="40" spans="1:21" x14ac:dyDescent="0.2">
      <c r="D40" s="73"/>
      <c r="E40" s="1665">
        <f>SUM(E35:F35)</f>
        <v>3205072.4699999997</v>
      </c>
      <c r="F40" s="1666"/>
      <c r="G40" s="875">
        <f>E40-'str1'!F9</f>
        <v>-4.3999999761581421E-2</v>
      </c>
      <c r="H40" s="408"/>
      <c r="I40" s="1665">
        <f>SUM(I35:J35)</f>
        <v>2966815.7238242398</v>
      </c>
      <c r="J40" s="1666"/>
    </row>
    <row r="41" spans="1:21" ht="11.25" customHeight="1" x14ac:dyDescent="0.2">
      <c r="C41" s="73"/>
      <c r="D41" s="73"/>
      <c r="E41" s="73"/>
    </row>
    <row r="42" spans="1:21" ht="17.25" customHeight="1" thickBot="1" x14ac:dyDescent="0.25">
      <c r="A42" s="72" t="s">
        <v>698</v>
      </c>
      <c r="O42" s="73"/>
      <c r="P42" s="73"/>
      <c r="Q42" s="73"/>
    </row>
    <row r="43" spans="1:21" ht="12.75" customHeight="1" x14ac:dyDescent="0.2">
      <c r="A43" s="75"/>
      <c r="B43" s="359"/>
      <c r="C43" s="240"/>
      <c r="D43" s="1647" t="s">
        <v>665</v>
      </c>
      <c r="E43" s="1648"/>
      <c r="F43" s="1648"/>
      <c r="G43" s="1663"/>
      <c r="H43" s="1663"/>
      <c r="I43" s="1663"/>
      <c r="J43" s="1664"/>
      <c r="K43" s="1662" t="s">
        <v>589</v>
      </c>
      <c r="L43" s="1663"/>
      <c r="M43" s="1663"/>
      <c r="N43" s="1664"/>
      <c r="O43" s="73"/>
      <c r="R43" s="73"/>
      <c r="S43" s="73"/>
      <c r="T43" s="73"/>
      <c r="U43" s="73"/>
    </row>
    <row r="44" spans="1:21" ht="13.5" customHeight="1" x14ac:dyDescent="0.2">
      <c r="A44" s="360"/>
      <c r="B44" s="9"/>
      <c r="C44" s="10"/>
      <c r="D44" s="544" t="s">
        <v>132</v>
      </c>
      <c r="E44" s="1661" t="s">
        <v>169</v>
      </c>
      <c r="F44" s="1653"/>
      <c r="G44" s="1653"/>
      <c r="H44" s="1653"/>
      <c r="I44" s="1653"/>
      <c r="J44" s="552" t="s">
        <v>241</v>
      </c>
      <c r="K44" s="553" t="s">
        <v>132</v>
      </c>
      <c r="L44" s="1661" t="s">
        <v>30</v>
      </c>
      <c r="M44" s="1653"/>
      <c r="N44" s="1673"/>
      <c r="O44" s="73"/>
      <c r="R44" s="73"/>
      <c r="S44" s="73"/>
      <c r="T44" s="73"/>
      <c r="U44" s="73"/>
    </row>
    <row r="45" spans="1:21" ht="13.5" customHeight="1" x14ac:dyDescent="0.2">
      <c r="A45" s="360"/>
      <c r="B45" s="9" t="s">
        <v>35</v>
      </c>
      <c r="C45" s="10"/>
      <c r="D45" s="544" t="s">
        <v>133</v>
      </c>
      <c r="E45" s="1667" t="s">
        <v>678</v>
      </c>
      <c r="F45" s="4" t="s">
        <v>64</v>
      </c>
      <c r="G45" s="1657" t="s">
        <v>65</v>
      </c>
      <c r="H45" s="1658"/>
      <c r="I45" s="1658"/>
      <c r="J45" s="554" t="s">
        <v>243</v>
      </c>
      <c r="K45" s="553" t="s">
        <v>133</v>
      </c>
      <c r="L45" s="1667" t="s">
        <v>678</v>
      </c>
      <c r="M45" s="368" t="s">
        <v>64</v>
      </c>
      <c r="N45" s="704" t="s">
        <v>103</v>
      </c>
      <c r="O45" s="73"/>
      <c r="R45" s="73"/>
      <c r="S45" s="73"/>
      <c r="T45" s="73"/>
      <c r="U45" s="73"/>
    </row>
    <row r="46" spans="1:21" ht="15" customHeight="1" thickBot="1" x14ac:dyDescent="0.25">
      <c r="A46" s="362" t="s">
        <v>33</v>
      </c>
      <c r="B46" s="363" t="s">
        <v>36</v>
      </c>
      <c r="C46" s="364"/>
      <c r="D46" s="546" t="s">
        <v>244</v>
      </c>
      <c r="E46" s="1668"/>
      <c r="F46" s="409" t="s">
        <v>16</v>
      </c>
      <c r="G46" s="410" t="s">
        <v>31</v>
      </c>
      <c r="H46" s="411" t="s">
        <v>296</v>
      </c>
      <c r="I46" s="412" t="s">
        <v>32</v>
      </c>
      <c r="J46" s="555" t="s">
        <v>242</v>
      </c>
      <c r="K46" s="556" t="s">
        <v>244</v>
      </c>
      <c r="L46" s="1668"/>
      <c r="M46" s="705" t="s">
        <v>16</v>
      </c>
      <c r="N46" s="710"/>
      <c r="O46" s="73"/>
      <c r="R46" s="73"/>
      <c r="S46" s="73"/>
      <c r="T46" s="73"/>
      <c r="U46" s="73"/>
    </row>
    <row r="47" spans="1:21" ht="15" customHeight="1" thickBot="1" x14ac:dyDescent="0.25">
      <c r="A47" s="413"/>
      <c r="B47" s="11"/>
      <c r="C47" s="414" t="s">
        <v>212</v>
      </c>
      <c r="D47" s="557"/>
      <c r="E47" s="706">
        <v>2112</v>
      </c>
      <c r="F47" s="416"/>
      <c r="G47" s="833">
        <v>1111</v>
      </c>
      <c r="H47" s="418">
        <v>1112</v>
      </c>
      <c r="I47" s="419">
        <v>1112</v>
      </c>
      <c r="J47" s="558">
        <v>4769</v>
      </c>
      <c r="K47" s="420"/>
      <c r="L47" s="415"/>
      <c r="M47" s="706"/>
      <c r="N47" s="711"/>
      <c r="O47" s="73"/>
      <c r="R47" s="73"/>
      <c r="S47" s="73"/>
      <c r="T47" s="73"/>
      <c r="U47" s="73"/>
    </row>
    <row r="48" spans="1:21" x14ac:dyDescent="0.2">
      <c r="A48" s="3">
        <v>29</v>
      </c>
      <c r="B48" s="264">
        <v>11</v>
      </c>
      <c r="C48" s="10" t="s">
        <v>7</v>
      </c>
      <c r="D48" s="421">
        <f>SUM(G48:I48,E48,J48)</f>
        <v>404090.48190461996</v>
      </c>
      <c r="E48" s="831">
        <f>E8</f>
        <v>87899.281904619929</v>
      </c>
      <c r="F48" s="831">
        <f>SUM(G48:I48)</f>
        <v>316191.2</v>
      </c>
      <c r="G48" s="832">
        <f>F8</f>
        <v>316191.2</v>
      </c>
      <c r="H48" s="424"/>
      <c r="I48" s="425"/>
      <c r="J48" s="426"/>
      <c r="K48" s="427">
        <f>SUM(L48:N48)</f>
        <v>362670.1</v>
      </c>
      <c r="L48" s="428">
        <v>75750.8</v>
      </c>
      <c r="M48" s="534">
        <v>286919.3</v>
      </c>
      <c r="N48" s="694"/>
      <c r="O48" s="73"/>
      <c r="R48" s="73"/>
      <c r="S48" s="73"/>
      <c r="T48" s="73"/>
      <c r="U48" s="73"/>
    </row>
    <row r="49" spans="1:21" x14ac:dyDescent="0.2">
      <c r="A49" s="242">
        <v>30</v>
      </c>
      <c r="B49" s="429">
        <v>21</v>
      </c>
      <c r="C49" s="7" t="s">
        <v>8</v>
      </c>
      <c r="D49" s="399">
        <f t="shared" ref="D49:D56" si="7">SUM(G49:I49,E49,J49)</f>
        <v>401336.63832749025</v>
      </c>
      <c r="E49" s="831">
        <f>E9</f>
        <v>84126.93832749025</v>
      </c>
      <c r="F49" s="831">
        <f t="shared" ref="F49:F56" si="8">SUM(G49:I49)</f>
        <v>317209.7</v>
      </c>
      <c r="G49" s="832">
        <f t="shared" ref="G49:G56" si="9">F9</f>
        <v>317083.7</v>
      </c>
      <c r="H49" s="431">
        <f>'příl.1 - cp 2020'!M97</f>
        <v>126</v>
      </c>
      <c r="I49" s="432"/>
      <c r="J49" s="433"/>
      <c r="K49" s="427">
        <f t="shared" ref="K49:K56" si="10">SUM(L49:N49)</f>
        <v>379954.6</v>
      </c>
      <c r="L49" s="430">
        <v>74632.399999999994</v>
      </c>
      <c r="M49" s="535">
        <v>305322.2</v>
      </c>
      <c r="N49" s="695"/>
      <c r="O49" s="73"/>
      <c r="R49" s="73"/>
      <c r="S49" s="73"/>
      <c r="T49" s="73"/>
      <c r="U49" s="73"/>
    </row>
    <row r="50" spans="1:21" x14ac:dyDescent="0.2">
      <c r="A50" s="3">
        <v>31</v>
      </c>
      <c r="B50" s="429">
        <v>22</v>
      </c>
      <c r="C50" s="7" t="s">
        <v>9</v>
      </c>
      <c r="D50" s="399">
        <f t="shared" si="7"/>
        <v>147962.54561577726</v>
      </c>
      <c r="E50" s="831">
        <f t="shared" ref="E50:E56" si="11">E10</f>
        <v>31753.645615777277</v>
      </c>
      <c r="F50" s="831">
        <f t="shared" si="8"/>
        <v>116208.9</v>
      </c>
      <c r="G50" s="832">
        <f t="shared" si="9"/>
        <v>116208.9</v>
      </c>
      <c r="H50" s="431"/>
      <c r="I50" s="432"/>
      <c r="J50" s="433"/>
      <c r="K50" s="427">
        <f t="shared" si="10"/>
        <v>139276.9</v>
      </c>
      <c r="L50" s="430">
        <v>26143.8</v>
      </c>
      <c r="M50" s="535">
        <v>113133.1</v>
      </c>
      <c r="N50" s="695"/>
      <c r="O50" s="73"/>
      <c r="R50" s="73"/>
      <c r="S50" s="73"/>
      <c r="T50" s="73"/>
      <c r="U50" s="73"/>
    </row>
    <row r="51" spans="1:21" x14ac:dyDescent="0.2">
      <c r="A51" s="242">
        <v>32</v>
      </c>
      <c r="B51" s="429">
        <v>23</v>
      </c>
      <c r="C51" s="7" t="s">
        <v>10</v>
      </c>
      <c r="D51" s="399">
        <f t="shared" si="7"/>
        <v>187591.52072649536</v>
      </c>
      <c r="E51" s="831">
        <f t="shared" si="11"/>
        <v>54373.120726495377</v>
      </c>
      <c r="F51" s="831">
        <f t="shared" si="8"/>
        <v>133218.4</v>
      </c>
      <c r="G51" s="832">
        <f t="shared" si="9"/>
        <v>133218.4</v>
      </c>
      <c r="H51" s="431">
        <f>'příl.1 - cp 2020'!M100</f>
        <v>0</v>
      </c>
      <c r="I51" s="432"/>
      <c r="J51" s="433"/>
      <c r="K51" s="427">
        <f t="shared" si="10"/>
        <v>166686.39999999999</v>
      </c>
      <c r="L51" s="430">
        <v>40034.5</v>
      </c>
      <c r="M51" s="535">
        <v>126651.9</v>
      </c>
      <c r="N51" s="695"/>
      <c r="O51" s="73"/>
      <c r="R51" s="73"/>
      <c r="S51" s="73"/>
      <c r="T51" s="73"/>
      <c r="U51" s="73"/>
    </row>
    <row r="52" spans="1:21" x14ac:dyDescent="0.2">
      <c r="A52" s="3">
        <v>33</v>
      </c>
      <c r="B52" s="429">
        <v>31</v>
      </c>
      <c r="C52" s="7" t="s">
        <v>11</v>
      </c>
      <c r="D52" s="399">
        <f t="shared" si="7"/>
        <v>608067.0677645884</v>
      </c>
      <c r="E52" s="831">
        <f t="shared" si="11"/>
        <v>301958.16776458832</v>
      </c>
      <c r="F52" s="831">
        <f t="shared" si="8"/>
        <v>306108.90000000002</v>
      </c>
      <c r="G52" s="832">
        <f t="shared" si="9"/>
        <v>303408.90000000002</v>
      </c>
      <c r="H52" s="431">
        <f>'příl.1 - cp 2020'!M104</f>
        <v>2700</v>
      </c>
      <c r="I52" s="432"/>
      <c r="J52" s="433"/>
      <c r="K52" s="427">
        <f t="shared" si="10"/>
        <v>571658.1</v>
      </c>
      <c r="L52" s="430">
        <v>274096.09999999998</v>
      </c>
      <c r="M52" s="535">
        <v>297562</v>
      </c>
      <c r="N52" s="695"/>
      <c r="O52" s="73"/>
      <c r="R52" s="73"/>
      <c r="S52" s="73"/>
      <c r="T52" s="73"/>
      <c r="U52" s="73"/>
    </row>
    <row r="53" spans="1:21" x14ac:dyDescent="0.2">
      <c r="A53" s="242">
        <v>34</v>
      </c>
      <c r="B53" s="429">
        <v>33</v>
      </c>
      <c r="C53" s="7" t="s">
        <v>12</v>
      </c>
      <c r="D53" s="399">
        <f t="shared" si="7"/>
        <v>211784.96311955937</v>
      </c>
      <c r="E53" s="831">
        <f t="shared" si="11"/>
        <v>52975.863119559363</v>
      </c>
      <c r="F53" s="831">
        <f t="shared" si="8"/>
        <v>158809.1</v>
      </c>
      <c r="G53" s="832">
        <f t="shared" si="9"/>
        <v>112104.1</v>
      </c>
      <c r="H53" s="431">
        <f>'příl.1 - cp 2020'!M107</f>
        <v>46705</v>
      </c>
      <c r="I53" s="432"/>
      <c r="J53" s="433"/>
      <c r="K53" s="427">
        <f t="shared" si="10"/>
        <v>201573.2</v>
      </c>
      <c r="L53" s="430">
        <v>46326</v>
      </c>
      <c r="M53" s="535">
        <v>155247.20000000001</v>
      </c>
      <c r="N53" s="695"/>
      <c r="O53" s="73"/>
      <c r="R53" s="73"/>
      <c r="S53" s="73"/>
      <c r="T53" s="73"/>
      <c r="U53" s="73"/>
    </row>
    <row r="54" spans="1:21" x14ac:dyDescent="0.2">
      <c r="A54" s="3">
        <v>35</v>
      </c>
      <c r="B54" s="429">
        <v>41</v>
      </c>
      <c r="C54" s="7" t="s">
        <v>13</v>
      </c>
      <c r="D54" s="399">
        <f t="shared" si="7"/>
        <v>234510.44292217225</v>
      </c>
      <c r="E54" s="831">
        <f t="shared" si="11"/>
        <v>34841.842922172254</v>
      </c>
      <c r="F54" s="831">
        <f t="shared" si="8"/>
        <v>199668.6</v>
      </c>
      <c r="G54" s="832">
        <f t="shared" si="9"/>
        <v>199268.6</v>
      </c>
      <c r="H54" s="431">
        <f>'příl.1 - cp 2020'!M111</f>
        <v>400</v>
      </c>
      <c r="I54" s="432"/>
      <c r="J54" s="433"/>
      <c r="K54" s="427">
        <f t="shared" si="10"/>
        <v>209416.5</v>
      </c>
      <c r="L54" s="430">
        <v>29592.5</v>
      </c>
      <c r="M54" s="535">
        <v>179824</v>
      </c>
      <c r="N54" s="695"/>
      <c r="O54" s="73"/>
      <c r="R54" s="73"/>
      <c r="S54" s="73"/>
      <c r="T54" s="73"/>
      <c r="U54" s="73"/>
    </row>
    <row r="55" spans="1:21" x14ac:dyDescent="0.2">
      <c r="A55" s="242">
        <v>36</v>
      </c>
      <c r="B55" s="429">
        <v>51</v>
      </c>
      <c r="C55" s="7" t="s">
        <v>211</v>
      </c>
      <c r="D55" s="399">
        <f t="shared" si="7"/>
        <v>101174.58521636088</v>
      </c>
      <c r="E55" s="831">
        <f t="shared" si="11"/>
        <v>8068.2852163608832</v>
      </c>
      <c r="F55" s="831">
        <f t="shared" si="8"/>
        <v>93106.3</v>
      </c>
      <c r="G55" s="832">
        <f t="shared" si="9"/>
        <v>92606.3</v>
      </c>
      <c r="H55" s="431">
        <f>'příl.1 - cp 2020'!M113</f>
        <v>500</v>
      </c>
      <c r="I55" s="432"/>
      <c r="J55" s="433"/>
      <c r="K55" s="427">
        <f t="shared" si="10"/>
        <v>94354.5</v>
      </c>
      <c r="L55" s="430">
        <v>4503.7</v>
      </c>
      <c r="M55" s="535">
        <v>89850.8</v>
      </c>
      <c r="N55" s="695"/>
      <c r="O55" s="73"/>
      <c r="R55" s="73"/>
      <c r="S55" s="73"/>
      <c r="T55" s="73"/>
      <c r="U55" s="73"/>
    </row>
    <row r="56" spans="1:21" x14ac:dyDescent="0.2">
      <c r="A56" s="3">
        <v>37</v>
      </c>
      <c r="B56" s="756">
        <v>56</v>
      </c>
      <c r="C56" s="8" t="s">
        <v>15</v>
      </c>
      <c r="D56" s="757">
        <f t="shared" si="7"/>
        <v>144381.2393411301</v>
      </c>
      <c r="E56" s="831">
        <f t="shared" si="11"/>
        <v>23521.039341130112</v>
      </c>
      <c r="F56" s="831">
        <f t="shared" si="8"/>
        <v>120860.2</v>
      </c>
      <c r="G56" s="832">
        <f t="shared" si="9"/>
        <v>120860.2</v>
      </c>
      <c r="H56" s="758"/>
      <c r="I56" s="450"/>
      <c r="J56" s="451"/>
      <c r="K56" s="647">
        <f t="shared" si="10"/>
        <v>132945.70000000001</v>
      </c>
      <c r="L56" s="439">
        <v>15987.1</v>
      </c>
      <c r="M56" s="645">
        <v>116958.6</v>
      </c>
      <c r="N56" s="696"/>
      <c r="O56" s="73"/>
      <c r="R56" s="73"/>
      <c r="S56" s="73"/>
      <c r="T56" s="73"/>
      <c r="U56" s="73"/>
    </row>
    <row r="57" spans="1:21" s="455" customFormat="1" x14ac:dyDescent="0.2">
      <c r="A57" s="602">
        <v>38</v>
      </c>
      <c r="B57" s="760" t="s">
        <v>37</v>
      </c>
      <c r="C57" s="634"/>
      <c r="D57" s="612">
        <f t="shared" ref="D57:M57" si="12">SUM(D48:D56)</f>
        <v>2440899.484938194</v>
      </c>
      <c r="E57" s="622">
        <f t="shared" si="12"/>
        <v>679518.18493819376</v>
      </c>
      <c r="F57" s="622">
        <f t="shared" si="12"/>
        <v>1761381.3000000003</v>
      </c>
      <c r="G57" s="707">
        <f t="shared" si="12"/>
        <v>1710950.3000000003</v>
      </c>
      <c r="H57" s="657">
        <f t="shared" si="12"/>
        <v>50431</v>
      </c>
      <c r="I57" s="456">
        <f t="shared" si="12"/>
        <v>0</v>
      </c>
      <c r="J57" s="622">
        <f t="shared" si="12"/>
        <v>0</v>
      </c>
      <c r="K57" s="613">
        <f t="shared" si="12"/>
        <v>2258536</v>
      </c>
      <c r="L57" s="443">
        <f t="shared" si="12"/>
        <v>587066.89999999991</v>
      </c>
      <c r="M57" s="707">
        <f t="shared" si="12"/>
        <v>1671469.1</v>
      </c>
      <c r="N57" s="714">
        <v>0</v>
      </c>
      <c r="O57" s="559"/>
      <c r="R57" s="559"/>
      <c r="S57" s="559"/>
      <c r="T57" s="559"/>
      <c r="U57" s="559"/>
    </row>
    <row r="58" spans="1:21" x14ac:dyDescent="0.2">
      <c r="A58" s="3">
        <v>39</v>
      </c>
      <c r="B58" s="388">
        <v>71</v>
      </c>
      <c r="C58" s="6" t="s">
        <v>186</v>
      </c>
      <c r="D58" s="609">
        <f>SUM(E58:F58)</f>
        <v>123125.37366406241</v>
      </c>
      <c r="E58" s="446">
        <f>E18</f>
        <v>121125.37366406241</v>
      </c>
      <c r="F58" s="446">
        <f>SUM(G58:I58)</f>
        <v>2000</v>
      </c>
      <c r="G58" s="713">
        <f>F18</f>
        <v>0</v>
      </c>
      <c r="H58" s="759">
        <f>'příl.1 - cp 2020'!M116</f>
        <v>2000</v>
      </c>
      <c r="I58" s="425"/>
      <c r="J58" s="426"/>
      <c r="K58" s="427">
        <f>SUM(L58:N58)</f>
        <v>102878.8</v>
      </c>
      <c r="L58" s="446">
        <v>100878.8</v>
      </c>
      <c r="M58" s="423">
        <v>2000</v>
      </c>
      <c r="N58" s="697"/>
      <c r="O58" s="73"/>
      <c r="R58" s="73"/>
      <c r="S58" s="73"/>
      <c r="T58" s="73"/>
      <c r="U58" s="73"/>
    </row>
    <row r="59" spans="1:21" x14ac:dyDescent="0.2">
      <c r="A59" s="242">
        <v>40</v>
      </c>
      <c r="B59" s="376">
        <v>79</v>
      </c>
      <c r="C59" s="7" t="s">
        <v>324</v>
      </c>
      <c r="D59" s="399">
        <f t="shared" ref="D59:D68" si="13">SUM(E59:F59)</f>
        <v>5340</v>
      </c>
      <c r="E59" s="446">
        <f t="shared" ref="E59:E69" si="14">E19</f>
        <v>0</v>
      </c>
      <c r="F59" s="446">
        <f t="shared" ref="F59:F69" si="15">SUM(G59:I59)</f>
        <v>5340</v>
      </c>
      <c r="G59" s="713">
        <f t="shared" ref="G59:G69" si="16">F19</f>
        <v>0</v>
      </c>
      <c r="H59" s="431">
        <f>'příl.1 - cp 2020'!M119</f>
        <v>5340</v>
      </c>
      <c r="I59" s="537"/>
      <c r="J59" s="433"/>
      <c r="K59" s="427">
        <f t="shared" ref="K59:K69" si="17">SUM(L59:N59)</f>
        <v>5340</v>
      </c>
      <c r="L59" s="445">
        <v>0</v>
      </c>
      <c r="M59" s="536">
        <v>5340</v>
      </c>
      <c r="N59" s="697"/>
      <c r="O59" s="73"/>
      <c r="R59" s="73"/>
      <c r="S59" s="73"/>
      <c r="T59" s="73"/>
      <c r="U59" s="73"/>
    </row>
    <row r="60" spans="1:21" x14ac:dyDescent="0.2">
      <c r="A60" s="3">
        <v>41</v>
      </c>
      <c r="B60" s="376">
        <v>81</v>
      </c>
      <c r="C60" s="7" t="s">
        <v>68</v>
      </c>
      <c r="D60" s="399">
        <f t="shared" si="13"/>
        <v>0</v>
      </c>
      <c r="E60" s="446">
        <f t="shared" si="14"/>
        <v>0</v>
      </c>
      <c r="F60" s="446">
        <f t="shared" si="15"/>
        <v>0</v>
      </c>
      <c r="G60" s="713">
        <f t="shared" si="16"/>
        <v>0</v>
      </c>
      <c r="H60" s="431"/>
      <c r="I60" s="432"/>
      <c r="J60" s="433"/>
      <c r="K60" s="427">
        <f t="shared" si="17"/>
        <v>0</v>
      </c>
      <c r="L60" s="445">
        <v>0</v>
      </c>
      <c r="M60" s="536">
        <v>0</v>
      </c>
      <c r="N60" s="434"/>
      <c r="O60" s="73"/>
      <c r="R60" s="73"/>
      <c r="S60" s="73"/>
      <c r="T60" s="73"/>
      <c r="U60" s="73"/>
    </row>
    <row r="61" spans="1:21" x14ac:dyDescent="0.2">
      <c r="A61" s="242">
        <v>42</v>
      </c>
      <c r="B61" s="376">
        <v>82</v>
      </c>
      <c r="C61" s="7" t="s">
        <v>1</v>
      </c>
      <c r="D61" s="399">
        <f t="shared" si="13"/>
        <v>9595</v>
      </c>
      <c r="E61" s="446">
        <f t="shared" si="14"/>
        <v>0</v>
      </c>
      <c r="F61" s="446">
        <f t="shared" si="15"/>
        <v>9595</v>
      </c>
      <c r="G61" s="713">
        <f t="shared" si="16"/>
        <v>0</v>
      </c>
      <c r="H61" s="431">
        <f>'příl.1 - cp 2020'!M128</f>
        <v>9595</v>
      </c>
      <c r="I61" s="432"/>
      <c r="J61" s="433"/>
      <c r="K61" s="427">
        <f t="shared" si="17"/>
        <v>9595</v>
      </c>
      <c r="L61" s="445">
        <v>0</v>
      </c>
      <c r="M61" s="536">
        <v>9595</v>
      </c>
      <c r="N61" s="434"/>
      <c r="O61" s="73"/>
      <c r="R61" s="73"/>
      <c r="S61" s="73"/>
      <c r="T61" s="73"/>
      <c r="U61" s="73"/>
    </row>
    <row r="62" spans="1:21" x14ac:dyDescent="0.2">
      <c r="A62" s="3">
        <v>43</v>
      </c>
      <c r="B62" s="376">
        <v>83</v>
      </c>
      <c r="C62" s="7" t="s">
        <v>79</v>
      </c>
      <c r="D62" s="399">
        <f t="shared" si="13"/>
        <v>8570</v>
      </c>
      <c r="E62" s="446">
        <f t="shared" si="14"/>
        <v>0</v>
      </c>
      <c r="F62" s="446">
        <f t="shared" si="15"/>
        <v>8570</v>
      </c>
      <c r="G62" s="713">
        <f t="shared" si="16"/>
        <v>6500</v>
      </c>
      <c r="H62" s="431">
        <f>'příl.1 - cp 2020'!I130+'příl.1 - cp 2020'!M18</f>
        <v>2070</v>
      </c>
      <c r="I62" s="432"/>
      <c r="J62" s="433"/>
      <c r="K62" s="427">
        <f t="shared" si="17"/>
        <v>8070</v>
      </c>
      <c r="L62" s="445">
        <v>0</v>
      </c>
      <c r="M62" s="536">
        <v>8070</v>
      </c>
      <c r="N62" s="434"/>
      <c r="O62" s="73"/>
      <c r="R62" s="73"/>
      <c r="S62" s="73"/>
      <c r="T62" s="73"/>
      <c r="U62" s="73"/>
    </row>
    <row r="63" spans="1:21" x14ac:dyDescent="0.2">
      <c r="A63" s="242">
        <v>44</v>
      </c>
      <c r="B63" s="376">
        <v>84</v>
      </c>
      <c r="C63" s="7" t="s">
        <v>78</v>
      </c>
      <c r="D63" s="399">
        <f t="shared" si="13"/>
        <v>580.79999999999995</v>
      </c>
      <c r="E63" s="446">
        <f t="shared" si="14"/>
        <v>580.79999999999995</v>
      </c>
      <c r="F63" s="446">
        <f t="shared" si="15"/>
        <v>0</v>
      </c>
      <c r="G63" s="713">
        <f t="shared" si="16"/>
        <v>0</v>
      </c>
      <c r="H63" s="431">
        <f>'příl.1 - cp 2020'!M132+'příl.1 - cp 2020'!M19</f>
        <v>0</v>
      </c>
      <c r="I63" s="432"/>
      <c r="J63" s="433"/>
      <c r="K63" s="427">
        <f t="shared" si="17"/>
        <v>1590.8</v>
      </c>
      <c r="L63" s="445">
        <v>580.79999999999995</v>
      </c>
      <c r="M63" s="536">
        <v>1010</v>
      </c>
      <c r="N63" s="434"/>
      <c r="O63" s="73"/>
      <c r="R63" s="73"/>
      <c r="S63" s="73"/>
      <c r="T63" s="73"/>
      <c r="U63" s="73"/>
    </row>
    <row r="64" spans="1:21" x14ac:dyDescent="0.2">
      <c r="A64" s="3">
        <v>45</v>
      </c>
      <c r="B64" s="376">
        <v>85</v>
      </c>
      <c r="C64" s="7" t="s">
        <v>98</v>
      </c>
      <c r="D64" s="399">
        <f t="shared" si="13"/>
        <v>2228.6999999999998</v>
      </c>
      <c r="E64" s="446">
        <f t="shared" si="14"/>
        <v>1793</v>
      </c>
      <c r="F64" s="446">
        <f t="shared" si="15"/>
        <v>435.7</v>
      </c>
      <c r="G64" s="713">
        <f t="shared" si="16"/>
        <v>435.7</v>
      </c>
      <c r="H64" s="431"/>
      <c r="I64" s="432"/>
      <c r="J64" s="433"/>
      <c r="K64" s="427">
        <f t="shared" si="17"/>
        <v>2535.8000000000002</v>
      </c>
      <c r="L64" s="430">
        <v>1793</v>
      </c>
      <c r="M64" s="536">
        <v>742.8</v>
      </c>
      <c r="N64" s="434"/>
      <c r="O64" s="73"/>
      <c r="R64" s="73"/>
      <c r="S64" s="73"/>
      <c r="T64" s="73"/>
      <c r="U64" s="73"/>
    </row>
    <row r="65" spans="1:24" x14ac:dyDescent="0.2">
      <c r="A65" s="242">
        <v>46</v>
      </c>
      <c r="B65" s="376">
        <v>87</v>
      </c>
      <c r="C65" s="7" t="s">
        <v>126</v>
      </c>
      <c r="D65" s="399">
        <f t="shared" si="13"/>
        <v>9018.6</v>
      </c>
      <c r="E65" s="446">
        <f t="shared" si="14"/>
        <v>18.600000000000001</v>
      </c>
      <c r="F65" s="446">
        <f t="shared" si="15"/>
        <v>9000</v>
      </c>
      <c r="G65" s="713">
        <f t="shared" si="16"/>
        <v>7900</v>
      </c>
      <c r="H65" s="431">
        <f>'příl.1 - cp 2020'!M134+'příl.1 - cp 2020'!M21</f>
        <v>1100</v>
      </c>
      <c r="I65" s="432"/>
      <c r="J65" s="433"/>
      <c r="K65" s="427">
        <f t="shared" si="17"/>
        <v>9018.6</v>
      </c>
      <c r="L65" s="430">
        <v>18.600000000000001</v>
      </c>
      <c r="M65" s="536">
        <v>9000</v>
      </c>
      <c r="N65" s="434"/>
      <c r="O65" s="73"/>
      <c r="R65" s="73"/>
      <c r="S65" s="73"/>
      <c r="T65" s="73"/>
      <c r="U65" s="73"/>
    </row>
    <row r="66" spans="1:24" x14ac:dyDescent="0.2">
      <c r="A66" s="3">
        <v>47</v>
      </c>
      <c r="B66" s="376">
        <v>92</v>
      </c>
      <c r="C66" s="7" t="s">
        <v>17</v>
      </c>
      <c r="D66" s="399">
        <f t="shared" si="13"/>
        <v>178341.08539774377</v>
      </c>
      <c r="E66" s="446">
        <f t="shared" si="14"/>
        <v>9151.0853977437546</v>
      </c>
      <c r="F66" s="446">
        <f t="shared" si="15"/>
        <v>169190</v>
      </c>
      <c r="G66" s="713">
        <f t="shared" si="16"/>
        <v>112952</v>
      </c>
      <c r="H66" s="431">
        <f>'příl.1 - cp 2020'!M161+'příl.1 - cp 2020'!M22</f>
        <v>56238</v>
      </c>
      <c r="I66" s="432"/>
      <c r="J66" s="433"/>
      <c r="K66" s="427">
        <f t="shared" si="17"/>
        <v>169132.2</v>
      </c>
      <c r="L66" s="430">
        <v>5136.2</v>
      </c>
      <c r="M66" s="536">
        <v>163996</v>
      </c>
      <c r="N66" s="434"/>
      <c r="O66" s="73"/>
      <c r="R66" s="73"/>
      <c r="S66" s="73"/>
      <c r="T66" s="73"/>
      <c r="U66" s="73"/>
    </row>
    <row r="67" spans="1:24" x14ac:dyDescent="0.2">
      <c r="A67" s="242">
        <v>48</v>
      </c>
      <c r="B67" s="376">
        <v>96</v>
      </c>
      <c r="C67" s="7" t="s">
        <v>23</v>
      </c>
      <c r="D67" s="399">
        <f t="shared" si="13"/>
        <v>40968.999999999993</v>
      </c>
      <c r="E67" s="446">
        <f t="shared" si="14"/>
        <v>897.2</v>
      </c>
      <c r="F67" s="446">
        <f t="shared" si="15"/>
        <v>40071.799999999996</v>
      </c>
      <c r="G67" s="713">
        <f t="shared" si="16"/>
        <v>40071.799999999996</v>
      </c>
      <c r="H67" s="431">
        <f>'příl.1 - cp 2020'!M23</f>
        <v>0</v>
      </c>
      <c r="I67" s="432"/>
      <c r="J67" s="433"/>
      <c r="K67" s="427">
        <f t="shared" si="17"/>
        <v>39096.799999999996</v>
      </c>
      <c r="L67" s="430">
        <v>897.2</v>
      </c>
      <c r="M67" s="536">
        <v>38199.599999999999</v>
      </c>
      <c r="N67" s="434"/>
      <c r="O67" s="73"/>
      <c r="R67" s="73"/>
      <c r="S67" s="73"/>
      <c r="T67" s="73"/>
      <c r="U67" s="73"/>
    </row>
    <row r="68" spans="1:24" x14ac:dyDescent="0.2">
      <c r="A68" s="3">
        <v>49</v>
      </c>
      <c r="B68" s="376">
        <v>97</v>
      </c>
      <c r="C68" s="7" t="s">
        <v>24</v>
      </c>
      <c r="D68" s="399">
        <f t="shared" si="13"/>
        <v>12150</v>
      </c>
      <c r="E68" s="446">
        <f t="shared" si="14"/>
        <v>0</v>
      </c>
      <c r="F68" s="446">
        <f t="shared" si="15"/>
        <v>12150</v>
      </c>
      <c r="G68" s="713">
        <f t="shared" si="16"/>
        <v>12150</v>
      </c>
      <c r="H68" s="431">
        <f>'příl.1 - cp 2020'!M163</f>
        <v>0</v>
      </c>
      <c r="I68" s="432"/>
      <c r="J68" s="433"/>
      <c r="K68" s="427">
        <f t="shared" si="17"/>
        <v>11650</v>
      </c>
      <c r="L68" s="430">
        <v>0</v>
      </c>
      <c r="M68" s="536">
        <v>11650</v>
      </c>
      <c r="N68" s="440"/>
      <c r="O68" s="73"/>
      <c r="R68" s="73"/>
      <c r="S68" s="73"/>
      <c r="T68" s="73"/>
      <c r="U68" s="73"/>
    </row>
    <row r="69" spans="1:24" x14ac:dyDescent="0.2">
      <c r="A69" s="718">
        <v>50</v>
      </c>
      <c r="B69" s="449">
        <v>99</v>
      </c>
      <c r="C69" s="8" t="s">
        <v>81</v>
      </c>
      <c r="D69" s="389">
        <f>SUM(E69:F69,J69)</f>
        <v>310053</v>
      </c>
      <c r="E69" s="446">
        <f t="shared" si="14"/>
        <v>72270</v>
      </c>
      <c r="F69" s="446">
        <f t="shared" si="15"/>
        <v>213984.4259999994</v>
      </c>
      <c r="G69" s="713">
        <f t="shared" si="16"/>
        <v>87882.425999999396</v>
      </c>
      <c r="H69" s="437">
        <f>'příl.1 - cp 2020'!M93+'příl.1 - cp 2020'!M25-I69</f>
        <v>111102</v>
      </c>
      <c r="I69" s="450">
        <f>'příl.1 - cp 2020'!M92</f>
        <v>15000</v>
      </c>
      <c r="J69" s="451">
        <f>G29</f>
        <v>23798.574000000604</v>
      </c>
      <c r="K69" s="427">
        <f t="shared" si="17"/>
        <v>277211</v>
      </c>
      <c r="L69" s="422">
        <v>58700</v>
      </c>
      <c r="M69" s="708">
        <v>202671.72382423957</v>
      </c>
      <c r="N69" s="438">
        <v>15839.276175760431</v>
      </c>
      <c r="O69" s="73"/>
      <c r="R69" s="73"/>
      <c r="S69" s="73"/>
      <c r="T69" s="73"/>
      <c r="U69" s="73"/>
    </row>
    <row r="70" spans="1:24" s="455" customFormat="1" x14ac:dyDescent="0.2">
      <c r="A70" s="602">
        <v>51</v>
      </c>
      <c r="B70" s="404" t="s">
        <v>461</v>
      </c>
      <c r="C70" s="720"/>
      <c r="D70" s="721">
        <f>SUM(D58:D69)</f>
        <v>699971.55906180618</v>
      </c>
      <c r="E70" s="712">
        <f>SUM(E58:E69)</f>
        <v>205836.05906180618</v>
      </c>
      <c r="F70" s="712">
        <f t="shared" ref="F70:N70" si="18">SUM(F58:F69)</f>
        <v>470336.9259999994</v>
      </c>
      <c r="G70" s="712">
        <f t="shared" si="18"/>
        <v>267891.9259999994</v>
      </c>
      <c r="H70" s="722">
        <f>SUM(H58:H69)</f>
        <v>187445</v>
      </c>
      <c r="I70" s="723">
        <f t="shared" si="18"/>
        <v>15000</v>
      </c>
      <c r="J70" s="712">
        <f t="shared" si="18"/>
        <v>23798.574000000604</v>
      </c>
      <c r="K70" s="724">
        <f t="shared" si="18"/>
        <v>636119</v>
      </c>
      <c r="L70" s="683">
        <v>168004.6</v>
      </c>
      <c r="M70" s="712">
        <v>452275.12382423959</v>
      </c>
      <c r="N70" s="725">
        <f t="shared" si="18"/>
        <v>15839.276175760431</v>
      </c>
      <c r="O70" s="559"/>
      <c r="R70" s="559"/>
      <c r="S70" s="559"/>
      <c r="T70" s="559"/>
      <c r="U70" s="559"/>
    </row>
    <row r="71" spans="1:24" s="455" customFormat="1" ht="13.5" thickBot="1" x14ac:dyDescent="0.25">
      <c r="A71" s="726">
        <v>52</v>
      </c>
      <c r="B71" s="727" t="s">
        <v>616</v>
      </c>
      <c r="C71" s="727"/>
      <c r="D71" s="728">
        <f>SUM(E71:F71)</f>
        <v>88000</v>
      </c>
      <c r="E71" s="729"/>
      <c r="F71" s="730">
        <f>SUM(G71:J71)</f>
        <v>88000</v>
      </c>
      <c r="G71" s="731"/>
      <c r="H71" s="732">
        <f>'příl.1 - cp 2020'!M7+'příl.1 - cp 2020'!M26</f>
        <v>88000</v>
      </c>
      <c r="I71" s="729"/>
      <c r="J71" s="733"/>
      <c r="K71" s="734">
        <f>SUM(L71:N71)</f>
        <v>88000</v>
      </c>
      <c r="L71" s="729"/>
      <c r="M71" s="731">
        <v>88000</v>
      </c>
      <c r="N71" s="735"/>
      <c r="O71" s="559"/>
      <c r="R71" s="559"/>
      <c r="S71" s="559"/>
      <c r="T71" s="559"/>
      <c r="U71" s="559"/>
    </row>
    <row r="72" spans="1:24" ht="14.25" customHeight="1" thickBot="1" x14ac:dyDescent="0.25">
      <c r="A72" s="246">
        <v>53</v>
      </c>
      <c r="B72" s="405" t="s">
        <v>70</v>
      </c>
      <c r="C72" s="394"/>
      <c r="D72" s="668">
        <f>D57+D70+D71</f>
        <v>3228871.0440000002</v>
      </c>
      <c r="E72" s="670">
        <f t="shared" ref="E72:J72" si="19">E57+E70+E71</f>
        <v>885354.24399999995</v>
      </c>
      <c r="F72" s="672">
        <f t="shared" si="19"/>
        <v>2319718.2259999998</v>
      </c>
      <c r="G72" s="671">
        <f t="shared" si="19"/>
        <v>1978842.2259999998</v>
      </c>
      <c r="H72" s="626">
        <f t="shared" si="19"/>
        <v>325876</v>
      </c>
      <c r="I72" s="627">
        <f t="shared" si="19"/>
        <v>15000</v>
      </c>
      <c r="J72" s="395">
        <f t="shared" si="19"/>
        <v>23798.574000000604</v>
      </c>
      <c r="K72" s="673">
        <f>K57++K70+K71</f>
        <v>2982655</v>
      </c>
      <c r="L72" s="674">
        <f>L57++L70+L71</f>
        <v>755071.49999999988</v>
      </c>
      <c r="M72" s="709">
        <f>M57++M70+M71</f>
        <v>2211744.2238242398</v>
      </c>
      <c r="N72" s="674">
        <f>N57++N70+N71</f>
        <v>15839.276175760431</v>
      </c>
      <c r="O72" s="73"/>
      <c r="R72" s="73"/>
      <c r="S72" s="73"/>
      <c r="T72" s="73"/>
      <c r="U72" s="73"/>
    </row>
    <row r="73" spans="1:24" s="835" customFormat="1" ht="15" customHeight="1" x14ac:dyDescent="0.2">
      <c r="A73" s="834" t="s">
        <v>303</v>
      </c>
      <c r="D73" s="836"/>
      <c r="E73" s="1659">
        <f>E72+F72</f>
        <v>3205072.4699999997</v>
      </c>
      <c r="F73" s="1660"/>
      <c r="G73" s="1654">
        <f>G72+H72+I72</f>
        <v>2319718.2259999998</v>
      </c>
      <c r="H73" s="1655"/>
      <c r="I73" s="1656"/>
      <c r="J73" s="837"/>
      <c r="K73" s="838"/>
      <c r="L73" s="1659">
        <f>SUM(L72:M72)</f>
        <v>2966815.7238242398</v>
      </c>
      <c r="M73" s="1660"/>
      <c r="N73" s="839"/>
      <c r="O73" s="839"/>
      <c r="P73" s="839"/>
      <c r="Q73" s="839"/>
      <c r="R73" s="839"/>
      <c r="S73" s="839"/>
      <c r="T73" s="839"/>
      <c r="U73" s="839"/>
      <c r="X73" s="840"/>
    </row>
    <row r="74" spans="1:24" s="842" customFormat="1" ht="15" x14ac:dyDescent="0.2">
      <c r="A74" s="841"/>
      <c r="D74" s="874">
        <f>D35-D72</f>
        <v>0</v>
      </c>
      <c r="E74" s="1669">
        <f>E72+H72+G72</f>
        <v>3190072.4699999997</v>
      </c>
      <c r="F74" s="1671"/>
      <c r="G74" s="1671"/>
      <c r="H74" s="1672"/>
      <c r="I74" s="836"/>
      <c r="J74" s="873"/>
      <c r="K74" s="844"/>
      <c r="N74" s="839"/>
      <c r="O74" s="839"/>
      <c r="P74" s="839"/>
      <c r="Q74" s="839"/>
      <c r="R74" s="839"/>
      <c r="S74" s="839"/>
      <c r="T74" s="839"/>
      <c r="U74" s="839"/>
      <c r="V74" s="835"/>
      <c r="W74" s="835"/>
      <c r="X74" s="840"/>
    </row>
    <row r="75" spans="1:24" s="842" customFormat="1" ht="15" x14ac:dyDescent="0.2">
      <c r="A75" s="841"/>
      <c r="D75" s="843"/>
      <c r="E75" s="843"/>
      <c r="F75" s="836"/>
      <c r="G75" s="843"/>
      <c r="H75" s="1669">
        <f>H72+I72</f>
        <v>340876</v>
      </c>
      <c r="I75" s="1670"/>
      <c r="J75" s="836"/>
      <c r="K75" s="844"/>
      <c r="N75" s="839"/>
      <c r="O75" s="839"/>
      <c r="P75" s="839"/>
      <c r="Q75" s="839"/>
      <c r="R75" s="839"/>
      <c r="S75" s="839"/>
      <c r="T75" s="839"/>
      <c r="U75" s="839"/>
      <c r="V75" s="835"/>
      <c r="W75" s="835"/>
      <c r="X75" s="840"/>
    </row>
    <row r="76" spans="1:24" s="842" customFormat="1" ht="15" x14ac:dyDescent="0.2">
      <c r="A76" s="841"/>
      <c r="D76" s="843"/>
      <c r="E76" s="843"/>
      <c r="F76" s="836"/>
      <c r="G76" s="843"/>
      <c r="H76" s="1352"/>
      <c r="I76" s="1352"/>
      <c r="J76" s="836"/>
      <c r="K76" s="844"/>
      <c r="N76" s="839"/>
      <c r="O76" s="839"/>
      <c r="P76" s="839"/>
      <c r="Q76" s="839"/>
      <c r="R76" s="839"/>
      <c r="S76" s="839"/>
      <c r="T76" s="839"/>
      <c r="U76" s="839"/>
      <c r="V76" s="835"/>
      <c r="W76" s="835"/>
      <c r="X76" s="840"/>
    </row>
    <row r="77" spans="1:24" s="842" customFormat="1" x14ac:dyDescent="0.2">
      <c r="A77" s="661" t="s">
        <v>699</v>
      </c>
      <c r="B77" s="662"/>
      <c r="C77" s="662"/>
      <c r="D77" s="662"/>
      <c r="E77" s="662"/>
      <c r="F77" s="662"/>
      <c r="G77" s="662"/>
      <c r="H77" s="662"/>
      <c r="I77" s="662"/>
      <c r="J77" s="662"/>
      <c r="K77" s="662"/>
      <c r="L77" s="662"/>
      <c r="M77" s="663"/>
      <c r="N77" s="662"/>
      <c r="O77" s="839"/>
      <c r="P77" s="839"/>
      <c r="Q77" s="839"/>
      <c r="R77" s="839"/>
      <c r="S77" s="839"/>
      <c r="T77" s="839"/>
      <c r="U77" s="839"/>
      <c r="V77" s="835"/>
      <c r="W77" s="835"/>
      <c r="X77" s="840"/>
    </row>
    <row r="78" spans="1:24" s="842" customFormat="1" ht="13.5" thickBot="1" x14ac:dyDescent="0.25">
      <c r="A78" s="455" t="s">
        <v>289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57"/>
      <c r="N78" s="1"/>
      <c r="O78" s="839"/>
      <c r="P78" s="839"/>
      <c r="Q78" s="839"/>
      <c r="R78" s="839"/>
      <c r="S78" s="839"/>
      <c r="T78" s="839"/>
      <c r="U78" s="839"/>
      <c r="V78" s="835"/>
      <c r="W78" s="835"/>
      <c r="X78" s="840"/>
    </row>
    <row r="79" spans="1:24" s="842" customFormat="1" x14ac:dyDescent="0.2">
      <c r="A79" s="75"/>
      <c r="B79" s="359"/>
      <c r="C79" s="240"/>
      <c r="D79" s="1647" t="s">
        <v>665</v>
      </c>
      <c r="E79" s="1648"/>
      <c r="F79" s="1648"/>
      <c r="G79" s="1648"/>
      <c r="H79" s="1648"/>
      <c r="I79" s="1648"/>
      <c r="J79" s="1649"/>
      <c r="K79" s="1662" t="s">
        <v>589</v>
      </c>
      <c r="L79" s="1663"/>
      <c r="M79" s="1663"/>
      <c r="N79" s="1664"/>
      <c r="O79" s="839"/>
      <c r="P79" s="849">
        <v>2020</v>
      </c>
      <c r="Q79" s="850">
        <v>2019</v>
      </c>
      <c r="R79" s="839"/>
      <c r="S79" s="839"/>
      <c r="T79" s="839"/>
      <c r="U79" s="839"/>
      <c r="V79" s="835"/>
      <c r="W79" s="835"/>
      <c r="X79" s="840"/>
    </row>
    <row r="80" spans="1:24" s="842" customFormat="1" x14ac:dyDescent="0.2">
      <c r="A80" s="360"/>
      <c r="B80" s="9"/>
      <c r="C80" s="10"/>
      <c r="D80" s="779" t="s">
        <v>132</v>
      </c>
      <c r="E80" s="1653" t="s">
        <v>169</v>
      </c>
      <c r="F80" s="1653"/>
      <c r="G80" s="1653"/>
      <c r="H80" s="1653"/>
      <c r="I80" s="1653"/>
      <c r="J80" s="552" t="s">
        <v>241</v>
      </c>
      <c r="K80" s="553" t="s">
        <v>132</v>
      </c>
      <c r="L80" s="1661" t="s">
        <v>30</v>
      </c>
      <c r="M80" s="1653"/>
      <c r="N80" s="1673"/>
      <c r="O80" s="839"/>
      <c r="P80" s="851"/>
      <c r="Q80" s="852"/>
      <c r="R80" s="839"/>
      <c r="S80" s="839"/>
      <c r="T80" s="839"/>
      <c r="U80" s="839"/>
      <c r="V80" s="835"/>
      <c r="W80" s="835"/>
      <c r="X80" s="840"/>
    </row>
    <row r="81" spans="1:24" s="842" customFormat="1" x14ac:dyDescent="0.2">
      <c r="A81" s="360"/>
      <c r="B81" s="9" t="s">
        <v>35</v>
      </c>
      <c r="C81" s="10"/>
      <c r="D81" s="780" t="s">
        <v>133</v>
      </c>
      <c r="E81" s="1667" t="s">
        <v>678</v>
      </c>
      <c r="F81" s="4" t="s">
        <v>64</v>
      </c>
      <c r="G81" s="1657" t="s">
        <v>65</v>
      </c>
      <c r="H81" s="1658"/>
      <c r="I81" s="1658"/>
      <c r="J81" s="554" t="s">
        <v>243</v>
      </c>
      <c r="K81" s="553" t="s">
        <v>133</v>
      </c>
      <c r="L81" s="1667" t="s">
        <v>678</v>
      </c>
      <c r="M81" s="368" t="s">
        <v>64</v>
      </c>
      <c r="N81" s="704" t="s">
        <v>103</v>
      </c>
      <c r="O81" s="839"/>
      <c r="P81" s="853" t="s">
        <v>325</v>
      </c>
      <c r="Q81" s="854" t="s">
        <v>325</v>
      </c>
      <c r="R81" s="839"/>
      <c r="S81" s="839"/>
      <c r="T81" s="839"/>
      <c r="U81" s="839"/>
      <c r="V81" s="835"/>
      <c r="W81" s="835"/>
      <c r="X81" s="840"/>
    </row>
    <row r="82" spans="1:24" s="842" customFormat="1" ht="13.5" thickBot="1" x14ac:dyDescent="0.25">
      <c r="A82" s="362" t="s">
        <v>33</v>
      </c>
      <c r="B82" s="363" t="s">
        <v>36</v>
      </c>
      <c r="C82" s="364"/>
      <c r="D82" s="781" t="s">
        <v>244</v>
      </c>
      <c r="E82" s="1668"/>
      <c r="F82" s="409" t="s">
        <v>16</v>
      </c>
      <c r="G82" s="410" t="s">
        <v>31</v>
      </c>
      <c r="H82" s="411" t="s">
        <v>617</v>
      </c>
      <c r="I82" s="412" t="s">
        <v>32</v>
      </c>
      <c r="J82" s="555" t="s">
        <v>242</v>
      </c>
      <c r="K82" s="556" t="s">
        <v>244</v>
      </c>
      <c r="L82" s="1668"/>
      <c r="M82" s="705" t="s">
        <v>16</v>
      </c>
      <c r="N82" s="710"/>
      <c r="O82" s="839"/>
      <c r="P82" s="853"/>
      <c r="Q82" s="854"/>
      <c r="R82" s="839"/>
      <c r="S82" s="839"/>
      <c r="T82" s="839"/>
      <c r="U82" s="839"/>
      <c r="V82" s="835"/>
      <c r="W82" s="835"/>
      <c r="X82" s="840"/>
    </row>
    <row r="83" spans="1:24" s="842" customFormat="1" ht="13.5" thickBot="1" x14ac:dyDescent="0.25">
      <c r="A83" s="413"/>
      <c r="B83" s="11"/>
      <c r="C83" s="414" t="s">
        <v>212</v>
      </c>
      <c r="D83" s="782"/>
      <c r="E83" s="1336">
        <v>2112</v>
      </c>
      <c r="F83" s="416"/>
      <c r="G83" s="417">
        <v>1111</v>
      </c>
      <c r="H83" s="418">
        <v>1112</v>
      </c>
      <c r="I83" s="419">
        <v>1112</v>
      </c>
      <c r="J83" s="558">
        <v>4769</v>
      </c>
      <c r="K83" s="420"/>
      <c r="L83" s="1336"/>
      <c r="M83" s="706"/>
      <c r="N83" s="711"/>
      <c r="O83" s="839"/>
      <c r="P83" s="867" t="s">
        <v>475</v>
      </c>
      <c r="Q83" s="868" t="s">
        <v>475</v>
      </c>
      <c r="R83" s="839"/>
      <c r="S83" s="839"/>
      <c r="T83" s="839"/>
      <c r="U83" s="839"/>
      <c r="V83" s="835"/>
      <c r="W83" s="835"/>
      <c r="X83" s="840"/>
    </row>
    <row r="84" spans="1:24" s="842" customFormat="1" x14ac:dyDescent="0.2">
      <c r="A84" s="252">
        <v>54</v>
      </c>
      <c r="B84" s="264">
        <v>11</v>
      </c>
      <c r="C84" s="10" t="s">
        <v>7</v>
      </c>
      <c r="D84" s="783">
        <f>SUM(E84:F84)</f>
        <v>404090.2</v>
      </c>
      <c r="E84" s="675">
        <f>'pom1 - Přerozdělení DKRVO'!Q10</f>
        <v>87899</v>
      </c>
      <c r="F84" s="422">
        <f>SUM(G84:H84)</f>
        <v>316191.2</v>
      </c>
      <c r="G84" s="641">
        <f>'pom1 - Přerozdělení DKRVO'!H10+'pom1 - Přerozdělení DKRVO'!N10</f>
        <v>316191.2</v>
      </c>
      <c r="H84" s="539">
        <f>'pom1 - Přerozdělení DKRVO'!M10</f>
        <v>0</v>
      </c>
      <c r="I84" s="425"/>
      <c r="J84" s="426"/>
      <c r="K84" s="427">
        <f>SUM(L84:N84)</f>
        <v>362670.3</v>
      </c>
      <c r="L84" s="428">
        <v>75751</v>
      </c>
      <c r="M84" s="534">
        <v>286919.3</v>
      </c>
      <c r="N84" s="694"/>
      <c r="O84" s="839"/>
      <c r="P84" s="861">
        <v>8973.5259747917225</v>
      </c>
      <c r="Q84" s="855">
        <v>9564.1029746894492</v>
      </c>
      <c r="R84" s="839"/>
      <c r="S84" s="839"/>
      <c r="T84" s="839"/>
      <c r="U84" s="839"/>
      <c r="V84" s="835"/>
      <c r="W84" s="835"/>
      <c r="X84" s="840"/>
    </row>
    <row r="85" spans="1:24" s="842" customFormat="1" x14ac:dyDescent="0.2">
      <c r="A85" s="242">
        <v>55</v>
      </c>
      <c r="B85" s="429">
        <v>21</v>
      </c>
      <c r="C85" s="7" t="s">
        <v>8</v>
      </c>
      <c r="D85" s="784">
        <f t="shared" ref="D85:D91" si="20">SUM(E85:F85)</f>
        <v>401336.7</v>
      </c>
      <c r="E85" s="675">
        <f>'pom1 - Přerozdělení DKRVO'!Q11</f>
        <v>84127</v>
      </c>
      <c r="F85" s="430">
        <f t="shared" ref="F85:F92" si="21">SUM(G85:H85)</f>
        <v>317209.7</v>
      </c>
      <c r="G85" s="641">
        <f>'pom1 - Přerozdělení DKRVO'!H11+'pom1 - Přerozdělení DKRVO'!N11</f>
        <v>317083.7</v>
      </c>
      <c r="H85" s="381">
        <f>'pom1 - Přerozdělení DKRVO'!M11</f>
        <v>126</v>
      </c>
      <c r="I85" s="537"/>
      <c r="J85" s="433"/>
      <c r="K85" s="427">
        <f t="shared" ref="K85:K92" si="22">SUM(L85:N85)</f>
        <v>379954.2</v>
      </c>
      <c r="L85" s="430">
        <v>74632</v>
      </c>
      <c r="M85" s="535">
        <v>305322.2</v>
      </c>
      <c r="N85" s="695"/>
      <c r="O85" s="839"/>
      <c r="P85" s="861">
        <v>7863.2340673354292</v>
      </c>
      <c r="Q85" s="857">
        <v>7841.2155847160138</v>
      </c>
      <c r="R85" s="839"/>
      <c r="S85" s="839"/>
      <c r="T85" s="839"/>
      <c r="U85" s="839"/>
      <c r="V85" s="835"/>
      <c r="W85" s="835"/>
      <c r="X85" s="840"/>
    </row>
    <row r="86" spans="1:24" s="842" customFormat="1" x14ac:dyDescent="0.2">
      <c r="A86" s="242">
        <v>56</v>
      </c>
      <c r="B86" s="429">
        <v>22</v>
      </c>
      <c r="C86" s="7" t="s">
        <v>9</v>
      </c>
      <c r="D86" s="784">
        <f t="shared" si="20"/>
        <v>147962.9</v>
      </c>
      <c r="E86" s="675">
        <f>'pom1 - Přerozdělení DKRVO'!Q12</f>
        <v>31754</v>
      </c>
      <c r="F86" s="430">
        <f t="shared" si="21"/>
        <v>116208.9</v>
      </c>
      <c r="G86" s="641">
        <f>'pom1 - Přerozdělení DKRVO'!H12+'pom1 - Přerozdělení DKRVO'!N12</f>
        <v>116208.9</v>
      </c>
      <c r="H86" s="381">
        <f>'pom1 - Přerozdělení DKRVO'!M12</f>
        <v>0</v>
      </c>
      <c r="I86" s="537"/>
      <c r="J86" s="433"/>
      <c r="K86" s="427">
        <f t="shared" si="22"/>
        <v>139277.1</v>
      </c>
      <c r="L86" s="430">
        <v>26144</v>
      </c>
      <c r="M86" s="535">
        <v>113133.1</v>
      </c>
      <c r="N86" s="695"/>
      <c r="O86" s="839"/>
      <c r="P86" s="861">
        <v>2730.8001475518736</v>
      </c>
      <c r="Q86" s="857">
        <v>2672.40900792915</v>
      </c>
      <c r="R86" s="839"/>
      <c r="S86" s="839"/>
      <c r="T86" s="839"/>
      <c r="U86" s="839"/>
      <c r="V86" s="835"/>
      <c r="W86" s="835"/>
      <c r="X86" s="840"/>
    </row>
    <row r="87" spans="1:24" s="842" customFormat="1" x14ac:dyDescent="0.2">
      <c r="A87" s="242">
        <v>57</v>
      </c>
      <c r="B87" s="429">
        <v>23</v>
      </c>
      <c r="C87" s="7" t="s">
        <v>10</v>
      </c>
      <c r="D87" s="784">
        <f t="shared" si="20"/>
        <v>187591.4</v>
      </c>
      <c r="E87" s="675">
        <f>'pom1 - Přerozdělení DKRVO'!Q13</f>
        <v>54373</v>
      </c>
      <c r="F87" s="430">
        <f t="shared" si="21"/>
        <v>133218.4</v>
      </c>
      <c r="G87" s="641">
        <f>'pom1 - Přerozdělení DKRVO'!H13+'pom1 - Přerozdělení DKRVO'!N13</f>
        <v>133218.4</v>
      </c>
      <c r="H87" s="381">
        <f>'pom1 - Přerozdělení DKRVO'!M13</f>
        <v>0</v>
      </c>
      <c r="I87" s="537"/>
      <c r="J87" s="433"/>
      <c r="K87" s="427">
        <f t="shared" si="22"/>
        <v>166686.9</v>
      </c>
      <c r="L87" s="430">
        <v>40035</v>
      </c>
      <c r="M87" s="535">
        <v>126651.9</v>
      </c>
      <c r="N87" s="695"/>
      <c r="O87" s="839"/>
      <c r="P87" s="861">
        <v>3826.1349880876537</v>
      </c>
      <c r="Q87" s="857">
        <v>3773.2555044681712</v>
      </c>
      <c r="R87" s="839"/>
      <c r="S87" s="839"/>
      <c r="T87" s="839"/>
      <c r="U87" s="839"/>
      <c r="V87" s="835"/>
      <c r="W87" s="835"/>
      <c r="X87" s="840"/>
    </row>
    <row r="88" spans="1:24" s="842" customFormat="1" x14ac:dyDescent="0.2">
      <c r="A88" s="242">
        <v>58</v>
      </c>
      <c r="B88" s="429">
        <v>31</v>
      </c>
      <c r="C88" s="7" t="s">
        <v>11</v>
      </c>
      <c r="D88" s="784">
        <f t="shared" si="20"/>
        <v>608066.9</v>
      </c>
      <c r="E88" s="675">
        <f>'pom1 - Přerozdělení DKRVO'!Q14</f>
        <v>301958</v>
      </c>
      <c r="F88" s="430">
        <f t="shared" si="21"/>
        <v>306108.90000000002</v>
      </c>
      <c r="G88" s="641">
        <f>'pom1 - Přerozdělení DKRVO'!H14+'pom1 - Přerozdělení DKRVO'!N14</f>
        <v>303408.90000000002</v>
      </c>
      <c r="H88" s="381">
        <f>'pom1 - Přerozdělení DKRVO'!M14</f>
        <v>2700</v>
      </c>
      <c r="I88" s="537"/>
      <c r="J88" s="433"/>
      <c r="K88" s="427">
        <f t="shared" si="22"/>
        <v>571658</v>
      </c>
      <c r="L88" s="430">
        <v>274096</v>
      </c>
      <c r="M88" s="535">
        <v>297562</v>
      </c>
      <c r="N88" s="695"/>
      <c r="O88" s="839"/>
      <c r="P88" s="861">
        <v>13413.547725770739</v>
      </c>
      <c r="Q88" s="857">
        <v>13424.410972298823</v>
      </c>
      <c r="R88" s="839"/>
      <c r="S88" s="839"/>
      <c r="T88" s="839"/>
      <c r="U88" s="839"/>
      <c r="V88" s="835"/>
      <c r="W88" s="835"/>
      <c r="X88" s="840"/>
    </row>
    <row r="89" spans="1:24" s="842" customFormat="1" x14ac:dyDescent="0.2">
      <c r="A89" s="242">
        <v>59</v>
      </c>
      <c r="B89" s="429">
        <v>33</v>
      </c>
      <c r="C89" s="7" t="s">
        <v>12</v>
      </c>
      <c r="D89" s="784">
        <f t="shared" si="20"/>
        <v>211785.1</v>
      </c>
      <c r="E89" s="675">
        <f>'pom1 - Přerozdělení DKRVO'!Q15</f>
        <v>52976</v>
      </c>
      <c r="F89" s="430">
        <f t="shared" si="21"/>
        <v>158809.1</v>
      </c>
      <c r="G89" s="641">
        <f>'pom1 - Přerozdělení DKRVO'!H15+'pom1 - Přerozdělení DKRVO'!N15</f>
        <v>112104.1</v>
      </c>
      <c r="H89" s="381">
        <f>'pom1 - Přerozdělení DKRVO'!M15</f>
        <v>46705</v>
      </c>
      <c r="I89" s="537"/>
      <c r="J89" s="433"/>
      <c r="K89" s="427">
        <f t="shared" si="22"/>
        <v>201573.2</v>
      </c>
      <c r="L89" s="430">
        <v>46326</v>
      </c>
      <c r="M89" s="535">
        <v>155247.20000000001</v>
      </c>
      <c r="N89" s="695"/>
      <c r="O89" s="839"/>
      <c r="P89" s="861">
        <v>3508.0514164369965</v>
      </c>
      <c r="Q89" s="857">
        <v>3435.9584686312101</v>
      </c>
      <c r="R89" s="839"/>
      <c r="S89" s="839"/>
      <c r="T89" s="839"/>
      <c r="U89" s="839"/>
      <c r="V89" s="835"/>
      <c r="W89" s="835"/>
      <c r="X89" s="840"/>
    </row>
    <row r="90" spans="1:24" s="842" customFormat="1" x14ac:dyDescent="0.2">
      <c r="A90" s="242">
        <v>60</v>
      </c>
      <c r="B90" s="429">
        <v>41</v>
      </c>
      <c r="C90" s="7" t="s">
        <v>13</v>
      </c>
      <c r="D90" s="784">
        <f t="shared" si="20"/>
        <v>234510.6</v>
      </c>
      <c r="E90" s="675">
        <f>'pom1 - Přerozdělení DKRVO'!Q16</f>
        <v>34842</v>
      </c>
      <c r="F90" s="430">
        <f t="shared" si="21"/>
        <v>199668.6</v>
      </c>
      <c r="G90" s="641">
        <f>'pom1 - Přerozdělení DKRVO'!H16+'pom1 - Přerozdělení DKRVO'!N16</f>
        <v>199268.6</v>
      </c>
      <c r="H90" s="381">
        <f>'pom1 - Přerozdělení DKRVO'!M16</f>
        <v>400</v>
      </c>
      <c r="I90" s="537"/>
      <c r="J90" s="433"/>
      <c r="K90" s="427">
        <f t="shared" si="22"/>
        <v>209417</v>
      </c>
      <c r="L90" s="430">
        <v>29593</v>
      </c>
      <c r="M90" s="535">
        <v>179824</v>
      </c>
      <c r="N90" s="695"/>
      <c r="O90" s="839"/>
      <c r="P90" s="861">
        <v>4823.0609259165467</v>
      </c>
      <c r="Q90" s="857">
        <v>4327.9891974370512</v>
      </c>
      <c r="R90" s="839"/>
      <c r="S90" s="839"/>
      <c r="T90" s="839"/>
      <c r="U90" s="839"/>
      <c r="V90" s="835"/>
      <c r="W90" s="835"/>
      <c r="X90" s="840"/>
    </row>
    <row r="91" spans="1:24" s="842" customFormat="1" x14ac:dyDescent="0.2">
      <c r="A91" s="242">
        <v>61</v>
      </c>
      <c r="B91" s="429">
        <v>51</v>
      </c>
      <c r="C91" s="7" t="s">
        <v>211</v>
      </c>
      <c r="D91" s="784">
        <f t="shared" si="20"/>
        <v>101174.3</v>
      </c>
      <c r="E91" s="675">
        <f>'pom1 - Přerozdělení DKRVO'!Q17</f>
        <v>8068</v>
      </c>
      <c r="F91" s="430">
        <f t="shared" si="21"/>
        <v>93106.3</v>
      </c>
      <c r="G91" s="641">
        <f>'pom1 - Přerozdělení DKRVO'!H17+'pom1 - Přerozdělení DKRVO'!N17</f>
        <v>92606.3</v>
      </c>
      <c r="H91" s="381">
        <f>'pom1 - Přerozdělení DKRVO'!M17</f>
        <v>500</v>
      </c>
      <c r="I91" s="537"/>
      <c r="J91" s="433"/>
      <c r="K91" s="427">
        <f t="shared" si="22"/>
        <v>94354.8</v>
      </c>
      <c r="L91" s="430">
        <v>4504</v>
      </c>
      <c r="M91" s="535">
        <v>89850.8</v>
      </c>
      <c r="N91" s="695"/>
      <c r="O91" s="839"/>
      <c r="P91" s="861">
        <v>1220.8078068367734</v>
      </c>
      <c r="Q91" s="857">
        <v>1293.1923447840993</v>
      </c>
      <c r="R91" s="839"/>
      <c r="S91" s="839"/>
      <c r="T91" s="839"/>
      <c r="U91" s="839"/>
      <c r="V91" s="835"/>
      <c r="W91" s="835"/>
      <c r="X91" s="840"/>
    </row>
    <row r="92" spans="1:24" s="842" customFormat="1" x14ac:dyDescent="0.2">
      <c r="A92" s="3">
        <v>62</v>
      </c>
      <c r="B92" s="435">
        <v>56</v>
      </c>
      <c r="C92" s="436" t="s">
        <v>15</v>
      </c>
      <c r="D92" s="783">
        <f>SUM(E92:F92)</f>
        <v>144381.20000000001</v>
      </c>
      <c r="E92" s="675">
        <f>'pom1 - Přerozdělení DKRVO'!Q18</f>
        <v>23521</v>
      </c>
      <c r="F92" s="422">
        <f t="shared" si="21"/>
        <v>120860.2</v>
      </c>
      <c r="G92" s="641">
        <f>'pom1 - Přerozdělení DKRVO'!H18+'pom1 - Přerozdělení DKRVO'!N18</f>
        <v>120860.2</v>
      </c>
      <c r="H92" s="646">
        <f>'pom1 - Přerozdělení DKRVO'!M18</f>
        <v>0</v>
      </c>
      <c r="I92" s="623"/>
      <c r="J92" s="451"/>
      <c r="K92" s="647">
        <f t="shared" si="22"/>
        <v>132945.60000000001</v>
      </c>
      <c r="L92" s="439">
        <v>15987</v>
      </c>
      <c r="M92" s="645">
        <v>116958.6</v>
      </c>
      <c r="N92" s="696"/>
      <c r="O92" s="839"/>
      <c r="P92" s="861">
        <v>2676.7172823182709</v>
      </c>
      <c r="Q92" s="857">
        <v>2558.7332947001728</v>
      </c>
      <c r="R92" s="839"/>
      <c r="S92" s="839"/>
      <c r="T92" s="839"/>
      <c r="U92" s="839"/>
      <c r="V92" s="835"/>
      <c r="W92" s="835"/>
      <c r="X92" s="840"/>
    </row>
    <row r="93" spans="1:24" s="842" customFormat="1" x14ac:dyDescent="0.2">
      <c r="A93" s="602">
        <v>63</v>
      </c>
      <c r="B93" s="441" t="s">
        <v>37</v>
      </c>
      <c r="C93" s="442"/>
      <c r="D93" s="785">
        <f>SUM(D84:D92)</f>
        <v>2440899.3000000003</v>
      </c>
      <c r="E93" s="676">
        <f t="shared" ref="E93:M93" si="23">SUM(E84:E92)</f>
        <v>679518</v>
      </c>
      <c r="F93" s="624">
        <f t="shared" si="23"/>
        <v>1761381.3000000003</v>
      </c>
      <c r="G93" s="648">
        <f t="shared" si="23"/>
        <v>1710950.3000000003</v>
      </c>
      <c r="H93" s="625">
        <f t="shared" si="23"/>
        <v>50431</v>
      </c>
      <c r="I93" s="792">
        <f t="shared" si="23"/>
        <v>0</v>
      </c>
      <c r="J93" s="791">
        <f t="shared" si="23"/>
        <v>0</v>
      </c>
      <c r="K93" s="583">
        <f t="shared" si="23"/>
        <v>2258537.1</v>
      </c>
      <c r="L93" s="456">
        <f t="shared" si="23"/>
        <v>587068</v>
      </c>
      <c r="M93" s="707">
        <f t="shared" si="23"/>
        <v>1671469.1</v>
      </c>
      <c r="N93" s="714">
        <v>0</v>
      </c>
      <c r="O93" s="839"/>
      <c r="P93" s="1309">
        <f>'Rozdělení IRP'!E17</f>
        <v>49035.880335046015</v>
      </c>
      <c r="Q93" s="858">
        <v>48891.267349654139</v>
      </c>
      <c r="R93" s="839"/>
      <c r="S93" s="839"/>
      <c r="T93" s="839"/>
      <c r="U93" s="839"/>
      <c r="V93" s="835"/>
      <c r="W93" s="835"/>
      <c r="X93" s="840"/>
    </row>
    <row r="94" spans="1:24" s="842" customFormat="1" x14ac:dyDescent="0.2">
      <c r="A94" s="3">
        <v>64</v>
      </c>
      <c r="B94" s="376">
        <v>71</v>
      </c>
      <c r="C94" s="7" t="s">
        <v>186</v>
      </c>
      <c r="D94" s="786">
        <f>SUM(E94:F94)</f>
        <v>123125</v>
      </c>
      <c r="E94" s="675">
        <f>'pom1 - Přerozdělení DKRVO'!Q20</f>
        <v>99290</v>
      </c>
      <c r="F94" s="445">
        <f>SUM(G94:I94)</f>
        <v>23835</v>
      </c>
      <c r="G94" s="641">
        <f>'pom1 - Přerozdělení DKRVO'!H20+'pom1 - Přerozdělení DKRVO'!N20</f>
        <v>21835</v>
      </c>
      <c r="H94" s="454">
        <f>'pom1 - Přerozdělení DKRVO'!M20</f>
        <v>2000</v>
      </c>
      <c r="I94" s="425"/>
      <c r="J94" s="426"/>
      <c r="K94" s="427">
        <f>SUM(L94:N94)</f>
        <v>102878</v>
      </c>
      <c r="L94" s="683">
        <v>78184</v>
      </c>
      <c r="M94" s="712">
        <v>24694</v>
      </c>
      <c r="N94" s="447"/>
      <c r="O94" s="839"/>
      <c r="P94" s="861">
        <v>4825</v>
      </c>
      <c r="Q94" s="860">
        <v>2489.60478601665</v>
      </c>
      <c r="R94" s="839"/>
      <c r="S94" s="839"/>
      <c r="T94" s="839"/>
      <c r="U94" s="839"/>
      <c r="V94" s="835"/>
      <c r="W94" s="835"/>
      <c r="X94" s="840"/>
    </row>
    <row r="95" spans="1:24" s="842" customFormat="1" x14ac:dyDescent="0.2">
      <c r="A95" s="242">
        <v>65</v>
      </c>
      <c r="B95" s="376">
        <v>79</v>
      </c>
      <c r="C95" s="7" t="s">
        <v>252</v>
      </c>
      <c r="D95" s="784">
        <f t="shared" ref="D95:D104" si="24">SUM(E95:F95)</f>
        <v>5340</v>
      </c>
      <c r="E95" s="675">
        <f>'pom1 - Přerozdělení DKRVO'!Q21</f>
        <v>5340</v>
      </c>
      <c r="F95" s="445">
        <f t="shared" ref="F95:F104" si="25">SUM(G95:I95)</f>
        <v>0</v>
      </c>
      <c r="G95" s="535">
        <f>'pom1 - Přerozdělení DKRVO'!H21+'pom1 - Přerozdělení DKRVO'!N21</f>
        <v>0</v>
      </c>
      <c r="H95" s="540">
        <f>'pom1 - Přerozdělení DKRVO'!M21</f>
        <v>0</v>
      </c>
      <c r="I95" s="432"/>
      <c r="J95" s="433"/>
      <c r="K95" s="427">
        <f t="shared" ref="K95:K105" si="26">SUM(L95:N95)</f>
        <v>5340</v>
      </c>
      <c r="L95" s="445">
        <v>5340</v>
      </c>
      <c r="M95" s="536">
        <v>0</v>
      </c>
      <c r="N95" s="448"/>
      <c r="O95" s="839"/>
      <c r="P95" s="861"/>
      <c r="Q95" s="862"/>
      <c r="R95" s="839"/>
      <c r="S95" s="839"/>
      <c r="T95" s="839"/>
      <c r="U95" s="839"/>
      <c r="V95" s="835"/>
      <c r="W95" s="835"/>
      <c r="X95" s="840"/>
    </row>
    <row r="96" spans="1:24" s="842" customFormat="1" x14ac:dyDescent="0.2">
      <c r="A96" s="242">
        <v>66</v>
      </c>
      <c r="B96" s="376">
        <v>81</v>
      </c>
      <c r="C96" s="7" t="s">
        <v>68</v>
      </c>
      <c r="D96" s="784">
        <f t="shared" si="24"/>
        <v>0</v>
      </c>
      <c r="E96" s="675">
        <f>'pom1 - Přerozdělení DKRVO'!Q22</f>
        <v>0</v>
      </c>
      <c r="F96" s="445">
        <f t="shared" si="25"/>
        <v>0</v>
      </c>
      <c r="G96" s="535">
        <f>'pom1 - Přerozdělení DKRVO'!H22+'pom1 - Přerozdělení DKRVO'!N22</f>
        <v>0</v>
      </c>
      <c r="H96" s="540">
        <f>'pom1 - Přerozdělení DKRVO'!M22</f>
        <v>0</v>
      </c>
      <c r="I96" s="537"/>
      <c r="J96" s="433"/>
      <c r="K96" s="427">
        <f t="shared" si="26"/>
        <v>0</v>
      </c>
      <c r="L96" s="445">
        <v>0</v>
      </c>
      <c r="M96" s="536">
        <v>0</v>
      </c>
      <c r="N96" s="448"/>
      <c r="O96" s="839"/>
      <c r="P96" s="856"/>
      <c r="Q96" s="857"/>
      <c r="R96" s="839"/>
      <c r="S96" s="839"/>
      <c r="T96" s="839"/>
      <c r="U96" s="839"/>
      <c r="V96" s="835"/>
      <c r="W96" s="835"/>
      <c r="X96" s="840"/>
    </row>
    <row r="97" spans="1:24" s="842" customFormat="1" x14ac:dyDescent="0.2">
      <c r="A97" s="242">
        <v>67</v>
      </c>
      <c r="B97" s="376">
        <v>82</v>
      </c>
      <c r="C97" s="7" t="s">
        <v>1</v>
      </c>
      <c r="D97" s="784">
        <f t="shared" si="24"/>
        <v>9595</v>
      </c>
      <c r="E97" s="675">
        <f>'pom1 - Přerozdělení DKRVO'!Q23</f>
        <v>0</v>
      </c>
      <c r="F97" s="445">
        <f t="shared" si="25"/>
        <v>9595</v>
      </c>
      <c r="G97" s="535">
        <f>'pom1 - Přerozdělení DKRVO'!H23+'pom1 - Přerozdělení DKRVO'!N23</f>
        <v>0</v>
      </c>
      <c r="H97" s="540">
        <f>'pom1 - Přerozdělení DKRVO'!M23</f>
        <v>9595</v>
      </c>
      <c r="I97" s="537"/>
      <c r="J97" s="433"/>
      <c r="K97" s="427">
        <f t="shared" si="26"/>
        <v>9595</v>
      </c>
      <c r="L97" s="445">
        <v>0</v>
      </c>
      <c r="M97" s="536">
        <v>9595</v>
      </c>
      <c r="N97" s="448"/>
      <c r="O97" s="839"/>
      <c r="P97" s="856"/>
      <c r="Q97" s="857"/>
      <c r="R97" s="839"/>
      <c r="S97" s="839"/>
      <c r="T97" s="839"/>
      <c r="U97" s="839"/>
      <c r="V97" s="835"/>
      <c r="W97" s="835"/>
      <c r="X97" s="840"/>
    </row>
    <row r="98" spans="1:24" s="842" customFormat="1" x14ac:dyDescent="0.2">
      <c r="A98" s="242">
        <v>68</v>
      </c>
      <c r="B98" s="376">
        <v>83</v>
      </c>
      <c r="C98" s="7" t="s">
        <v>79</v>
      </c>
      <c r="D98" s="784">
        <f t="shared" si="24"/>
        <v>8570</v>
      </c>
      <c r="E98" s="675">
        <f>'pom1 - Přerozdělení DKRVO'!Q24</f>
        <v>0</v>
      </c>
      <c r="F98" s="445">
        <f t="shared" si="25"/>
        <v>8570</v>
      </c>
      <c r="G98" s="535">
        <f>'pom1 - Přerozdělení DKRVO'!H24+'pom1 - Přerozdělení DKRVO'!N24</f>
        <v>6500</v>
      </c>
      <c r="H98" s="540">
        <f>'pom1 - Přerozdělení DKRVO'!M24</f>
        <v>2070</v>
      </c>
      <c r="I98" s="537"/>
      <c r="J98" s="433"/>
      <c r="K98" s="427">
        <f t="shared" si="26"/>
        <v>8070</v>
      </c>
      <c r="L98" s="445">
        <v>0</v>
      </c>
      <c r="M98" s="536">
        <v>8070</v>
      </c>
      <c r="N98" s="448"/>
      <c r="O98" s="839"/>
      <c r="P98" s="856"/>
      <c r="Q98" s="857"/>
      <c r="R98" s="839"/>
      <c r="S98" s="839"/>
      <c r="T98" s="839"/>
      <c r="U98" s="839"/>
      <c r="V98" s="835"/>
      <c r="W98" s="835"/>
      <c r="X98" s="840"/>
    </row>
    <row r="99" spans="1:24" s="842" customFormat="1" x14ac:dyDescent="0.2">
      <c r="A99" s="242">
        <v>69</v>
      </c>
      <c r="B99" s="376">
        <v>84</v>
      </c>
      <c r="C99" s="7" t="s">
        <v>78</v>
      </c>
      <c r="D99" s="784">
        <f t="shared" si="24"/>
        <v>581</v>
      </c>
      <c r="E99" s="675">
        <f>'pom1 - Přerozdělení DKRVO'!Q25</f>
        <v>581</v>
      </c>
      <c r="F99" s="445">
        <f t="shared" si="25"/>
        <v>0</v>
      </c>
      <c r="G99" s="535">
        <f>'pom1 - Přerozdělení DKRVO'!H25+'pom1 - Přerozdělení DKRVO'!N25</f>
        <v>0</v>
      </c>
      <c r="H99" s="540">
        <f>'pom1 - Přerozdělení DKRVO'!M25</f>
        <v>0</v>
      </c>
      <c r="I99" s="537"/>
      <c r="J99" s="433"/>
      <c r="K99" s="427">
        <f t="shared" si="26"/>
        <v>1591</v>
      </c>
      <c r="L99" s="445">
        <v>581</v>
      </c>
      <c r="M99" s="536">
        <v>1010</v>
      </c>
      <c r="N99" s="448"/>
      <c r="O99" s="839"/>
      <c r="P99" s="856">
        <v>1000</v>
      </c>
      <c r="Q99" s="857">
        <v>1906</v>
      </c>
      <c r="R99" s="839"/>
      <c r="S99" s="839"/>
      <c r="T99" s="839"/>
      <c r="U99" s="839"/>
      <c r="V99" s="835"/>
      <c r="W99" s="835"/>
      <c r="X99" s="840"/>
    </row>
    <row r="100" spans="1:24" s="842" customFormat="1" x14ac:dyDescent="0.2">
      <c r="A100" s="242">
        <v>70</v>
      </c>
      <c r="B100" s="376">
        <v>85</v>
      </c>
      <c r="C100" s="7" t="s">
        <v>98</v>
      </c>
      <c r="D100" s="784">
        <f>SUM(E100:F100)</f>
        <v>2228.6999999999998</v>
      </c>
      <c r="E100" s="675">
        <f>'pom1 - Přerozdělení DKRVO'!Q26</f>
        <v>1793</v>
      </c>
      <c r="F100" s="445">
        <f t="shared" si="25"/>
        <v>435.7</v>
      </c>
      <c r="G100" s="535">
        <f>'pom1 - Přerozdělení DKRVO'!H26+'pom1 - Přerozdělení DKRVO'!N26</f>
        <v>435.7</v>
      </c>
      <c r="H100" s="540">
        <f>'pom1 - Přerozdělení DKRVO'!M26</f>
        <v>0</v>
      </c>
      <c r="I100" s="537"/>
      <c r="J100" s="433"/>
      <c r="K100" s="427">
        <f t="shared" si="26"/>
        <v>2535.8000000000002</v>
      </c>
      <c r="L100" s="445">
        <v>1793</v>
      </c>
      <c r="M100" s="536">
        <v>742.8</v>
      </c>
      <c r="N100" s="448"/>
      <c r="O100" s="839"/>
      <c r="P100" s="856"/>
      <c r="Q100" s="857"/>
      <c r="R100" s="839"/>
      <c r="S100" s="839"/>
      <c r="T100" s="839"/>
      <c r="U100" s="839"/>
      <c r="V100" s="835"/>
      <c r="W100" s="835"/>
      <c r="X100" s="840"/>
    </row>
    <row r="101" spans="1:24" s="842" customFormat="1" x14ac:dyDescent="0.2">
      <c r="A101" s="242">
        <v>71</v>
      </c>
      <c r="B101" s="376">
        <v>87</v>
      </c>
      <c r="C101" s="7" t="s">
        <v>126</v>
      </c>
      <c r="D101" s="784">
        <f t="shared" si="24"/>
        <v>9019</v>
      </c>
      <c r="E101" s="675">
        <f>'pom1 - Přerozdělení DKRVO'!Q27</f>
        <v>9019</v>
      </c>
      <c r="F101" s="445">
        <f t="shared" si="25"/>
        <v>0</v>
      </c>
      <c r="G101" s="535">
        <f>'pom1 - Přerozdělení DKRVO'!H27+'pom1 - Přerozdělení DKRVO'!N27</f>
        <v>0</v>
      </c>
      <c r="H101" s="540">
        <f>'pom1 - Přerozdělení DKRVO'!M27</f>
        <v>0</v>
      </c>
      <c r="I101" s="537"/>
      <c r="J101" s="433"/>
      <c r="K101" s="427">
        <f t="shared" si="26"/>
        <v>9019</v>
      </c>
      <c r="L101" s="445">
        <v>9019</v>
      </c>
      <c r="M101" s="536">
        <v>0</v>
      </c>
      <c r="N101" s="448"/>
      <c r="O101" s="839"/>
      <c r="P101" s="856"/>
      <c r="Q101" s="857"/>
      <c r="R101" s="839"/>
      <c r="S101" s="839"/>
      <c r="T101" s="839"/>
      <c r="U101" s="839"/>
      <c r="V101" s="835"/>
      <c r="W101" s="835"/>
      <c r="X101" s="840"/>
    </row>
    <row r="102" spans="1:24" s="842" customFormat="1" x14ac:dyDescent="0.2">
      <c r="A102" s="242">
        <v>72</v>
      </c>
      <c r="B102" s="376">
        <v>92</v>
      </c>
      <c r="C102" s="7" t="s">
        <v>17</v>
      </c>
      <c r="D102" s="784">
        <f t="shared" si="24"/>
        <v>178341</v>
      </c>
      <c r="E102" s="675">
        <f>'pom1 - Přerozdělení DKRVO'!Q28</f>
        <v>9151</v>
      </c>
      <c r="F102" s="445">
        <f t="shared" si="25"/>
        <v>169190</v>
      </c>
      <c r="G102" s="535">
        <f>'pom1 - Přerozdělení DKRVO'!H28+'pom1 - Přerozdělení DKRVO'!N28</f>
        <v>112952</v>
      </c>
      <c r="H102" s="540">
        <f>'pom1 - Přerozdělení DKRVO'!M28</f>
        <v>56238</v>
      </c>
      <c r="I102" s="537"/>
      <c r="J102" s="433"/>
      <c r="K102" s="427">
        <f t="shared" si="26"/>
        <v>169132</v>
      </c>
      <c r="L102" s="445">
        <v>5136</v>
      </c>
      <c r="M102" s="536">
        <v>163996</v>
      </c>
      <c r="N102" s="448"/>
      <c r="O102" s="839"/>
      <c r="P102" s="856">
        <v>485</v>
      </c>
      <c r="Q102" s="857">
        <v>1020.153078312555</v>
      </c>
      <c r="R102" s="839"/>
      <c r="S102" s="839"/>
      <c r="T102" s="839"/>
      <c r="U102" s="839"/>
      <c r="V102" s="835"/>
      <c r="W102" s="835"/>
      <c r="X102" s="840"/>
    </row>
    <row r="103" spans="1:24" s="842" customFormat="1" x14ac:dyDescent="0.2">
      <c r="A103" s="242">
        <v>73</v>
      </c>
      <c r="B103" s="376">
        <v>96</v>
      </c>
      <c r="C103" s="7" t="s">
        <v>23</v>
      </c>
      <c r="D103" s="784">
        <f t="shared" si="24"/>
        <v>40968.799999999996</v>
      </c>
      <c r="E103" s="675">
        <f>'pom1 - Přerozdělení DKRVO'!Q29</f>
        <v>897</v>
      </c>
      <c r="F103" s="445">
        <f t="shared" si="25"/>
        <v>40071.799999999996</v>
      </c>
      <c r="G103" s="535">
        <f>'pom1 - Přerozdělení DKRVO'!H29+'pom1 - Přerozdělení DKRVO'!N29</f>
        <v>40071.799999999996</v>
      </c>
      <c r="H103" s="540">
        <f>'pom1 - Přerozdělení DKRVO'!M29</f>
        <v>0</v>
      </c>
      <c r="I103" s="537"/>
      <c r="J103" s="433"/>
      <c r="K103" s="427">
        <f t="shared" si="26"/>
        <v>39096.6</v>
      </c>
      <c r="L103" s="445">
        <v>897</v>
      </c>
      <c r="M103" s="536">
        <v>38199.599999999999</v>
      </c>
      <c r="N103" s="448"/>
      <c r="O103" s="839"/>
      <c r="P103" s="856">
        <v>990</v>
      </c>
      <c r="Q103" s="857">
        <v>800</v>
      </c>
      <c r="R103" s="839"/>
      <c r="S103" s="839"/>
      <c r="T103" s="839"/>
      <c r="U103" s="839"/>
      <c r="V103" s="835"/>
      <c r="W103" s="835"/>
      <c r="X103" s="840"/>
    </row>
    <row r="104" spans="1:24" s="560" customFormat="1" x14ac:dyDescent="0.2">
      <c r="A104" s="242">
        <v>74</v>
      </c>
      <c r="B104" s="376">
        <v>97</v>
      </c>
      <c r="C104" s="7" t="s">
        <v>24</v>
      </c>
      <c r="D104" s="787">
        <f t="shared" si="24"/>
        <v>12150</v>
      </c>
      <c r="E104" s="675">
        <f>'pom1 - Přerozdělení DKRVO'!Q30</f>
        <v>0</v>
      </c>
      <c r="F104" s="445">
        <f t="shared" si="25"/>
        <v>12150</v>
      </c>
      <c r="G104" s="535">
        <f>'pom1 - Přerozdělení DKRVO'!H30+'pom1 - Přerozdělení DKRVO'!N30</f>
        <v>12150</v>
      </c>
      <c r="H104" s="540">
        <f>'pom1 - Přerozdělení DKRVO'!M30</f>
        <v>0</v>
      </c>
      <c r="I104" s="537"/>
      <c r="J104" s="433"/>
      <c r="K104" s="427">
        <f t="shared" si="26"/>
        <v>11650</v>
      </c>
      <c r="L104" s="445">
        <v>0</v>
      </c>
      <c r="M104" s="536">
        <v>11650</v>
      </c>
      <c r="N104" s="448"/>
      <c r="O104" s="73"/>
      <c r="P104" s="856">
        <v>17650</v>
      </c>
      <c r="Q104" s="857">
        <v>13586</v>
      </c>
      <c r="R104" s="73"/>
      <c r="S104" s="73"/>
      <c r="T104" s="73"/>
      <c r="U104" s="73"/>
      <c r="V104" s="455"/>
      <c r="W104" s="455"/>
      <c r="X104" s="1"/>
    </row>
    <row r="105" spans="1:24" x14ac:dyDescent="0.2">
      <c r="A105" s="603">
        <v>75</v>
      </c>
      <c r="B105" s="449">
        <v>99</v>
      </c>
      <c r="C105" s="436" t="s">
        <v>81</v>
      </c>
      <c r="D105" s="788">
        <f>SUM(E105:F105,J105)</f>
        <v>310053</v>
      </c>
      <c r="E105" s="675">
        <f>'pom1 - Přerozdělení DKRVO'!Q31</f>
        <v>79765</v>
      </c>
      <c r="F105" s="445">
        <f>SUM(G105:I105)</f>
        <v>206489.4259999994</v>
      </c>
      <c r="G105" s="642">
        <f>'pom1 - Přerozdělení DKRVO'!H31+'pom1 - Přerozdělení DKRVO'!N31</f>
        <v>82782.425999999396</v>
      </c>
      <c r="H105" s="643">
        <f>'pom1 - Přerozdělení DKRVO'!M31</f>
        <v>108707</v>
      </c>
      <c r="I105" s="538">
        <f>'pom1 - Přerozdělení DKRVO'!M35</f>
        <v>15000</v>
      </c>
      <c r="J105" s="438">
        <f>J69</f>
        <v>23798.574000000604</v>
      </c>
      <c r="K105" s="427">
        <f t="shared" si="26"/>
        <v>277211</v>
      </c>
      <c r="L105" s="446">
        <v>67054</v>
      </c>
      <c r="M105" s="713">
        <v>194317.72382423957</v>
      </c>
      <c r="N105" s="715">
        <v>15839.276175760431</v>
      </c>
      <c r="O105" s="73"/>
      <c r="P105" s="859">
        <f>23997+11563+6083</f>
        <v>41643</v>
      </c>
      <c r="Q105" s="860">
        <v>46935.604786016651</v>
      </c>
      <c r="R105" s="73"/>
      <c r="S105" s="839"/>
      <c r="T105" s="73"/>
      <c r="U105" s="73"/>
    </row>
    <row r="106" spans="1:24" x14ac:dyDescent="0.2">
      <c r="A106" s="602">
        <v>76</v>
      </c>
      <c r="B106" s="404" t="s">
        <v>462</v>
      </c>
      <c r="C106" s="634"/>
      <c r="D106" s="785">
        <f>SUM(D94:D105)</f>
        <v>699971.5</v>
      </c>
      <c r="E106" s="677">
        <f>SUM(E94:E105)</f>
        <v>205836</v>
      </c>
      <c r="F106" s="659">
        <f t="shared" ref="F106:N106" si="27">SUM(F94:F105)</f>
        <v>470336.9259999994</v>
      </c>
      <c r="G106" s="658">
        <f t="shared" si="27"/>
        <v>276726.9259999994</v>
      </c>
      <c r="H106" s="635">
        <f>SUM(H94:H105)</f>
        <v>178610</v>
      </c>
      <c r="I106" s="678">
        <f t="shared" si="27"/>
        <v>15000</v>
      </c>
      <c r="J106" s="679">
        <f t="shared" si="27"/>
        <v>23798.574000000604</v>
      </c>
      <c r="K106" s="637">
        <f t="shared" si="27"/>
        <v>636118.39999999991</v>
      </c>
      <c r="L106" s="681">
        <f t="shared" si="27"/>
        <v>168004</v>
      </c>
      <c r="M106" s="680">
        <f t="shared" si="27"/>
        <v>452275.12382423959</v>
      </c>
      <c r="N106" s="716">
        <f t="shared" si="27"/>
        <v>15839.276175760431</v>
      </c>
      <c r="O106" s="73"/>
      <c r="P106" s="863">
        <f>SUM(P94:P105)</f>
        <v>66593</v>
      </c>
      <c r="Q106" s="864">
        <f>SUM(Q94:Q105)</f>
        <v>66737.362650345865</v>
      </c>
      <c r="R106" s="73"/>
      <c r="S106" s="839"/>
      <c r="T106" s="73"/>
      <c r="U106" s="73"/>
    </row>
    <row r="107" spans="1:24" ht="13.5" thickBot="1" x14ac:dyDescent="0.25">
      <c r="A107" s="719">
        <v>77</v>
      </c>
      <c r="B107" s="727" t="s">
        <v>616</v>
      </c>
      <c r="C107" s="628"/>
      <c r="D107" s="789">
        <f>SUM(E107:F107)</f>
        <v>88000</v>
      </c>
      <c r="E107" s="629">
        <v>0</v>
      </c>
      <c r="F107" s="446">
        <f>SUM(G107:I107)</f>
        <v>88000</v>
      </c>
      <c r="G107" s="630"/>
      <c r="H107" s="631">
        <f>H71</f>
        <v>88000</v>
      </c>
      <c r="I107" s="629">
        <v>0</v>
      </c>
      <c r="J107" s="632"/>
      <c r="K107" s="633">
        <f>K71</f>
        <v>88000</v>
      </c>
      <c r="L107" s="629">
        <v>0</v>
      </c>
      <c r="M107" s="630">
        <f>M71</f>
        <v>88000</v>
      </c>
      <c r="N107" s="717"/>
      <c r="P107" s="859"/>
      <c r="Q107" s="860"/>
      <c r="S107" s="839"/>
    </row>
    <row r="108" spans="1:24" ht="13.5" thickBot="1" x14ac:dyDescent="0.25">
      <c r="A108" s="246">
        <v>78</v>
      </c>
      <c r="B108" s="405" t="s">
        <v>70</v>
      </c>
      <c r="C108" s="394"/>
      <c r="D108" s="790">
        <f>D93+D106+D107</f>
        <v>3228870.8000000003</v>
      </c>
      <c r="E108" s="475">
        <f t="shared" ref="E108:N108" si="28">E93+E106+E107</f>
        <v>885354</v>
      </c>
      <c r="F108" s="682">
        <f>H108+I108+G108</f>
        <v>2319718.2259999998</v>
      </c>
      <c r="G108" s="626">
        <f t="shared" si="28"/>
        <v>1987677.2259999998</v>
      </c>
      <c r="H108" s="626">
        <f t="shared" si="28"/>
        <v>317041</v>
      </c>
      <c r="I108" s="626">
        <f t="shared" si="28"/>
        <v>15000</v>
      </c>
      <c r="J108" s="627">
        <f t="shared" si="28"/>
        <v>23798.574000000604</v>
      </c>
      <c r="K108" s="668">
        <f t="shared" si="28"/>
        <v>2982655.5</v>
      </c>
      <c r="L108" s="672">
        <f>L93+L106+L107</f>
        <v>755072</v>
      </c>
      <c r="M108" s="475">
        <f>M93+M106+M107</f>
        <v>2211744.2238242398</v>
      </c>
      <c r="N108" s="669">
        <f t="shared" si="28"/>
        <v>15839.276175760431</v>
      </c>
      <c r="O108" s="73"/>
      <c r="P108" s="865">
        <f>P93+P106</f>
        <v>115628.88033504601</v>
      </c>
      <c r="Q108" s="866">
        <f>Q93+Q106</f>
        <v>115628.63</v>
      </c>
      <c r="R108" s="73"/>
      <c r="S108" s="839"/>
      <c r="T108" s="73"/>
    </row>
    <row r="109" spans="1:24" ht="15" x14ac:dyDescent="0.2">
      <c r="A109" s="869"/>
      <c r="B109" s="835"/>
      <c r="C109" s="835"/>
      <c r="D109" s="836"/>
      <c r="E109" s="1659">
        <f>E108+F108</f>
        <v>3205072.2259999998</v>
      </c>
      <c r="F109" s="1674"/>
      <c r="G109" s="1654">
        <f>SUM(G108:I108)</f>
        <v>2319718.2259999998</v>
      </c>
      <c r="H109" s="1655"/>
      <c r="I109" s="1656"/>
      <c r="J109" s="837"/>
      <c r="K109" s="837"/>
      <c r="L109" s="1659">
        <f>SUM(L108:M108)</f>
        <v>2966816.2238242398</v>
      </c>
      <c r="M109" s="1660"/>
      <c r="N109" s="839"/>
      <c r="R109" s="73"/>
      <c r="S109" s="839"/>
      <c r="T109" s="73"/>
    </row>
    <row r="110" spans="1:24" x14ac:dyDescent="0.2">
      <c r="A110" s="455" t="s">
        <v>38</v>
      </c>
      <c r="D110" s="73"/>
      <c r="F110" s="73"/>
      <c r="G110" s="73"/>
      <c r="H110" s="559">
        <f>H93+H106+I106</f>
        <v>244041</v>
      </c>
      <c r="I110" s="876">
        <f>G106+H108+I108</f>
        <v>608767.9259999994</v>
      </c>
      <c r="J110" s="73">
        <f>I110+J106</f>
        <v>632566.5</v>
      </c>
      <c r="N110" s="73"/>
      <c r="R110" s="73"/>
      <c r="S110" s="839"/>
      <c r="T110" s="73"/>
    </row>
    <row r="111" spans="1:24" x14ac:dyDescent="0.2">
      <c r="A111" s="1" t="s">
        <v>39</v>
      </c>
      <c r="C111" s="1" t="s">
        <v>229</v>
      </c>
      <c r="G111" s="73"/>
      <c r="H111" s="73"/>
      <c r="R111" s="73"/>
      <c r="S111" s="73"/>
      <c r="T111" s="73"/>
    </row>
    <row r="112" spans="1:24" x14ac:dyDescent="0.2">
      <c r="A112" s="1" t="s">
        <v>174</v>
      </c>
      <c r="C112" s="1" t="s">
        <v>161</v>
      </c>
      <c r="G112" s="73"/>
      <c r="J112" s="73"/>
      <c r="R112" s="73"/>
      <c r="S112" s="73"/>
      <c r="T112" s="73"/>
    </row>
    <row r="113" spans="1:20" x14ac:dyDescent="0.2">
      <c r="A113" s="1" t="s">
        <v>69</v>
      </c>
      <c r="C113" s="1" t="s">
        <v>688</v>
      </c>
      <c r="R113" s="73"/>
      <c r="S113" s="73"/>
      <c r="T113" s="73"/>
    </row>
    <row r="114" spans="1:20" x14ac:dyDescent="0.2">
      <c r="C114" s="358"/>
      <c r="R114" s="73"/>
      <c r="S114" s="73"/>
      <c r="T114" s="73"/>
    </row>
    <row r="115" spans="1:20" x14ac:dyDescent="0.2">
      <c r="A115" s="12" t="s">
        <v>706</v>
      </c>
      <c r="B115" s="12"/>
      <c r="C115" s="12"/>
      <c r="D115" s="1" t="s">
        <v>128</v>
      </c>
      <c r="E115" s="1" t="s">
        <v>129</v>
      </c>
      <c r="H115" s="6"/>
      <c r="I115" s="6"/>
      <c r="J115" s="6"/>
      <c r="K115" s="6"/>
      <c r="L115" s="6"/>
      <c r="R115" s="73"/>
      <c r="S115" s="73"/>
      <c r="T115" s="73"/>
    </row>
    <row r="116" spans="1:20" x14ac:dyDescent="0.2">
      <c r="A116" s="12"/>
      <c r="E116" s="561"/>
      <c r="F116" s="562"/>
      <c r="G116" s="457"/>
      <c r="J116" s="1" t="s">
        <v>131</v>
      </c>
      <c r="R116" s="73"/>
      <c r="S116" s="73"/>
      <c r="T116" s="73"/>
    </row>
    <row r="117" spans="1:20" x14ac:dyDescent="0.2">
      <c r="E117" s="457"/>
      <c r="G117" s="457"/>
      <c r="R117" s="73"/>
      <c r="S117" s="73"/>
      <c r="T117" s="73"/>
    </row>
    <row r="118" spans="1:20" x14ac:dyDescent="0.2">
      <c r="E118" s="457" t="s">
        <v>130</v>
      </c>
      <c r="G118" s="457"/>
      <c r="H118" s="6"/>
      <c r="I118" s="6"/>
      <c r="J118" s="6"/>
      <c r="K118" s="6"/>
      <c r="L118" s="6"/>
      <c r="R118" s="73"/>
      <c r="S118" s="73"/>
      <c r="T118" s="73"/>
    </row>
    <row r="119" spans="1:20" x14ac:dyDescent="0.2">
      <c r="E119" s="561"/>
      <c r="F119" s="562"/>
      <c r="G119" s="457"/>
      <c r="J119" s="1" t="s">
        <v>131</v>
      </c>
      <c r="R119" s="73"/>
      <c r="S119" s="73"/>
      <c r="T119" s="73"/>
    </row>
    <row r="120" spans="1:20" x14ac:dyDescent="0.2">
      <c r="F120" s="457"/>
      <c r="G120" s="457"/>
    </row>
    <row r="121" spans="1:20" x14ac:dyDescent="0.2">
      <c r="F121" s="457"/>
      <c r="G121" s="457"/>
    </row>
  </sheetData>
  <mergeCells count="30">
    <mergeCell ref="H75:I75"/>
    <mergeCell ref="E74:H74"/>
    <mergeCell ref="L44:N44"/>
    <mergeCell ref="E40:F40"/>
    <mergeCell ref="E109:F109"/>
    <mergeCell ref="G109:I109"/>
    <mergeCell ref="L109:M109"/>
    <mergeCell ref="D79:J79"/>
    <mergeCell ref="K79:N79"/>
    <mergeCell ref="E80:I80"/>
    <mergeCell ref="L80:N80"/>
    <mergeCell ref="G81:I81"/>
    <mergeCell ref="E81:E82"/>
    <mergeCell ref="E45:E46"/>
    <mergeCell ref="L45:L46"/>
    <mergeCell ref="L81:L82"/>
    <mergeCell ref="D4:G4"/>
    <mergeCell ref="H4:K4"/>
    <mergeCell ref="E5:F5"/>
    <mergeCell ref="G73:I73"/>
    <mergeCell ref="G45:I45"/>
    <mergeCell ref="E73:F73"/>
    <mergeCell ref="E44:I44"/>
    <mergeCell ref="K43:N43"/>
    <mergeCell ref="I5:J5"/>
    <mergeCell ref="D43:J43"/>
    <mergeCell ref="I40:J40"/>
    <mergeCell ref="L73:M73"/>
    <mergeCell ref="E6:E7"/>
    <mergeCell ref="I6:I7"/>
  </mergeCells>
  <phoneticPr fontId="0" type="noConversion"/>
  <pageMargins left="0.55118110236220474" right="0.31496062992125984" top="0.59055118110236227" bottom="0.19685039370078741" header="0.51181102362204722" footer="0.19685039370078741"/>
  <pageSetup paperSize="9" scale="85" orientation="landscape" horizontalDpi="300" verticalDpi="300" r:id="rId1"/>
  <headerFooter alignWithMargins="0">
    <oddFooter xml:space="preserve">&amp;C&amp;9 6 - 8&amp;10
</oddFooter>
  </headerFooter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3" tint="0.39997558519241921"/>
  </sheetPr>
  <dimension ref="A1:L41"/>
  <sheetViews>
    <sheetView showGridLines="0" tabSelected="1" zoomScaleNormal="100" workbookViewId="0"/>
  </sheetViews>
  <sheetFormatPr defaultRowHeight="12.75" x14ac:dyDescent="0.2"/>
  <cols>
    <col min="1" max="1" width="26.42578125" customWidth="1"/>
    <col min="2" max="2" width="10.85546875" customWidth="1"/>
    <col min="3" max="3" width="10.42578125" customWidth="1"/>
    <col min="4" max="4" width="12" style="1254" customWidth="1"/>
    <col min="5" max="5" width="10.28515625" customWidth="1"/>
    <col min="6" max="6" width="10.7109375" customWidth="1"/>
    <col min="7" max="7" width="11" customWidth="1"/>
    <col min="8" max="8" width="11.140625" customWidth="1"/>
    <col min="9" max="9" width="10.42578125" bestFit="1" customWidth="1"/>
    <col min="12" max="12" width="17.140625" customWidth="1"/>
  </cols>
  <sheetData>
    <row r="1" spans="1:12" ht="15.75" x14ac:dyDescent="0.25">
      <c r="A1" s="664" t="s">
        <v>327</v>
      </c>
      <c r="C1" s="777">
        <f>C2+B32+C32</f>
        <v>2319718.1260000006</v>
      </c>
    </row>
    <row r="2" spans="1:12" x14ac:dyDescent="0.2">
      <c r="A2" t="s">
        <v>483</v>
      </c>
      <c r="C2" s="665">
        <v>88000</v>
      </c>
    </row>
    <row r="3" spans="1:12" x14ac:dyDescent="0.2">
      <c r="A3" s="774"/>
      <c r="C3" s="775"/>
    </row>
    <row r="4" spans="1:12" x14ac:dyDescent="0.2">
      <c r="A4" s="774" t="s">
        <v>328</v>
      </c>
      <c r="C4" s="776">
        <f>F32+G32</f>
        <v>115628.88033504601</v>
      </c>
    </row>
    <row r="5" spans="1:12" x14ac:dyDescent="0.2">
      <c r="A5" s="774" t="s">
        <v>525</v>
      </c>
      <c r="C5" s="776">
        <f>E32</f>
        <v>23798.673999999999</v>
      </c>
    </row>
    <row r="6" spans="1:12" x14ac:dyDescent="0.2">
      <c r="A6" s="638" t="s">
        <v>678</v>
      </c>
      <c r="C6" s="667">
        <f>D32</f>
        <v>885354</v>
      </c>
    </row>
    <row r="7" spans="1:12" x14ac:dyDescent="0.2">
      <c r="A7" s="638"/>
      <c r="B7" s="798"/>
      <c r="C7" s="639"/>
    </row>
    <row r="8" spans="1:12" ht="13.5" thickBot="1" x14ac:dyDescent="0.25">
      <c r="A8" s="638"/>
      <c r="B8" s="798"/>
      <c r="C8" s="639"/>
    </row>
    <row r="9" spans="1:12" ht="12.75" customHeight="1" x14ac:dyDescent="0.2">
      <c r="A9" s="1680" t="s">
        <v>406</v>
      </c>
      <c r="B9" s="1675" t="s">
        <v>350</v>
      </c>
      <c r="C9" s="1676"/>
      <c r="D9" s="1255" t="s">
        <v>678</v>
      </c>
      <c r="E9" s="800" t="s">
        <v>563</v>
      </c>
      <c r="F9" s="800" t="s">
        <v>351</v>
      </c>
      <c r="G9" s="1353" t="s">
        <v>347</v>
      </c>
      <c r="H9" s="1677" t="s">
        <v>619</v>
      </c>
      <c r="I9" s="1678"/>
      <c r="J9" s="1678"/>
      <c r="K9" s="1678"/>
      <c r="L9" s="1679"/>
    </row>
    <row r="10" spans="1:12" ht="28.5" customHeight="1" thickBot="1" x14ac:dyDescent="0.25">
      <c r="A10" s="1681"/>
      <c r="B10" s="1391" t="s">
        <v>329</v>
      </c>
      <c r="C10" s="1392" t="s">
        <v>331</v>
      </c>
      <c r="D10" s="1393" t="s">
        <v>332</v>
      </c>
      <c r="E10" s="1392" t="s">
        <v>476</v>
      </c>
      <c r="F10" s="1392" t="s">
        <v>330</v>
      </c>
      <c r="G10" s="1394" t="s">
        <v>348</v>
      </c>
      <c r="H10" s="1369" t="s">
        <v>70</v>
      </c>
      <c r="I10" s="1370" t="s">
        <v>622</v>
      </c>
      <c r="J10" s="1370" t="s">
        <v>103</v>
      </c>
      <c r="K10" s="1370" t="s">
        <v>618</v>
      </c>
      <c r="L10" s="1371" t="s">
        <v>623</v>
      </c>
    </row>
    <row r="11" spans="1:12" ht="15" x14ac:dyDescent="0.25">
      <c r="A11" s="1383" t="s">
        <v>621</v>
      </c>
      <c r="B11" s="1378">
        <v>1</v>
      </c>
      <c r="C11" s="1372">
        <v>2</v>
      </c>
      <c r="D11" s="1373">
        <v>3</v>
      </c>
      <c r="E11" s="1372">
        <v>4</v>
      </c>
      <c r="F11" s="1372">
        <v>5</v>
      </c>
      <c r="G11" s="1375">
        <v>6</v>
      </c>
      <c r="H11" s="1376">
        <v>7</v>
      </c>
      <c r="I11" s="1374">
        <v>8</v>
      </c>
      <c r="J11" s="1374">
        <v>9</v>
      </c>
      <c r="K11" s="1374">
        <v>10</v>
      </c>
      <c r="L11" s="1377">
        <v>11</v>
      </c>
    </row>
    <row r="12" spans="1:12" x14ac:dyDescent="0.2">
      <c r="A12" s="1384" t="s">
        <v>7</v>
      </c>
      <c r="B12" s="1379">
        <f>'rozpis pro rozpocet'!G84+'rozpis pro rozpocet'!G100</f>
        <v>316626.90000000002</v>
      </c>
      <c r="C12" s="1244">
        <v>0</v>
      </c>
      <c r="D12" s="1256">
        <f>87899+'rozpis pro rozpocet'!E100</f>
        <v>89692</v>
      </c>
      <c r="E12" s="1244"/>
      <c r="F12" s="1244">
        <v>8973.5259747917225</v>
      </c>
      <c r="G12" s="1354"/>
      <c r="H12" s="1359">
        <v>-6901.8067600090117</v>
      </c>
      <c r="I12" s="1363"/>
      <c r="J12" s="1363"/>
      <c r="K12" s="1363"/>
      <c r="L12" s="1364"/>
    </row>
    <row r="13" spans="1:12" x14ac:dyDescent="0.2">
      <c r="A13" s="1385" t="s">
        <v>8</v>
      </c>
      <c r="B13" s="1380">
        <v>317083.7</v>
      </c>
      <c r="C13" s="778">
        <v>126</v>
      </c>
      <c r="D13" s="1257">
        <v>84127</v>
      </c>
      <c r="E13" s="778"/>
      <c r="F13" s="778">
        <v>7863.2340673354292</v>
      </c>
      <c r="G13" s="1355"/>
      <c r="H13" s="1359">
        <v>-6076.9168231688373</v>
      </c>
      <c r="I13" s="1361"/>
      <c r="J13" s="1361"/>
      <c r="K13" s="1361"/>
      <c r="L13" s="1362"/>
    </row>
    <row r="14" spans="1:12" x14ac:dyDescent="0.2">
      <c r="A14" s="1385" t="s">
        <v>9</v>
      </c>
      <c r="B14" s="1380">
        <v>116208.9</v>
      </c>
      <c r="C14" s="778">
        <v>0</v>
      </c>
      <c r="D14" s="1257">
        <v>31754</v>
      </c>
      <c r="E14" s="778"/>
      <c r="F14" s="778">
        <v>2730.8001475518736</v>
      </c>
      <c r="G14" s="1355"/>
      <c r="H14" s="1359">
        <v>-2348.1303063641803</v>
      </c>
      <c r="I14" s="1361"/>
      <c r="J14" s="1361"/>
      <c r="K14" s="1361"/>
      <c r="L14" s="1362"/>
    </row>
    <row r="15" spans="1:12" x14ac:dyDescent="0.2">
      <c r="A15" s="1385" t="s">
        <v>10</v>
      </c>
      <c r="B15" s="1380">
        <v>133218.4</v>
      </c>
      <c r="C15" s="778">
        <v>0</v>
      </c>
      <c r="D15" s="1257">
        <v>54373</v>
      </c>
      <c r="E15" s="778"/>
      <c r="F15" s="778">
        <v>3826.1349880876537</v>
      </c>
      <c r="G15" s="1355"/>
      <c r="H15" s="1359">
        <v>-2572.4539155779598</v>
      </c>
      <c r="I15" s="1361"/>
      <c r="J15" s="1361"/>
      <c r="K15" s="1361"/>
      <c r="L15" s="1362"/>
    </row>
    <row r="16" spans="1:12" x14ac:dyDescent="0.2">
      <c r="A16" s="1385" t="s">
        <v>11</v>
      </c>
      <c r="B16" s="1380">
        <v>303408.90000000002</v>
      </c>
      <c r="C16" s="778">
        <v>2700</v>
      </c>
      <c r="D16" s="1257">
        <v>301958</v>
      </c>
      <c r="E16" s="778"/>
      <c r="F16" s="778">
        <v>13413.547725770739</v>
      </c>
      <c r="G16" s="1355"/>
      <c r="H16" s="1359">
        <v>-10556.242040970657</v>
      </c>
      <c r="I16" s="1361"/>
      <c r="J16" s="1361"/>
      <c r="K16" s="1361"/>
      <c r="L16" s="1362"/>
    </row>
    <row r="17" spans="1:12" x14ac:dyDescent="0.2">
      <c r="A17" s="1385" t="s">
        <v>12</v>
      </c>
      <c r="B17" s="1380">
        <v>112104.1</v>
      </c>
      <c r="C17" s="778">
        <v>46705</v>
      </c>
      <c r="D17" s="1257">
        <v>52976</v>
      </c>
      <c r="E17" s="778"/>
      <c r="F17" s="778">
        <v>3508.0514164369965</v>
      </c>
      <c r="G17" s="1355"/>
      <c r="H17" s="1359">
        <v>-2843.6097565798327</v>
      </c>
      <c r="I17" s="1361"/>
      <c r="J17" s="1361"/>
      <c r="K17" s="1361"/>
      <c r="L17" s="1362"/>
    </row>
    <row r="18" spans="1:12" x14ac:dyDescent="0.2">
      <c r="A18" s="1385" t="s">
        <v>13</v>
      </c>
      <c r="B18" s="1380">
        <v>199268.6</v>
      </c>
      <c r="C18" s="778">
        <v>400</v>
      </c>
      <c r="D18" s="1257">
        <v>34842</v>
      </c>
      <c r="E18" s="778"/>
      <c r="F18" s="778">
        <v>4823.0609259165467</v>
      </c>
      <c r="G18" s="1355"/>
      <c r="H18" s="1359">
        <v>-3485.0223546228258</v>
      </c>
      <c r="I18" s="1361"/>
      <c r="J18" s="1361"/>
      <c r="K18" s="1361"/>
      <c r="L18" s="1362"/>
    </row>
    <row r="19" spans="1:12" x14ac:dyDescent="0.2">
      <c r="A19" s="1385" t="s">
        <v>14</v>
      </c>
      <c r="B19" s="1380">
        <v>92606.3</v>
      </c>
      <c r="C19" s="778">
        <v>500</v>
      </c>
      <c r="D19" s="1257">
        <v>8068</v>
      </c>
      <c r="E19" s="778"/>
      <c r="F19" s="778">
        <v>1220.8078068367734</v>
      </c>
      <c r="G19" s="1355"/>
      <c r="H19" s="1359">
        <v>-2116.6580553445842</v>
      </c>
      <c r="I19" s="1361"/>
      <c r="J19" s="1361"/>
      <c r="K19" s="1361"/>
      <c r="L19" s="1362"/>
    </row>
    <row r="20" spans="1:12" x14ac:dyDescent="0.2">
      <c r="A20" s="1385" t="s">
        <v>15</v>
      </c>
      <c r="B20" s="1380">
        <v>120860.2</v>
      </c>
      <c r="C20" s="778">
        <v>0</v>
      </c>
      <c r="D20" s="1257">
        <v>23521</v>
      </c>
      <c r="E20" s="778"/>
      <c r="F20" s="778">
        <v>2676.7172823182709</v>
      </c>
      <c r="G20" s="1355"/>
      <c r="H20" s="1359">
        <v>-2191.1550450748946</v>
      </c>
      <c r="I20" s="1361"/>
      <c r="J20" s="1361"/>
      <c r="K20" s="1361"/>
      <c r="L20" s="1362"/>
    </row>
    <row r="21" spans="1:12" x14ac:dyDescent="0.2">
      <c r="A21" s="1385" t="s">
        <v>186</v>
      </c>
      <c r="B21" s="1380">
        <v>21835</v>
      </c>
      <c r="C21" s="778">
        <v>2000</v>
      </c>
      <c r="D21" s="1257">
        <v>99290</v>
      </c>
      <c r="E21" s="778"/>
      <c r="F21" s="778">
        <v>4825</v>
      </c>
      <c r="G21" s="1355"/>
      <c r="H21" s="1359">
        <v>-3650.0191057096813</v>
      </c>
      <c r="I21" s="1361"/>
      <c r="J21" s="1361"/>
      <c r="K21" s="1361"/>
      <c r="L21" s="1362"/>
    </row>
    <row r="22" spans="1:12" x14ac:dyDescent="0.2">
      <c r="A22" s="1385" t="s">
        <v>252</v>
      </c>
      <c r="B22" s="1380">
        <v>0</v>
      </c>
      <c r="C22" s="778">
        <v>0</v>
      </c>
      <c r="D22" s="1257">
        <v>5340</v>
      </c>
      <c r="E22" s="778"/>
      <c r="F22" s="778"/>
      <c r="G22" s="1355"/>
      <c r="H22" s="1359"/>
      <c r="I22" s="1358"/>
      <c r="J22" s="1358"/>
      <c r="K22" s="1358"/>
      <c r="L22" s="1360"/>
    </row>
    <row r="23" spans="1:12" x14ac:dyDescent="0.2">
      <c r="A23" s="1385" t="s">
        <v>68</v>
      </c>
      <c r="B23" s="1380">
        <v>0</v>
      </c>
      <c r="C23" s="778">
        <v>0</v>
      </c>
      <c r="D23" s="1257">
        <v>0</v>
      </c>
      <c r="E23" s="778"/>
      <c r="F23" s="778"/>
      <c r="G23" s="1355"/>
      <c r="H23" s="1359"/>
      <c r="I23" s="1358"/>
      <c r="J23" s="1358"/>
      <c r="K23" s="1358"/>
      <c r="L23" s="1360"/>
    </row>
    <row r="24" spans="1:12" x14ac:dyDescent="0.2">
      <c r="A24" s="1385" t="s">
        <v>1</v>
      </c>
      <c r="B24" s="1380">
        <v>0</v>
      </c>
      <c r="C24" s="778">
        <v>9595</v>
      </c>
      <c r="D24" s="1257">
        <v>0</v>
      </c>
      <c r="E24" s="778"/>
      <c r="F24" s="778"/>
      <c r="G24" s="1355"/>
      <c r="H24" s="1359"/>
      <c r="I24" s="1358"/>
      <c r="J24" s="1358"/>
      <c r="K24" s="1358"/>
      <c r="L24" s="1360"/>
    </row>
    <row r="25" spans="1:12" x14ac:dyDescent="0.2">
      <c r="A25" s="1385" t="s">
        <v>79</v>
      </c>
      <c r="B25" s="1380">
        <v>6500</v>
      </c>
      <c r="C25" s="778">
        <v>2070</v>
      </c>
      <c r="D25" s="1257">
        <v>0</v>
      </c>
      <c r="E25" s="778"/>
      <c r="F25" s="778"/>
      <c r="G25" s="1355"/>
      <c r="H25" s="1359"/>
      <c r="I25" s="1358"/>
      <c r="J25" s="1358"/>
      <c r="K25" s="1358"/>
      <c r="L25" s="1360"/>
    </row>
    <row r="26" spans="1:12" x14ac:dyDescent="0.2">
      <c r="A26" s="1385" t="s">
        <v>78</v>
      </c>
      <c r="B26" s="1380">
        <v>0</v>
      </c>
      <c r="C26" s="778">
        <v>0</v>
      </c>
      <c r="D26" s="1257">
        <v>581</v>
      </c>
      <c r="E26" s="778"/>
      <c r="F26" s="778">
        <v>1000</v>
      </c>
      <c r="G26" s="1355"/>
      <c r="H26" s="1359"/>
      <c r="I26" s="1358"/>
      <c r="J26" s="1358"/>
      <c r="K26" s="1358"/>
      <c r="L26" s="1360"/>
    </row>
    <row r="27" spans="1:12" x14ac:dyDescent="0.2">
      <c r="A27" s="1385" t="s">
        <v>126</v>
      </c>
      <c r="B27" s="1380">
        <v>0</v>
      </c>
      <c r="C27" s="778">
        <v>0</v>
      </c>
      <c r="D27" s="1257">
        <v>9019</v>
      </c>
      <c r="E27" s="778"/>
      <c r="F27" s="778"/>
      <c r="G27" s="1355"/>
      <c r="H27" s="1359"/>
      <c r="I27" s="1358"/>
      <c r="J27" s="1358"/>
      <c r="K27" s="1358"/>
      <c r="L27" s="1360"/>
    </row>
    <row r="28" spans="1:12" x14ac:dyDescent="0.2">
      <c r="A28" s="1385" t="s">
        <v>17</v>
      </c>
      <c r="B28" s="1380">
        <v>112952</v>
      </c>
      <c r="C28" s="778">
        <v>56238</v>
      </c>
      <c r="D28" s="1257">
        <v>9151</v>
      </c>
      <c r="E28" s="778"/>
      <c r="F28" s="778">
        <v>485</v>
      </c>
      <c r="G28" s="1355"/>
      <c r="H28" s="1359">
        <v>-807.98583657753397</v>
      </c>
      <c r="I28" s="1361"/>
      <c r="J28" s="1361"/>
      <c r="K28" s="1361"/>
      <c r="L28" s="1362"/>
    </row>
    <row r="29" spans="1:12" x14ac:dyDescent="0.2">
      <c r="A29" s="1385" t="s">
        <v>23</v>
      </c>
      <c r="B29" s="1380">
        <v>40071.799999999996</v>
      </c>
      <c r="C29" s="778">
        <v>0</v>
      </c>
      <c r="D29" s="1257">
        <v>897</v>
      </c>
      <c r="E29" s="778"/>
      <c r="F29" s="1257">
        <v>990</v>
      </c>
      <c r="G29" s="1355"/>
      <c r="H29" s="1359"/>
      <c r="I29" s="1358"/>
      <c r="J29" s="1358"/>
      <c r="K29" s="1358"/>
      <c r="L29" s="1360"/>
    </row>
    <row r="30" spans="1:12" x14ac:dyDescent="0.2">
      <c r="A30" s="1385" t="s">
        <v>24</v>
      </c>
      <c r="B30" s="1380">
        <v>12150</v>
      </c>
      <c r="C30" s="778">
        <v>0</v>
      </c>
      <c r="D30" s="1257">
        <v>0</v>
      </c>
      <c r="E30" s="778"/>
      <c r="F30" s="1257">
        <v>17650</v>
      </c>
      <c r="G30" s="1355"/>
      <c r="H30" s="1359"/>
      <c r="I30" s="1358"/>
      <c r="J30" s="1358"/>
      <c r="K30" s="1358"/>
      <c r="L30" s="1360"/>
    </row>
    <row r="31" spans="1:12" ht="13.5" thickBot="1" x14ac:dyDescent="0.25">
      <c r="A31" s="1386" t="s">
        <v>18</v>
      </c>
      <c r="B31" s="1381">
        <v>82782.326000000001</v>
      </c>
      <c r="C31" s="1245">
        <f>'rozpis pro rozpocet'!H105+'rozpis pro rozpocet'!I105</f>
        <v>123707</v>
      </c>
      <c r="D31" s="1246">
        <v>79765</v>
      </c>
      <c r="E31" s="1246">
        <v>23798.673999999999</v>
      </c>
      <c r="F31" s="1246">
        <f>'rozpis pro rozpocet'!P105-G31</f>
        <v>30080</v>
      </c>
      <c r="G31" s="1356">
        <v>11563</v>
      </c>
      <c r="H31" s="1365"/>
      <c r="I31" s="1366"/>
      <c r="J31" s="1366"/>
      <c r="K31" s="1366"/>
      <c r="L31" s="1367"/>
    </row>
    <row r="32" spans="1:12" ht="13.5" thickBot="1" x14ac:dyDescent="0.25">
      <c r="A32" s="1387" t="s">
        <v>184</v>
      </c>
      <c r="B32" s="1382">
        <f t="shared" ref="B32:G32" si="0">SUM(B12:B31)</f>
        <v>1987677.1260000006</v>
      </c>
      <c r="C32" s="1247">
        <f t="shared" si="0"/>
        <v>244041</v>
      </c>
      <c r="D32" s="1258">
        <f t="shared" si="0"/>
        <v>885354</v>
      </c>
      <c r="E32" s="1247">
        <f t="shared" si="0"/>
        <v>23798.673999999999</v>
      </c>
      <c r="F32" s="1247">
        <f t="shared" si="0"/>
        <v>104065.88033504601</v>
      </c>
      <c r="G32" s="1357">
        <f t="shared" si="0"/>
        <v>11563</v>
      </c>
      <c r="H32" s="1368">
        <f t="shared" ref="H32:L32" si="1">SUM(H12:H31)</f>
        <v>-43549.999999999993</v>
      </c>
      <c r="I32" s="1388">
        <f t="shared" si="1"/>
        <v>0</v>
      </c>
      <c r="J32" s="1388">
        <f t="shared" si="1"/>
        <v>0</v>
      </c>
      <c r="K32" s="1388">
        <f t="shared" si="1"/>
        <v>0</v>
      </c>
      <c r="L32" s="1389">
        <f t="shared" si="1"/>
        <v>0</v>
      </c>
    </row>
    <row r="34" spans="1:8" x14ac:dyDescent="0.2">
      <c r="A34" s="793" t="s">
        <v>333</v>
      </c>
      <c r="B34" s="778">
        <f>SUM(B35:B38)</f>
        <v>82782.326000000001</v>
      </c>
      <c r="C34" s="778">
        <f>SUM(C35:C38)</f>
        <v>123707</v>
      </c>
      <c r="D34" s="1257">
        <f>SUM(D35:D38)</f>
        <v>79765</v>
      </c>
      <c r="E34" s="778">
        <f>SUM(E35:E38)</f>
        <v>23798.673999999999</v>
      </c>
      <c r="F34" s="778">
        <f>SUM(F35:F38)</f>
        <v>30080</v>
      </c>
      <c r="G34" s="778">
        <f>G31</f>
        <v>11563</v>
      </c>
      <c r="H34" s="778">
        <f>H31</f>
        <v>0</v>
      </c>
    </row>
    <row r="35" spans="1:8" x14ac:dyDescent="0.2">
      <c r="A35" s="794" t="s">
        <v>692</v>
      </c>
      <c r="B35" s="795"/>
      <c r="C35" s="795"/>
      <c r="D35" s="1259">
        <f>'rozpis pro rozpocet'!E69</f>
        <v>72270</v>
      </c>
      <c r="E35" s="795"/>
      <c r="F35" s="795"/>
      <c r="G35" s="795"/>
      <c r="H35" s="795"/>
    </row>
    <row r="36" spans="1:8" x14ac:dyDescent="0.2">
      <c r="A36" s="794" t="s">
        <v>349</v>
      </c>
      <c r="B36" s="795"/>
      <c r="C36" s="795"/>
      <c r="D36" s="1259"/>
      <c r="E36" s="795"/>
      <c r="F36" s="795"/>
      <c r="G36" s="795">
        <v>11563</v>
      </c>
      <c r="H36" s="795"/>
    </row>
    <row r="37" spans="1:8" x14ac:dyDescent="0.2">
      <c r="A37" s="794" t="s">
        <v>477</v>
      </c>
      <c r="B37" s="795"/>
      <c r="C37" s="795">
        <v>15000</v>
      </c>
      <c r="D37" s="1259"/>
      <c r="E37" s="795"/>
      <c r="F37" s="795"/>
      <c r="G37" s="795"/>
      <c r="H37" s="795"/>
    </row>
    <row r="38" spans="1:8" x14ac:dyDescent="0.2">
      <c r="A38" s="794" t="s">
        <v>691</v>
      </c>
      <c r="B38" s="795">
        <f>B31</f>
        <v>82782.326000000001</v>
      </c>
      <c r="C38" s="795">
        <f>C31-C37</f>
        <v>108707</v>
      </c>
      <c r="D38" s="1259">
        <f>D31-D35</f>
        <v>7495</v>
      </c>
      <c r="E38" s="795">
        <f>E31-E35</f>
        <v>23798.673999999999</v>
      </c>
      <c r="F38" s="795">
        <f>F31-F35</f>
        <v>30080</v>
      </c>
      <c r="G38" s="795">
        <f>G34-G36</f>
        <v>0</v>
      </c>
      <c r="H38" s="795">
        <f>H34-H36</f>
        <v>0</v>
      </c>
    </row>
    <row r="39" spans="1:8" x14ac:dyDescent="0.2">
      <c r="A39" s="799" t="s">
        <v>615</v>
      </c>
    </row>
    <row r="40" spans="1:8" x14ac:dyDescent="0.2">
      <c r="A40" s="799" t="s">
        <v>620</v>
      </c>
    </row>
    <row r="41" spans="1:8" x14ac:dyDescent="0.2">
      <c r="A41" s="1395" t="s">
        <v>624</v>
      </c>
    </row>
  </sheetData>
  <mergeCells count="3">
    <mergeCell ref="B9:C9"/>
    <mergeCell ref="H9:L9"/>
    <mergeCell ref="A9:A10"/>
  </mergeCells>
  <pageMargins left="0.7" right="0.7" top="0.78740157499999996" bottom="0.78740157499999996" header="0.3" footer="0.3"/>
  <pageSetup paperSize="9" scale="9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P207"/>
  <sheetViews>
    <sheetView showGridLines="0" zoomScale="106" zoomScaleNormal="106" workbookViewId="0">
      <pane ySplit="5" topLeftCell="A6" activePane="bottomLeft" state="frozen"/>
      <selection activeCell="J26" sqref="J26"/>
      <selection pane="bottomLeft"/>
    </sheetView>
  </sheetViews>
  <sheetFormatPr defaultColWidth="11.42578125" defaultRowHeight="12" customHeight="1" outlineLevelRow="1" outlineLevelCol="1" x14ac:dyDescent="0.2"/>
  <cols>
    <col min="1" max="2" width="5.28515625" style="900" customWidth="1"/>
    <col min="3" max="3" width="9.5703125" style="901" customWidth="1"/>
    <col min="4" max="4" width="43.42578125" style="889" customWidth="1"/>
    <col min="5" max="8" width="9.42578125" style="1094" hidden="1" customWidth="1" outlineLevel="1"/>
    <col min="9" max="9" width="10.5703125" style="1094" customWidth="1" collapsed="1"/>
    <col min="10" max="13" width="10.5703125" style="1094" customWidth="1"/>
    <col min="14" max="14" width="6.7109375" style="900" customWidth="1"/>
    <col min="15" max="15" width="7.42578125" style="1124" customWidth="1"/>
    <col min="16" max="16" width="40.28515625" style="894" customWidth="1"/>
    <col min="17" max="16384" width="11.42578125" style="889"/>
  </cols>
  <sheetData>
    <row r="1" spans="1:15" ht="15.75" x14ac:dyDescent="0.25">
      <c r="A1" s="886" t="s">
        <v>626</v>
      </c>
      <c r="B1" s="887"/>
      <c r="C1" s="888"/>
      <c r="E1" s="890"/>
      <c r="F1" s="890"/>
      <c r="G1" s="890"/>
      <c r="H1" s="890"/>
      <c r="I1" s="890"/>
      <c r="J1" s="890"/>
      <c r="K1" s="890"/>
      <c r="L1" s="890"/>
      <c r="M1" s="890"/>
      <c r="N1" s="892"/>
      <c r="O1" s="893"/>
    </row>
    <row r="2" spans="1:15" ht="12" customHeight="1" x14ac:dyDescent="0.2">
      <c r="A2" s="895" t="s">
        <v>700</v>
      </c>
      <c r="B2" s="896"/>
      <c r="C2" s="897"/>
      <c r="D2" s="891"/>
      <c r="E2" s="898"/>
      <c r="F2" s="898"/>
      <c r="G2" s="898"/>
      <c r="H2" s="898"/>
      <c r="I2" s="898"/>
      <c r="J2" s="898"/>
      <c r="K2" s="898"/>
      <c r="L2" s="898"/>
      <c r="M2" s="898"/>
      <c r="N2" s="891"/>
      <c r="O2" s="899"/>
    </row>
    <row r="3" spans="1:15" ht="12" customHeight="1" thickBot="1" x14ac:dyDescent="0.25">
      <c r="E3" s="902"/>
      <c r="F3" s="902"/>
      <c r="G3" s="902"/>
      <c r="H3" s="902"/>
      <c r="I3" s="903"/>
      <c r="J3" s="903"/>
      <c r="K3" s="903"/>
      <c r="L3" s="903"/>
      <c r="M3" s="903"/>
      <c r="N3" s="904"/>
      <c r="O3" s="904"/>
    </row>
    <row r="4" spans="1:15" ht="12" customHeight="1" x14ac:dyDescent="0.2">
      <c r="A4" s="905"/>
      <c r="B4" s="906"/>
      <c r="C4" s="907"/>
      <c r="D4" s="908"/>
      <c r="E4" s="909" t="s">
        <v>25</v>
      </c>
      <c r="F4" s="909" t="s">
        <v>25</v>
      </c>
      <c r="G4" s="910" t="s">
        <v>25</v>
      </c>
      <c r="H4" s="1177" t="s">
        <v>25</v>
      </c>
      <c r="I4" s="1178" t="s">
        <v>25</v>
      </c>
      <c r="J4" s="1310" t="s">
        <v>25</v>
      </c>
      <c r="K4" s="1310" t="s">
        <v>25</v>
      </c>
      <c r="L4" s="1310" t="s">
        <v>25</v>
      </c>
      <c r="M4" s="1161" t="s">
        <v>25</v>
      </c>
      <c r="N4" s="911"/>
      <c r="O4" s="912"/>
    </row>
    <row r="5" spans="1:15" ht="12" customHeight="1" thickBot="1" x14ac:dyDescent="0.25">
      <c r="A5" s="913" t="s">
        <v>26</v>
      </c>
      <c r="B5" s="914" t="s">
        <v>405</v>
      </c>
      <c r="C5" s="915" t="s">
        <v>406</v>
      </c>
      <c r="D5" s="916" t="s">
        <v>27</v>
      </c>
      <c r="E5" s="917">
        <v>2012</v>
      </c>
      <c r="F5" s="917">
        <v>2013</v>
      </c>
      <c r="G5" s="918">
        <v>2014</v>
      </c>
      <c r="H5" s="1179">
        <v>2015</v>
      </c>
      <c r="I5" s="1180">
        <v>2016</v>
      </c>
      <c r="J5" s="1311">
        <v>2017</v>
      </c>
      <c r="K5" s="1311">
        <v>2018</v>
      </c>
      <c r="L5" s="1311">
        <v>2019</v>
      </c>
      <c r="M5" s="1162">
        <v>2020</v>
      </c>
      <c r="N5" s="919" t="s">
        <v>396</v>
      </c>
      <c r="O5" s="920" t="s">
        <v>403</v>
      </c>
    </row>
    <row r="6" spans="1:15" ht="12" customHeight="1" x14ac:dyDescent="0.2">
      <c r="A6" s="921" t="s">
        <v>408</v>
      </c>
      <c r="B6" s="922" t="s">
        <v>237</v>
      </c>
      <c r="C6" s="923" t="s">
        <v>16</v>
      </c>
      <c r="D6" s="924" t="s">
        <v>156</v>
      </c>
      <c r="E6" s="925">
        <f t="shared" ref="E6:M6" si="0">E7+E12+E13+E26</f>
        <v>245687</v>
      </c>
      <c r="F6" s="925">
        <f t="shared" si="0"/>
        <v>208965</v>
      </c>
      <c r="G6" s="926">
        <f t="shared" si="0"/>
        <v>185010</v>
      </c>
      <c r="H6" s="927">
        <f t="shared" si="0"/>
        <v>152894</v>
      </c>
      <c r="I6" s="1153">
        <f t="shared" si="0"/>
        <v>95056</v>
      </c>
      <c r="J6" s="1153">
        <v>91332</v>
      </c>
      <c r="K6" s="1153">
        <v>123830</v>
      </c>
      <c r="L6" s="1153">
        <v>114130</v>
      </c>
      <c r="M6" s="926">
        <f t="shared" si="0"/>
        <v>114220</v>
      </c>
      <c r="N6" s="927"/>
      <c r="O6" s="926"/>
    </row>
    <row r="7" spans="1:15" ht="12" customHeight="1" x14ac:dyDescent="0.2">
      <c r="A7" s="928">
        <v>1</v>
      </c>
      <c r="B7" s="929" t="s">
        <v>237</v>
      </c>
      <c r="C7" s="930"/>
      <c r="D7" s="931" t="s">
        <v>144</v>
      </c>
      <c r="E7" s="932">
        <f>SUM(E9:E11)</f>
        <v>234531</v>
      </c>
      <c r="F7" s="932">
        <f>SUM(F9:F11)</f>
        <v>204450</v>
      </c>
      <c r="G7" s="933">
        <f>SUM(G8:G11)</f>
        <v>179862</v>
      </c>
      <c r="H7" s="934">
        <f>SUM(H8:H11)</f>
        <v>144151</v>
      </c>
      <c r="I7" s="1150">
        <f>SUM(I8:I11)</f>
        <v>88000</v>
      </c>
      <c r="J7" s="1150">
        <v>88000</v>
      </c>
      <c r="K7" s="1150">
        <v>121000</v>
      </c>
      <c r="L7" s="1150">
        <v>88000</v>
      </c>
      <c r="M7" s="933">
        <f>SUM(M8:M11)</f>
        <v>88000</v>
      </c>
      <c r="N7" s="934"/>
      <c r="O7" s="935"/>
    </row>
    <row r="8" spans="1:15" ht="12" customHeight="1" outlineLevel="1" x14ac:dyDescent="0.2">
      <c r="A8" s="936" t="s">
        <v>138</v>
      </c>
      <c r="B8" s="937" t="s">
        <v>237</v>
      </c>
      <c r="C8" s="938" t="s">
        <v>407</v>
      </c>
      <c r="D8" s="939" t="s">
        <v>91</v>
      </c>
      <c r="E8" s="940"/>
      <c r="F8" s="940"/>
      <c r="G8" s="941">
        <v>0</v>
      </c>
      <c r="H8" s="944"/>
      <c r="I8" s="1181"/>
      <c r="J8" s="1181"/>
      <c r="K8" s="1181"/>
      <c r="L8" s="1181"/>
      <c r="M8" s="942"/>
      <c r="N8" s="944"/>
      <c r="O8" s="945"/>
    </row>
    <row r="9" spans="1:15" ht="12" customHeight="1" outlineLevel="1" x14ac:dyDescent="0.2">
      <c r="A9" s="936" t="s">
        <v>139</v>
      </c>
      <c r="B9" s="937" t="s">
        <v>237</v>
      </c>
      <c r="C9" s="938" t="s">
        <v>407</v>
      </c>
      <c r="D9" s="939" t="s">
        <v>145</v>
      </c>
      <c r="E9" s="940">
        <v>122531</v>
      </c>
      <c r="F9" s="940">
        <v>91450</v>
      </c>
      <c r="G9" s="941">
        <v>41862</v>
      </c>
      <c r="H9" s="944">
        <v>14751</v>
      </c>
      <c r="I9" s="1181"/>
      <c r="J9" s="1181"/>
      <c r="K9" s="1181"/>
      <c r="L9" s="1181"/>
      <c r="M9" s="942"/>
      <c r="N9" s="944"/>
      <c r="O9" s="945"/>
    </row>
    <row r="10" spans="1:15" ht="12" customHeight="1" outlineLevel="1" x14ac:dyDescent="0.2">
      <c r="A10" s="936" t="s">
        <v>146</v>
      </c>
      <c r="B10" s="937" t="s">
        <v>237</v>
      </c>
      <c r="C10" s="938" t="s">
        <v>407</v>
      </c>
      <c r="D10" s="939" t="s">
        <v>254</v>
      </c>
      <c r="E10" s="940">
        <v>87000</v>
      </c>
      <c r="F10" s="940">
        <v>88000</v>
      </c>
      <c r="G10" s="941">
        <v>88000</v>
      </c>
      <c r="H10" s="944">
        <v>88000</v>
      </c>
      <c r="I10" s="1181">
        <v>88000</v>
      </c>
      <c r="J10" s="1181">
        <v>88000</v>
      </c>
      <c r="K10" s="1181">
        <v>88000</v>
      </c>
      <c r="L10" s="1181">
        <v>88000</v>
      </c>
      <c r="M10" s="942">
        <v>88000</v>
      </c>
      <c r="N10" s="944"/>
      <c r="O10" s="945"/>
    </row>
    <row r="11" spans="1:15" ht="12" customHeight="1" outlineLevel="1" x14ac:dyDescent="0.2">
      <c r="A11" s="936" t="s">
        <v>147</v>
      </c>
      <c r="B11" s="937" t="s">
        <v>237</v>
      </c>
      <c r="C11" s="938" t="s">
        <v>407</v>
      </c>
      <c r="D11" s="939" t="s">
        <v>194</v>
      </c>
      <c r="E11" s="946">
        <v>25000</v>
      </c>
      <c r="F11" s="946">
        <v>25000</v>
      </c>
      <c r="G11" s="947">
        <v>50000</v>
      </c>
      <c r="H11" s="944">
        <v>41400</v>
      </c>
      <c r="I11" s="1181"/>
      <c r="J11" s="1181"/>
      <c r="K11" s="1181">
        <v>33000</v>
      </c>
      <c r="L11" s="1181"/>
      <c r="M11" s="942"/>
      <c r="N11" s="944"/>
      <c r="O11" s="945"/>
    </row>
    <row r="12" spans="1:15" ht="12" customHeight="1" x14ac:dyDescent="0.2">
      <c r="A12" s="928">
        <v>2</v>
      </c>
      <c r="B12" s="929" t="s">
        <v>237</v>
      </c>
      <c r="C12" s="930"/>
      <c r="D12" s="931" t="s">
        <v>92</v>
      </c>
      <c r="E12" s="932"/>
      <c r="F12" s="932"/>
      <c r="G12" s="933"/>
      <c r="H12" s="934"/>
      <c r="I12" s="1150">
        <v>0</v>
      </c>
      <c r="J12" s="1150"/>
      <c r="K12" s="1150"/>
      <c r="L12" s="1150"/>
      <c r="M12" s="933"/>
      <c r="N12" s="934"/>
      <c r="O12" s="935"/>
    </row>
    <row r="13" spans="1:15" ht="12" customHeight="1" x14ac:dyDescent="0.2">
      <c r="A13" s="928">
        <v>3</v>
      </c>
      <c r="B13" s="929" t="s">
        <v>237</v>
      </c>
      <c r="C13" s="930"/>
      <c r="D13" s="931" t="s">
        <v>213</v>
      </c>
      <c r="E13" s="948">
        <f>SUM(E15:E25)</f>
        <v>10156</v>
      </c>
      <c r="F13" s="948">
        <f>SUM(F15:F25)</f>
        <v>4515</v>
      </c>
      <c r="G13" s="949">
        <f>SUM(G14:G25)</f>
        <v>5148</v>
      </c>
      <c r="H13" s="950">
        <f>SUM(H14:H25)</f>
        <v>5143</v>
      </c>
      <c r="I13" s="1151">
        <f>SUM(I14:I25)</f>
        <v>7056</v>
      </c>
      <c r="J13" s="1151">
        <v>3332</v>
      </c>
      <c r="K13" s="1151">
        <v>2830</v>
      </c>
      <c r="L13" s="1151">
        <v>26130</v>
      </c>
      <c r="M13" s="949">
        <f>SUM(M14:M25)</f>
        <v>26220</v>
      </c>
      <c r="N13" s="950"/>
      <c r="O13" s="951"/>
    </row>
    <row r="14" spans="1:15" ht="12" customHeight="1" outlineLevel="1" x14ac:dyDescent="0.2">
      <c r="A14" s="952" t="s">
        <v>334</v>
      </c>
      <c r="B14" s="937" t="s">
        <v>237</v>
      </c>
      <c r="C14" s="938" t="s">
        <v>409</v>
      </c>
      <c r="D14" s="953" t="s">
        <v>426</v>
      </c>
      <c r="E14" s="954"/>
      <c r="F14" s="954"/>
      <c r="G14" s="955"/>
      <c r="H14" s="957"/>
      <c r="I14" s="1182"/>
      <c r="J14" s="1182"/>
      <c r="K14" s="1182"/>
      <c r="L14" s="1182"/>
      <c r="M14" s="956"/>
      <c r="N14" s="957"/>
      <c r="O14" s="958"/>
    </row>
    <row r="15" spans="1:15" ht="12" customHeight="1" outlineLevel="1" x14ac:dyDescent="0.2">
      <c r="A15" s="952" t="s">
        <v>335</v>
      </c>
      <c r="B15" s="937" t="s">
        <v>237</v>
      </c>
      <c r="C15" s="938" t="s">
        <v>418</v>
      </c>
      <c r="D15" s="953" t="s">
        <v>426</v>
      </c>
      <c r="E15" s="954"/>
      <c r="F15" s="954"/>
      <c r="G15" s="955"/>
      <c r="H15" s="957"/>
      <c r="I15" s="1182"/>
      <c r="J15" s="1182"/>
      <c r="K15" s="1182"/>
      <c r="L15" s="1182"/>
      <c r="M15" s="956"/>
      <c r="N15" s="957"/>
      <c r="O15" s="958"/>
    </row>
    <row r="16" spans="1:15" ht="12" customHeight="1" outlineLevel="1" x14ac:dyDescent="0.2">
      <c r="A16" s="952" t="s">
        <v>336</v>
      </c>
      <c r="B16" s="937" t="s">
        <v>237</v>
      </c>
      <c r="C16" s="938" t="s">
        <v>410</v>
      </c>
      <c r="D16" s="953" t="s">
        <v>426</v>
      </c>
      <c r="E16" s="954"/>
      <c r="F16" s="954"/>
      <c r="G16" s="955"/>
      <c r="H16" s="957"/>
      <c r="I16" s="1182"/>
      <c r="J16" s="1182"/>
      <c r="K16" s="1182"/>
      <c r="L16" s="1182"/>
      <c r="M16" s="956"/>
      <c r="N16" s="957"/>
      <c r="O16" s="958"/>
    </row>
    <row r="17" spans="1:16" ht="12" customHeight="1" outlineLevel="1" x14ac:dyDescent="0.2">
      <c r="A17" s="952" t="s">
        <v>337</v>
      </c>
      <c r="B17" s="937" t="s">
        <v>237</v>
      </c>
      <c r="C17" s="938" t="s">
        <v>419</v>
      </c>
      <c r="D17" s="953" t="s">
        <v>426</v>
      </c>
      <c r="E17" s="954"/>
      <c r="F17" s="954"/>
      <c r="G17" s="955"/>
      <c r="H17" s="957"/>
      <c r="I17" s="1182"/>
      <c r="J17" s="1182"/>
      <c r="K17" s="1182"/>
      <c r="L17" s="1182"/>
      <c r="M17" s="956"/>
      <c r="N17" s="957"/>
      <c r="O17" s="958"/>
    </row>
    <row r="18" spans="1:16" ht="12" customHeight="1" outlineLevel="1" x14ac:dyDescent="0.2">
      <c r="A18" s="952" t="s">
        <v>338</v>
      </c>
      <c r="B18" s="937" t="s">
        <v>237</v>
      </c>
      <c r="C18" s="938" t="s">
        <v>411</v>
      </c>
      <c r="D18" s="953" t="s">
        <v>426</v>
      </c>
      <c r="E18" s="954">
        <v>627</v>
      </c>
      <c r="F18" s="954">
        <v>745</v>
      </c>
      <c r="G18" s="955">
        <v>704</v>
      </c>
      <c r="H18" s="959">
        <v>704</v>
      </c>
      <c r="I18" s="1182">
        <v>651</v>
      </c>
      <c r="J18" s="1182">
        <v>670</v>
      </c>
      <c r="K18" s="1182">
        <v>670</v>
      </c>
      <c r="L18" s="1182">
        <v>670</v>
      </c>
      <c r="M18" s="956">
        <v>670</v>
      </c>
      <c r="N18" s="959"/>
      <c r="O18" s="960"/>
    </row>
    <row r="19" spans="1:16" ht="12" customHeight="1" outlineLevel="1" x14ac:dyDescent="0.2">
      <c r="A19" s="952" t="s">
        <v>339</v>
      </c>
      <c r="B19" s="937" t="s">
        <v>237</v>
      </c>
      <c r="C19" s="938" t="s">
        <v>412</v>
      </c>
      <c r="D19" s="953" t="s">
        <v>426</v>
      </c>
      <c r="E19" s="954">
        <v>28</v>
      </c>
      <c r="F19" s="954">
        <v>28</v>
      </c>
      <c r="G19" s="955">
        <v>26</v>
      </c>
      <c r="H19" s="957">
        <v>10</v>
      </c>
      <c r="I19" s="1182"/>
      <c r="J19" s="1182">
        <v>10</v>
      </c>
      <c r="K19" s="1182">
        <v>10</v>
      </c>
      <c r="L19" s="1182">
        <v>10</v>
      </c>
      <c r="M19" s="956">
        <v>0</v>
      </c>
      <c r="N19" s="957"/>
      <c r="O19" s="958"/>
    </row>
    <row r="20" spans="1:16" ht="12" customHeight="1" outlineLevel="1" x14ac:dyDescent="0.2">
      <c r="A20" s="952" t="s">
        <v>340</v>
      </c>
      <c r="B20" s="937" t="s">
        <v>237</v>
      </c>
      <c r="C20" s="938" t="s">
        <v>413</v>
      </c>
      <c r="D20" s="953" t="s">
        <v>426</v>
      </c>
      <c r="E20" s="954"/>
      <c r="F20" s="954"/>
      <c r="G20" s="955">
        <v>0</v>
      </c>
      <c r="H20" s="957"/>
      <c r="I20" s="1182"/>
      <c r="J20" s="1182"/>
      <c r="K20" s="1182"/>
      <c r="L20" s="1182"/>
      <c r="M20" s="956"/>
      <c r="N20" s="957"/>
      <c r="O20" s="958"/>
    </row>
    <row r="21" spans="1:16" ht="12" customHeight="1" outlineLevel="1" x14ac:dyDescent="0.2">
      <c r="A21" s="952" t="s">
        <v>341</v>
      </c>
      <c r="B21" s="937" t="s">
        <v>237</v>
      </c>
      <c r="C21" s="938" t="s">
        <v>414</v>
      </c>
      <c r="D21" s="953" t="s">
        <v>426</v>
      </c>
      <c r="E21" s="954"/>
      <c r="F21" s="954">
        <v>97</v>
      </c>
      <c r="G21" s="955">
        <v>99</v>
      </c>
      <c r="H21" s="957">
        <v>125</v>
      </c>
      <c r="I21" s="1182">
        <v>125</v>
      </c>
      <c r="J21" s="1182">
        <v>150</v>
      </c>
      <c r="K21" s="1182">
        <v>150</v>
      </c>
      <c r="L21" s="1182">
        <v>250</v>
      </c>
      <c r="M21" s="956">
        <v>250</v>
      </c>
      <c r="N21" s="957"/>
      <c r="O21" s="958"/>
    </row>
    <row r="22" spans="1:16" ht="12" customHeight="1" outlineLevel="1" x14ac:dyDescent="0.2">
      <c r="A22" s="952" t="s">
        <v>342</v>
      </c>
      <c r="B22" s="937" t="s">
        <v>237</v>
      </c>
      <c r="C22" s="938" t="s">
        <v>415</v>
      </c>
      <c r="D22" s="953" t="s">
        <v>426</v>
      </c>
      <c r="E22" s="954">
        <v>8457</v>
      </c>
      <c r="F22" s="954">
        <v>2861</v>
      </c>
      <c r="G22" s="955">
        <v>3428</v>
      </c>
      <c r="H22" s="957">
        <v>3428</v>
      </c>
      <c r="I22" s="1182">
        <v>5060</v>
      </c>
      <c r="J22" s="1182"/>
      <c r="K22" s="1182"/>
      <c r="L22" s="1182">
        <v>23000</v>
      </c>
      <c r="M22" s="956">
        <v>23000</v>
      </c>
      <c r="N22" s="957"/>
      <c r="O22" s="958"/>
    </row>
    <row r="23" spans="1:16" ht="12" customHeight="1" outlineLevel="1" x14ac:dyDescent="0.2">
      <c r="A23" s="952" t="s">
        <v>343</v>
      </c>
      <c r="B23" s="937" t="s">
        <v>237</v>
      </c>
      <c r="C23" s="938" t="s">
        <v>416</v>
      </c>
      <c r="D23" s="953" t="s">
        <v>426</v>
      </c>
      <c r="E23" s="961">
        <v>155</v>
      </c>
      <c r="F23" s="961">
        <v>332</v>
      </c>
      <c r="G23" s="962">
        <v>41</v>
      </c>
      <c r="H23" s="959">
        <v>26</v>
      </c>
      <c r="I23" s="1182">
        <v>20</v>
      </c>
      <c r="J23" s="1182">
        <v>2</v>
      </c>
      <c r="K23" s="1182">
        <v>0</v>
      </c>
      <c r="L23" s="1182">
        <v>0</v>
      </c>
      <c r="M23" s="956">
        <v>0</v>
      </c>
      <c r="N23" s="959"/>
      <c r="O23" s="960"/>
    </row>
    <row r="24" spans="1:16" ht="12" customHeight="1" outlineLevel="1" x14ac:dyDescent="0.2">
      <c r="A24" s="952" t="s">
        <v>344</v>
      </c>
      <c r="B24" s="937" t="s">
        <v>237</v>
      </c>
      <c r="C24" s="938" t="s">
        <v>417</v>
      </c>
      <c r="D24" s="953" t="s">
        <v>426</v>
      </c>
      <c r="E24" s="954">
        <v>59</v>
      </c>
      <c r="F24" s="954">
        <v>8</v>
      </c>
      <c r="G24" s="955">
        <v>0</v>
      </c>
      <c r="H24" s="957"/>
      <c r="I24" s="1182"/>
      <c r="J24" s="1182"/>
      <c r="K24" s="1182"/>
      <c r="L24" s="1182"/>
      <c r="M24" s="956"/>
      <c r="N24" s="957"/>
      <c r="O24" s="958"/>
    </row>
    <row r="25" spans="1:16" ht="12" customHeight="1" outlineLevel="1" x14ac:dyDescent="0.2">
      <c r="A25" s="952" t="s">
        <v>345</v>
      </c>
      <c r="B25" s="937" t="s">
        <v>237</v>
      </c>
      <c r="C25" s="938" t="s">
        <v>407</v>
      </c>
      <c r="D25" s="953" t="s">
        <v>426</v>
      </c>
      <c r="E25" s="954">
        <v>830</v>
      </c>
      <c r="F25" s="954">
        <v>444</v>
      </c>
      <c r="G25" s="955">
        <v>850</v>
      </c>
      <c r="H25" s="957">
        <v>850</v>
      </c>
      <c r="I25" s="1182">
        <v>1200</v>
      </c>
      <c r="J25" s="1182">
        <v>2500</v>
      </c>
      <c r="K25" s="1182">
        <v>2000</v>
      </c>
      <c r="L25" s="1182">
        <v>2200</v>
      </c>
      <c r="M25" s="956">
        <v>2300</v>
      </c>
      <c r="N25" s="957"/>
      <c r="O25" s="958"/>
    </row>
    <row r="26" spans="1:16" s="1074" customFormat="1" ht="12" customHeight="1" thickBot="1" x14ac:dyDescent="0.25">
      <c r="A26" s="963">
        <v>4</v>
      </c>
      <c r="B26" s="964" t="s">
        <v>237</v>
      </c>
      <c r="C26" s="965" t="s">
        <v>407</v>
      </c>
      <c r="D26" s="965" t="s">
        <v>214</v>
      </c>
      <c r="E26" s="966">
        <v>1000</v>
      </c>
      <c r="F26" s="966"/>
      <c r="G26" s="967">
        <v>0</v>
      </c>
      <c r="H26" s="968">
        <v>3600</v>
      </c>
      <c r="I26" s="1152"/>
      <c r="J26" s="1152"/>
      <c r="K26" s="1152"/>
      <c r="L26" s="1152"/>
      <c r="M26" s="969"/>
      <c r="N26" s="968"/>
      <c r="O26" s="970"/>
      <c r="P26" s="894"/>
    </row>
    <row r="27" spans="1:16" ht="12" customHeight="1" x14ac:dyDescent="0.2">
      <c r="A27" s="971" t="s">
        <v>408</v>
      </c>
      <c r="B27" s="972" t="s">
        <v>279</v>
      </c>
      <c r="C27" s="973" t="s">
        <v>16</v>
      </c>
      <c r="D27" s="974" t="s">
        <v>478</v>
      </c>
      <c r="E27" s="975">
        <f t="shared" ref="E27:J27" si="1">E93+E97+E100+E104+E107+E111+E113+E116+E119+E121+E128+E130+E132+E134+E161+E163</f>
        <v>123473</v>
      </c>
      <c r="F27" s="975">
        <f t="shared" si="1"/>
        <v>144523</v>
      </c>
      <c r="G27" s="976">
        <f t="shared" si="1"/>
        <v>146615</v>
      </c>
      <c r="H27" s="977">
        <f t="shared" si="1"/>
        <v>184429</v>
      </c>
      <c r="I27" s="1154">
        <f t="shared" si="1"/>
        <v>185912</v>
      </c>
      <c r="J27" s="1154">
        <f t="shared" si="1"/>
        <v>201826</v>
      </c>
      <c r="K27" s="1154">
        <v>210232.25</v>
      </c>
      <c r="L27" s="1154">
        <v>212103</v>
      </c>
      <c r="M27" s="976">
        <f>M93+M97+M100+M104+M107+M111+M113+M116+M119+M121+M128+M130+M132+M134+M161+M163</f>
        <v>226656</v>
      </c>
      <c r="N27" s="978"/>
      <c r="O27" s="979"/>
    </row>
    <row r="28" spans="1:16" ht="12" customHeight="1" x14ac:dyDescent="0.2">
      <c r="A28" s="980">
        <v>1</v>
      </c>
      <c r="B28" s="981" t="s">
        <v>279</v>
      </c>
      <c r="C28" s="938" t="s">
        <v>407</v>
      </c>
      <c r="D28" s="939" t="s">
        <v>83</v>
      </c>
      <c r="E28" s="982">
        <v>2900</v>
      </c>
      <c r="F28" s="982">
        <v>4100</v>
      </c>
      <c r="G28" s="941">
        <v>3800</v>
      </c>
      <c r="H28" s="944">
        <v>4000</v>
      </c>
      <c r="I28" s="1181">
        <v>4000</v>
      </c>
      <c r="J28" s="1181">
        <v>7050</v>
      </c>
      <c r="K28" s="1181">
        <v>7050</v>
      </c>
      <c r="L28" s="1181">
        <v>6900</v>
      </c>
      <c r="M28" s="942">
        <v>8500</v>
      </c>
      <c r="N28" s="983" t="s">
        <v>463</v>
      </c>
      <c r="O28" s="984" t="s">
        <v>195</v>
      </c>
      <c r="P28" s="1131"/>
    </row>
    <row r="29" spans="1:16" s="902" customFormat="1" ht="12" customHeight="1" x14ac:dyDescent="0.2">
      <c r="A29" s="980">
        <f>A28+1</f>
        <v>2</v>
      </c>
      <c r="B29" s="981" t="s">
        <v>279</v>
      </c>
      <c r="C29" s="938" t="s">
        <v>407</v>
      </c>
      <c r="D29" s="985" t="s">
        <v>82</v>
      </c>
      <c r="E29" s="982">
        <v>800</v>
      </c>
      <c r="F29" s="982">
        <v>1200</v>
      </c>
      <c r="G29" s="941">
        <v>1200</v>
      </c>
      <c r="H29" s="944">
        <v>1500</v>
      </c>
      <c r="I29" s="1181">
        <v>1400</v>
      </c>
      <c r="J29" s="1181">
        <v>1600</v>
      </c>
      <c r="K29" s="1181">
        <v>1900</v>
      </c>
      <c r="L29" s="1181">
        <v>2000</v>
      </c>
      <c r="M29" s="942">
        <v>1800</v>
      </c>
      <c r="N29" s="983" t="s">
        <v>464</v>
      </c>
      <c r="O29" s="984" t="s">
        <v>554</v>
      </c>
      <c r="P29" s="1132"/>
    </row>
    <row r="30" spans="1:16" ht="12" customHeight="1" x14ac:dyDescent="0.2">
      <c r="A30" s="980">
        <f>A29+1</f>
        <v>3</v>
      </c>
      <c r="B30" s="981" t="s">
        <v>279</v>
      </c>
      <c r="C30" s="938" t="s">
        <v>407</v>
      </c>
      <c r="D30" s="985" t="s">
        <v>74</v>
      </c>
      <c r="E30" s="986">
        <v>864</v>
      </c>
      <c r="F30" s="986">
        <v>550</v>
      </c>
      <c r="G30" s="947">
        <v>600</v>
      </c>
      <c r="H30" s="944">
        <v>1000</v>
      </c>
      <c r="I30" s="1181">
        <v>1000</v>
      </c>
      <c r="J30" s="1181">
        <v>900</v>
      </c>
      <c r="K30" s="1181">
        <v>900</v>
      </c>
      <c r="L30" s="1181">
        <v>1300</v>
      </c>
      <c r="M30" s="942">
        <v>1300</v>
      </c>
      <c r="N30" s="983" t="s">
        <v>352</v>
      </c>
      <c r="O30" s="984" t="s">
        <v>195</v>
      </c>
      <c r="P30" s="1133"/>
    </row>
    <row r="31" spans="1:16" ht="12" customHeight="1" x14ac:dyDescent="0.2">
      <c r="A31" s="980">
        <f t="shared" ref="A31:A61" si="2">A30+1</f>
        <v>4</v>
      </c>
      <c r="B31" s="981" t="s">
        <v>279</v>
      </c>
      <c r="C31" s="938" t="s">
        <v>407</v>
      </c>
      <c r="D31" s="939" t="s">
        <v>135</v>
      </c>
      <c r="E31" s="986">
        <v>10000</v>
      </c>
      <c r="F31" s="986">
        <v>10000</v>
      </c>
      <c r="G31" s="947">
        <v>10000</v>
      </c>
      <c r="H31" s="944">
        <v>6400</v>
      </c>
      <c r="I31" s="1181">
        <v>6000</v>
      </c>
      <c r="J31" s="1181">
        <v>8800</v>
      </c>
      <c r="K31" s="1181">
        <v>8000</v>
      </c>
      <c r="L31" s="1181">
        <v>0</v>
      </c>
      <c r="M31" s="942">
        <v>0</v>
      </c>
      <c r="N31" s="983" t="s">
        <v>353</v>
      </c>
      <c r="O31" s="984" t="s">
        <v>196</v>
      </c>
      <c r="P31" s="1133"/>
    </row>
    <row r="32" spans="1:16" ht="12" customHeight="1" x14ac:dyDescent="0.2">
      <c r="A32" s="980">
        <f t="shared" si="2"/>
        <v>5</v>
      </c>
      <c r="B32" s="981" t="s">
        <v>279</v>
      </c>
      <c r="C32" s="938" t="s">
        <v>407</v>
      </c>
      <c r="D32" s="985" t="s">
        <v>75</v>
      </c>
      <c r="E32" s="986">
        <v>2430</v>
      </c>
      <c r="F32" s="940">
        <v>2430</v>
      </c>
      <c r="G32" s="941">
        <v>2430</v>
      </c>
      <c r="H32" s="944">
        <v>2430</v>
      </c>
      <c r="I32" s="1181">
        <v>2430</v>
      </c>
      <c r="J32" s="1181">
        <v>2430</v>
      </c>
      <c r="K32" s="1181">
        <v>1200</v>
      </c>
      <c r="L32" s="1181">
        <v>1100</v>
      </c>
      <c r="M32" s="942">
        <v>1100</v>
      </c>
      <c r="N32" s="983" t="s">
        <v>354</v>
      </c>
      <c r="O32" s="984" t="s">
        <v>554</v>
      </c>
      <c r="P32" s="1133"/>
    </row>
    <row r="33" spans="1:16" ht="12" customHeight="1" x14ac:dyDescent="0.2">
      <c r="A33" s="980">
        <f t="shared" si="2"/>
        <v>6</v>
      </c>
      <c r="B33" s="981" t="s">
        <v>279</v>
      </c>
      <c r="C33" s="938" t="s">
        <v>407</v>
      </c>
      <c r="D33" s="939" t="s">
        <v>570</v>
      </c>
      <c r="E33" s="986">
        <v>200</v>
      </c>
      <c r="F33" s="940">
        <v>750</v>
      </c>
      <c r="G33" s="941">
        <v>550</v>
      </c>
      <c r="H33" s="944">
        <v>500</v>
      </c>
      <c r="I33" s="1181">
        <v>450</v>
      </c>
      <c r="J33" s="1181">
        <v>450</v>
      </c>
      <c r="K33" s="1181">
        <v>670</v>
      </c>
      <c r="L33" s="1181">
        <v>670</v>
      </c>
      <c r="M33" s="942">
        <v>750</v>
      </c>
      <c r="N33" s="983" t="s">
        <v>355</v>
      </c>
      <c r="O33" s="984" t="s">
        <v>555</v>
      </c>
      <c r="P33" s="1133"/>
    </row>
    <row r="34" spans="1:16" ht="12" customHeight="1" x14ac:dyDescent="0.2">
      <c r="A34" s="980">
        <f t="shared" si="2"/>
        <v>7</v>
      </c>
      <c r="B34" s="981" t="s">
        <v>279</v>
      </c>
      <c r="C34" s="938" t="s">
        <v>407</v>
      </c>
      <c r="D34" s="985" t="s">
        <v>84</v>
      </c>
      <c r="E34" s="986">
        <v>200</v>
      </c>
      <c r="F34" s="940">
        <v>300</v>
      </c>
      <c r="G34" s="941">
        <v>300</v>
      </c>
      <c r="H34" s="944">
        <v>300</v>
      </c>
      <c r="I34" s="1181">
        <v>200</v>
      </c>
      <c r="J34" s="1181">
        <v>300</v>
      </c>
      <c r="K34" s="1181">
        <v>350</v>
      </c>
      <c r="L34" s="1181">
        <v>770</v>
      </c>
      <c r="M34" s="942">
        <v>810</v>
      </c>
      <c r="N34" s="983" t="s">
        <v>356</v>
      </c>
      <c r="O34" s="984" t="s">
        <v>555</v>
      </c>
      <c r="P34" s="1133"/>
    </row>
    <row r="35" spans="1:16" ht="12" customHeight="1" x14ac:dyDescent="0.2">
      <c r="A35" s="980">
        <f t="shared" si="2"/>
        <v>8</v>
      </c>
      <c r="B35" s="981" t="s">
        <v>279</v>
      </c>
      <c r="C35" s="938" t="s">
        <v>407</v>
      </c>
      <c r="D35" s="985" t="s">
        <v>571</v>
      </c>
      <c r="E35" s="986">
        <v>330</v>
      </c>
      <c r="F35" s="940">
        <v>450</v>
      </c>
      <c r="G35" s="941">
        <v>750</v>
      </c>
      <c r="H35" s="944">
        <v>750</v>
      </c>
      <c r="I35" s="1181">
        <v>400</v>
      </c>
      <c r="J35" s="1181">
        <v>100</v>
      </c>
      <c r="K35" s="1181">
        <v>50</v>
      </c>
      <c r="L35" s="1181">
        <v>50</v>
      </c>
      <c r="M35" s="942">
        <v>30</v>
      </c>
      <c r="N35" s="983" t="s">
        <v>357</v>
      </c>
      <c r="O35" s="984" t="s">
        <v>554</v>
      </c>
      <c r="P35" s="1133"/>
    </row>
    <row r="36" spans="1:16" ht="12" customHeight="1" x14ac:dyDescent="0.2">
      <c r="A36" s="980">
        <f t="shared" si="2"/>
        <v>9</v>
      </c>
      <c r="B36" s="981" t="s">
        <v>279</v>
      </c>
      <c r="C36" s="938" t="s">
        <v>407</v>
      </c>
      <c r="D36" s="939" t="s">
        <v>85</v>
      </c>
      <c r="E36" s="986">
        <v>300</v>
      </c>
      <c r="F36" s="940">
        <v>300</v>
      </c>
      <c r="G36" s="941">
        <v>400</v>
      </c>
      <c r="H36" s="944">
        <v>550</v>
      </c>
      <c r="I36" s="1181">
        <v>550</v>
      </c>
      <c r="J36" s="1181">
        <v>500</v>
      </c>
      <c r="K36" s="1181">
        <v>500</v>
      </c>
      <c r="L36" s="1181">
        <v>500</v>
      </c>
      <c r="M36" s="942">
        <v>500</v>
      </c>
      <c r="N36" s="983" t="s">
        <v>358</v>
      </c>
      <c r="O36" s="984" t="s">
        <v>397</v>
      </c>
      <c r="P36" s="1133"/>
    </row>
    <row r="37" spans="1:16" ht="12" customHeight="1" x14ac:dyDescent="0.2">
      <c r="A37" s="980">
        <f t="shared" si="2"/>
        <v>10</v>
      </c>
      <c r="B37" s="981" t="s">
        <v>279</v>
      </c>
      <c r="C37" s="938" t="s">
        <v>407</v>
      </c>
      <c r="D37" s="987" t="s">
        <v>136</v>
      </c>
      <c r="E37" s="986">
        <v>500</v>
      </c>
      <c r="F37" s="940">
        <v>700</v>
      </c>
      <c r="G37" s="941">
        <v>822</v>
      </c>
      <c r="H37" s="944">
        <v>971</v>
      </c>
      <c r="I37" s="1181">
        <v>1085</v>
      </c>
      <c r="J37" s="1181">
        <v>1085</v>
      </c>
      <c r="K37" s="1181">
        <v>1200</v>
      </c>
      <c r="L37" s="1181">
        <v>1275</v>
      </c>
      <c r="M37" s="942">
        <v>1550</v>
      </c>
      <c r="N37" s="983" t="s">
        <v>359</v>
      </c>
      <c r="O37" s="984" t="s">
        <v>197</v>
      </c>
      <c r="P37" s="1133"/>
    </row>
    <row r="38" spans="1:16" ht="12" customHeight="1" x14ac:dyDescent="0.2">
      <c r="A38" s="980">
        <f t="shared" si="2"/>
        <v>11</v>
      </c>
      <c r="B38" s="981" t="s">
        <v>279</v>
      </c>
      <c r="C38" s="938" t="s">
        <v>407</v>
      </c>
      <c r="D38" s="939" t="s">
        <v>137</v>
      </c>
      <c r="E38" s="986">
        <v>810</v>
      </c>
      <c r="F38" s="940">
        <v>900</v>
      </c>
      <c r="G38" s="941">
        <v>600</v>
      </c>
      <c r="H38" s="944">
        <v>600</v>
      </c>
      <c r="I38" s="1181">
        <v>600</v>
      </c>
      <c r="J38" s="1181">
        <v>600</v>
      </c>
      <c r="K38" s="1181">
        <v>600</v>
      </c>
      <c r="L38" s="1181">
        <v>370</v>
      </c>
      <c r="M38" s="942">
        <v>450</v>
      </c>
      <c r="N38" s="983" t="s">
        <v>360</v>
      </c>
      <c r="O38" s="984" t="s">
        <v>195</v>
      </c>
      <c r="P38" s="988"/>
    </row>
    <row r="39" spans="1:16" ht="12" customHeight="1" x14ac:dyDescent="0.2">
      <c r="A39" s="980">
        <f t="shared" si="2"/>
        <v>12</v>
      </c>
      <c r="B39" s="981" t="s">
        <v>279</v>
      </c>
      <c r="C39" s="938" t="s">
        <v>407</v>
      </c>
      <c r="D39" s="987" t="s">
        <v>100</v>
      </c>
      <c r="E39" s="986">
        <v>720</v>
      </c>
      <c r="F39" s="940">
        <v>800</v>
      </c>
      <c r="G39" s="941">
        <v>1881</v>
      </c>
      <c r="H39" s="944">
        <v>1881</v>
      </c>
      <c r="I39" s="1181">
        <v>1521</v>
      </c>
      <c r="J39" s="1181">
        <v>1521</v>
      </c>
      <c r="K39" s="1181">
        <v>1721</v>
      </c>
      <c r="L39" s="1181">
        <v>1791</v>
      </c>
      <c r="M39" s="942">
        <v>1682</v>
      </c>
      <c r="N39" s="983" t="s">
        <v>361</v>
      </c>
      <c r="O39" s="984" t="s">
        <v>402</v>
      </c>
      <c r="P39" s="988"/>
    </row>
    <row r="40" spans="1:16" ht="12" customHeight="1" x14ac:dyDescent="0.2">
      <c r="A40" s="980">
        <f t="shared" si="2"/>
        <v>13</v>
      </c>
      <c r="B40" s="981" t="s">
        <v>279</v>
      </c>
      <c r="C40" s="938" t="s">
        <v>407</v>
      </c>
      <c r="D40" s="987" t="s">
        <v>572</v>
      </c>
      <c r="E40" s="986">
        <v>108</v>
      </c>
      <c r="F40" s="940">
        <v>150</v>
      </c>
      <c r="G40" s="941">
        <v>350</v>
      </c>
      <c r="H40" s="944">
        <v>180</v>
      </c>
      <c r="I40" s="1181">
        <v>180</v>
      </c>
      <c r="J40" s="1181">
        <v>180</v>
      </c>
      <c r="K40" s="1181">
        <v>180</v>
      </c>
      <c r="L40" s="1181">
        <v>150</v>
      </c>
      <c r="M40" s="942">
        <v>100</v>
      </c>
      <c r="N40" s="983" t="s">
        <v>362</v>
      </c>
      <c r="O40" s="984" t="s">
        <v>197</v>
      </c>
      <c r="P40" s="1133"/>
    </row>
    <row r="41" spans="1:16" ht="12" customHeight="1" x14ac:dyDescent="0.2">
      <c r="A41" s="980">
        <f t="shared" si="2"/>
        <v>14</v>
      </c>
      <c r="B41" s="981" t="s">
        <v>279</v>
      </c>
      <c r="C41" s="938" t="s">
        <v>407</v>
      </c>
      <c r="D41" s="939" t="s">
        <v>86</v>
      </c>
      <c r="E41" s="986">
        <v>180</v>
      </c>
      <c r="F41" s="940">
        <v>180</v>
      </c>
      <c r="G41" s="941">
        <v>1200</v>
      </c>
      <c r="H41" s="944">
        <v>1795</v>
      </c>
      <c r="I41" s="1181">
        <v>1795</v>
      </c>
      <c r="J41" s="1181">
        <v>1795</v>
      </c>
      <c r="K41" s="1181">
        <v>1885</v>
      </c>
      <c r="L41" s="1181">
        <v>2335</v>
      </c>
      <c r="M41" s="942">
        <v>1915</v>
      </c>
      <c r="N41" s="983" t="s">
        <v>363</v>
      </c>
      <c r="O41" s="984" t="s">
        <v>198</v>
      </c>
      <c r="P41" s="1133"/>
    </row>
    <row r="42" spans="1:16" ht="12" customHeight="1" x14ac:dyDescent="0.2">
      <c r="A42" s="980">
        <f t="shared" si="2"/>
        <v>15</v>
      </c>
      <c r="B42" s="981" t="s">
        <v>279</v>
      </c>
      <c r="C42" s="938" t="s">
        <v>407</v>
      </c>
      <c r="D42" s="939" t="s">
        <v>87</v>
      </c>
      <c r="E42" s="986">
        <v>70</v>
      </c>
      <c r="F42" s="940">
        <v>70</v>
      </c>
      <c r="G42" s="941">
        <v>70</v>
      </c>
      <c r="H42" s="944">
        <v>70</v>
      </c>
      <c r="I42" s="1181">
        <v>70</v>
      </c>
      <c r="J42" s="1181">
        <v>0</v>
      </c>
      <c r="K42" s="1181">
        <v>0</v>
      </c>
      <c r="L42" s="1181">
        <v>0</v>
      </c>
      <c r="M42" s="942"/>
      <c r="N42" s="983" t="s">
        <v>364</v>
      </c>
      <c r="O42" s="984" t="s">
        <v>198</v>
      </c>
      <c r="P42" s="1133"/>
    </row>
    <row r="43" spans="1:16" ht="12" customHeight="1" x14ac:dyDescent="0.2">
      <c r="A43" s="980">
        <f t="shared" si="2"/>
        <v>16</v>
      </c>
      <c r="B43" s="981" t="s">
        <v>279</v>
      </c>
      <c r="C43" s="938" t="s">
        <v>407</v>
      </c>
      <c r="D43" s="939" t="s">
        <v>93</v>
      </c>
      <c r="E43" s="986">
        <v>405</v>
      </c>
      <c r="F43" s="940">
        <v>600</v>
      </c>
      <c r="G43" s="941">
        <v>600</v>
      </c>
      <c r="H43" s="944">
        <v>600</v>
      </c>
      <c r="I43" s="1181">
        <v>600</v>
      </c>
      <c r="J43" s="1181">
        <v>600</v>
      </c>
      <c r="K43" s="1181">
        <v>600</v>
      </c>
      <c r="L43" s="1181">
        <v>624</v>
      </c>
      <c r="M43" s="942">
        <v>600</v>
      </c>
      <c r="N43" s="983" t="s">
        <v>365</v>
      </c>
      <c r="O43" s="984" t="s">
        <v>398</v>
      </c>
      <c r="P43" s="889"/>
    </row>
    <row r="44" spans="1:16" ht="12" customHeight="1" x14ac:dyDescent="0.2">
      <c r="A44" s="980">
        <f t="shared" si="2"/>
        <v>17</v>
      </c>
      <c r="B44" s="981" t="s">
        <v>279</v>
      </c>
      <c r="C44" s="938" t="s">
        <v>407</v>
      </c>
      <c r="D44" s="939" t="s">
        <v>94</v>
      </c>
      <c r="E44" s="986">
        <v>405</v>
      </c>
      <c r="F44" s="940">
        <v>452</v>
      </c>
      <c r="G44" s="941">
        <v>450</v>
      </c>
      <c r="H44" s="944">
        <v>1000</v>
      </c>
      <c r="I44" s="1181">
        <v>420</v>
      </c>
      <c r="J44" s="1181">
        <v>400</v>
      </c>
      <c r="K44" s="1181">
        <v>0</v>
      </c>
      <c r="L44" s="1181">
        <v>0</v>
      </c>
      <c r="M44" s="942"/>
      <c r="N44" s="983" t="s">
        <v>367</v>
      </c>
      <c r="O44" s="984" t="s">
        <v>398</v>
      </c>
      <c r="P44" s="889"/>
    </row>
    <row r="45" spans="1:16" ht="12" customHeight="1" x14ac:dyDescent="0.2">
      <c r="A45" s="980">
        <f t="shared" si="2"/>
        <v>18</v>
      </c>
      <c r="B45" s="981" t="s">
        <v>279</v>
      </c>
      <c r="C45" s="938" t="s">
        <v>407</v>
      </c>
      <c r="D45" s="939" t="s">
        <v>255</v>
      </c>
      <c r="E45" s="986"/>
      <c r="F45" s="940">
        <v>278</v>
      </c>
      <c r="G45" s="941">
        <v>485</v>
      </c>
      <c r="H45" s="944">
        <v>1000</v>
      </c>
      <c r="I45" s="1181">
        <v>1800</v>
      </c>
      <c r="J45" s="1181">
        <v>1800</v>
      </c>
      <c r="K45" s="1181">
        <v>2500</v>
      </c>
      <c r="L45" s="1181">
        <v>2600</v>
      </c>
      <c r="M45" s="942">
        <v>2600</v>
      </c>
      <c r="N45" s="983" t="s">
        <v>366</v>
      </c>
      <c r="O45" s="984" t="s">
        <v>398</v>
      </c>
      <c r="P45" s="889"/>
    </row>
    <row r="46" spans="1:16" ht="12" customHeight="1" x14ac:dyDescent="0.2">
      <c r="A46" s="989">
        <f t="shared" si="2"/>
        <v>19</v>
      </c>
      <c r="B46" s="990" t="s">
        <v>279</v>
      </c>
      <c r="C46" s="991" t="s">
        <v>407</v>
      </c>
      <c r="D46" s="991" t="s">
        <v>481</v>
      </c>
      <c r="E46" s="992">
        <v>40130</v>
      </c>
      <c r="F46" s="992">
        <v>17500</v>
      </c>
      <c r="G46" s="993">
        <v>17500</v>
      </c>
      <c r="H46" s="994">
        <v>17500</v>
      </c>
      <c r="I46" s="1155">
        <v>17500</v>
      </c>
      <c r="J46" s="1155">
        <v>19000</v>
      </c>
      <c r="K46" s="1155">
        <v>20000</v>
      </c>
      <c r="L46" s="1155">
        <v>20000</v>
      </c>
      <c r="M46" s="1155">
        <v>20000</v>
      </c>
      <c r="N46" s="995" t="s">
        <v>368</v>
      </c>
      <c r="O46" s="996" t="s">
        <v>397</v>
      </c>
      <c r="P46" s="889"/>
    </row>
    <row r="47" spans="1:16" ht="12" customHeight="1" x14ac:dyDescent="0.2">
      <c r="A47" s="980">
        <f>A46+1</f>
        <v>20</v>
      </c>
      <c r="B47" s="981" t="s">
        <v>279</v>
      </c>
      <c r="C47" s="938" t="s">
        <v>407</v>
      </c>
      <c r="D47" s="939" t="s">
        <v>88</v>
      </c>
      <c r="E47" s="986">
        <v>60</v>
      </c>
      <c r="F47" s="940">
        <v>120</v>
      </c>
      <c r="G47" s="941">
        <v>150</v>
      </c>
      <c r="H47" s="944">
        <v>55</v>
      </c>
      <c r="I47" s="1181">
        <v>70</v>
      </c>
      <c r="J47" s="1181">
        <v>70</v>
      </c>
      <c r="K47" s="1181">
        <v>70</v>
      </c>
      <c r="L47" s="1181">
        <v>70</v>
      </c>
      <c r="M47" s="942">
        <v>50</v>
      </c>
      <c r="N47" s="983" t="s">
        <v>369</v>
      </c>
      <c r="O47" s="984" t="s">
        <v>554</v>
      </c>
      <c r="P47" s="889"/>
    </row>
    <row r="48" spans="1:16" ht="12" customHeight="1" x14ac:dyDescent="0.2">
      <c r="A48" s="980">
        <f t="shared" si="2"/>
        <v>21</v>
      </c>
      <c r="B48" s="981" t="s">
        <v>279</v>
      </c>
      <c r="C48" s="938" t="s">
        <v>407</v>
      </c>
      <c r="D48" s="939" t="s">
        <v>95</v>
      </c>
      <c r="E48" s="986">
        <v>630</v>
      </c>
      <c r="F48" s="940">
        <v>1000</v>
      </c>
      <c r="G48" s="941">
        <v>1000</v>
      </c>
      <c r="H48" s="944">
        <v>1000</v>
      </c>
      <c r="I48" s="1181">
        <v>960</v>
      </c>
      <c r="J48" s="1181">
        <v>1000</v>
      </c>
      <c r="K48" s="1181">
        <v>0</v>
      </c>
      <c r="L48" s="1181">
        <v>0</v>
      </c>
      <c r="M48" s="942"/>
      <c r="N48" s="983" t="s">
        <v>370</v>
      </c>
      <c r="O48" s="984" t="s">
        <v>542</v>
      </c>
      <c r="P48" s="889"/>
    </row>
    <row r="49" spans="1:16" ht="12" customHeight="1" x14ac:dyDescent="0.2">
      <c r="A49" s="980">
        <f t="shared" si="2"/>
        <v>22</v>
      </c>
      <c r="B49" s="981" t="s">
        <v>279</v>
      </c>
      <c r="C49" s="938" t="s">
        <v>407</v>
      </c>
      <c r="D49" s="939" t="s">
        <v>140</v>
      </c>
      <c r="E49" s="986">
        <v>3800</v>
      </c>
      <c r="F49" s="940">
        <v>4500</v>
      </c>
      <c r="G49" s="941">
        <v>1800</v>
      </c>
      <c r="H49" s="944">
        <v>1800</v>
      </c>
      <c r="I49" s="1181">
        <v>500</v>
      </c>
      <c r="J49" s="1181">
        <v>1523</v>
      </c>
      <c r="K49" s="1181">
        <v>300</v>
      </c>
      <c r="L49" s="1181">
        <v>200</v>
      </c>
      <c r="M49" s="942">
        <v>270</v>
      </c>
      <c r="N49" s="983" t="s">
        <v>371</v>
      </c>
      <c r="O49" s="984" t="s">
        <v>399</v>
      </c>
      <c r="P49" s="889"/>
    </row>
    <row r="50" spans="1:16" ht="12" customHeight="1" x14ac:dyDescent="0.2">
      <c r="A50" s="980">
        <f t="shared" si="2"/>
        <v>23</v>
      </c>
      <c r="B50" s="981" t="s">
        <v>279</v>
      </c>
      <c r="C50" s="938" t="s">
        <v>407</v>
      </c>
      <c r="D50" s="939" t="s">
        <v>256</v>
      </c>
      <c r="E50" s="986"/>
      <c r="F50" s="940">
        <v>2000</v>
      </c>
      <c r="G50" s="941">
        <v>1000</v>
      </c>
      <c r="H50" s="944">
        <v>2000</v>
      </c>
      <c r="I50" s="1181">
        <v>2000</v>
      </c>
      <c r="J50" s="1181">
        <v>2000</v>
      </c>
      <c r="K50" s="1181">
        <v>0</v>
      </c>
      <c r="L50" s="1181">
        <v>0</v>
      </c>
      <c r="M50" s="942"/>
      <c r="N50" s="983" t="s">
        <v>372</v>
      </c>
      <c r="O50" s="984" t="s">
        <v>542</v>
      </c>
      <c r="P50" s="889"/>
    </row>
    <row r="51" spans="1:16" ht="12" customHeight="1" x14ac:dyDescent="0.2">
      <c r="A51" s="980">
        <f t="shared" si="2"/>
        <v>24</v>
      </c>
      <c r="B51" s="981" t="s">
        <v>279</v>
      </c>
      <c r="C51" s="938" t="s">
        <v>407</v>
      </c>
      <c r="D51" s="939" t="s">
        <v>165</v>
      </c>
      <c r="E51" s="986">
        <v>360</v>
      </c>
      <c r="F51" s="940">
        <v>100</v>
      </c>
      <c r="G51" s="941">
        <v>100</v>
      </c>
      <c r="H51" s="944">
        <v>100</v>
      </c>
      <c r="I51" s="1181">
        <v>100</v>
      </c>
      <c r="J51" s="1181">
        <v>100</v>
      </c>
      <c r="K51" s="1181">
        <v>750</v>
      </c>
      <c r="L51" s="1181">
        <v>400</v>
      </c>
      <c r="M51" s="942">
        <v>400</v>
      </c>
      <c r="N51" s="983" t="s">
        <v>387</v>
      </c>
      <c r="O51" s="984" t="s">
        <v>197</v>
      </c>
      <c r="P51" s="1075"/>
    </row>
    <row r="52" spans="1:16" ht="12" customHeight="1" x14ac:dyDescent="0.2">
      <c r="A52" s="980">
        <f>A51+1</f>
        <v>25</v>
      </c>
      <c r="B52" s="981" t="s">
        <v>279</v>
      </c>
      <c r="C52" s="938" t="s">
        <v>407</v>
      </c>
      <c r="D52" s="939" t="s">
        <v>655</v>
      </c>
      <c r="E52" s="986"/>
      <c r="F52" s="940"/>
      <c r="G52" s="941"/>
      <c r="H52" s="944"/>
      <c r="I52" s="1181"/>
      <c r="J52" s="1181">
        <v>0</v>
      </c>
      <c r="K52" s="1181">
        <v>0</v>
      </c>
      <c r="L52" s="1181">
        <v>0</v>
      </c>
      <c r="M52" s="942">
        <v>300</v>
      </c>
      <c r="N52" s="983" t="s">
        <v>200</v>
      </c>
      <c r="O52" s="984" t="s">
        <v>197</v>
      </c>
      <c r="P52" s="1075"/>
    </row>
    <row r="53" spans="1:16" ht="12" customHeight="1" x14ac:dyDescent="0.2">
      <c r="A53" s="980">
        <f t="shared" si="2"/>
        <v>26</v>
      </c>
      <c r="B53" s="981" t="s">
        <v>279</v>
      </c>
      <c r="C53" s="938" t="s">
        <v>407</v>
      </c>
      <c r="D53" s="939" t="s">
        <v>656</v>
      </c>
      <c r="E53" s="986"/>
      <c r="F53" s="940"/>
      <c r="G53" s="941"/>
      <c r="H53" s="944"/>
      <c r="I53" s="1181"/>
      <c r="J53" s="1181">
        <v>0</v>
      </c>
      <c r="K53" s="1181">
        <v>0</v>
      </c>
      <c r="L53" s="1181">
        <v>0</v>
      </c>
      <c r="M53" s="942">
        <v>380</v>
      </c>
      <c r="N53" s="983" t="s">
        <v>657</v>
      </c>
      <c r="O53" s="984" t="s">
        <v>197</v>
      </c>
      <c r="P53" s="1075"/>
    </row>
    <row r="54" spans="1:16" ht="12" customHeight="1" x14ac:dyDescent="0.2">
      <c r="A54" s="980">
        <f t="shared" si="2"/>
        <v>27</v>
      </c>
      <c r="B54" s="981" t="s">
        <v>279</v>
      </c>
      <c r="C54" s="938" t="s">
        <v>407</v>
      </c>
      <c r="D54" s="939" t="s">
        <v>660</v>
      </c>
      <c r="E54" s="986"/>
      <c r="F54" s="940"/>
      <c r="G54" s="941"/>
      <c r="H54" s="944"/>
      <c r="I54" s="1181"/>
      <c r="J54" s="1181">
        <v>0</v>
      </c>
      <c r="K54" s="1181">
        <v>0</v>
      </c>
      <c r="L54" s="1181">
        <v>0</v>
      </c>
      <c r="M54" s="942">
        <v>735</v>
      </c>
      <c r="N54" s="983" t="s">
        <v>659</v>
      </c>
      <c r="O54" s="984" t="s">
        <v>658</v>
      </c>
      <c r="P54" s="1075"/>
    </row>
    <row r="55" spans="1:16" ht="12" customHeight="1" x14ac:dyDescent="0.2">
      <c r="A55" s="980">
        <f t="shared" si="2"/>
        <v>28</v>
      </c>
      <c r="B55" s="981" t="s">
        <v>279</v>
      </c>
      <c r="C55" s="938" t="s">
        <v>407</v>
      </c>
      <c r="D55" s="987" t="s">
        <v>124</v>
      </c>
      <c r="E55" s="986">
        <v>351</v>
      </c>
      <c r="F55" s="940">
        <v>380</v>
      </c>
      <c r="G55" s="941">
        <v>380</v>
      </c>
      <c r="H55" s="944">
        <v>430</v>
      </c>
      <c r="I55" s="1181">
        <v>310</v>
      </c>
      <c r="J55" s="1181">
        <v>310</v>
      </c>
      <c r="K55" s="1181">
        <v>410</v>
      </c>
      <c r="L55" s="1181">
        <v>450</v>
      </c>
      <c r="M55" s="942">
        <v>450</v>
      </c>
      <c r="N55" s="983" t="s">
        <v>373</v>
      </c>
      <c r="O55" s="984" t="s">
        <v>197</v>
      </c>
      <c r="P55" s="889"/>
    </row>
    <row r="56" spans="1:16" s="1075" customFormat="1" ht="12" customHeight="1" x14ac:dyDescent="0.2">
      <c r="A56" s="980">
        <f t="shared" si="2"/>
        <v>29</v>
      </c>
      <c r="B56" s="981" t="s">
        <v>279</v>
      </c>
      <c r="C56" s="938" t="s">
        <v>407</v>
      </c>
      <c r="D56" s="985" t="s">
        <v>123</v>
      </c>
      <c r="E56" s="986">
        <v>225</v>
      </c>
      <c r="F56" s="986">
        <v>250</v>
      </c>
      <c r="G56" s="947">
        <v>330</v>
      </c>
      <c r="H56" s="944">
        <v>250</v>
      </c>
      <c r="I56" s="1181">
        <v>300</v>
      </c>
      <c r="J56" s="1181">
        <v>300</v>
      </c>
      <c r="K56" s="1181">
        <v>300</v>
      </c>
      <c r="L56" s="1181">
        <v>300</v>
      </c>
      <c r="M56" s="942">
        <v>300</v>
      </c>
      <c r="N56" s="983" t="s">
        <v>374</v>
      </c>
      <c r="O56" s="984" t="s">
        <v>195</v>
      </c>
      <c r="P56" s="889"/>
    </row>
    <row r="57" spans="1:16" ht="12" customHeight="1" x14ac:dyDescent="0.2">
      <c r="A57" s="980">
        <f>A56+1</f>
        <v>30</v>
      </c>
      <c r="B57" s="981" t="s">
        <v>279</v>
      </c>
      <c r="C57" s="938" t="s">
        <v>407</v>
      </c>
      <c r="D57" s="987" t="s">
        <v>257</v>
      </c>
      <c r="E57" s="986">
        <v>9040</v>
      </c>
      <c r="F57" s="940">
        <v>8820</v>
      </c>
      <c r="G57" s="941">
        <v>8650</v>
      </c>
      <c r="H57" s="944">
        <v>8850</v>
      </c>
      <c r="I57" s="1181">
        <v>9050</v>
      </c>
      <c r="J57" s="1181">
        <v>3895</v>
      </c>
      <c r="K57" s="1181">
        <v>2921.25</v>
      </c>
      <c r="L57" s="1181">
        <v>0</v>
      </c>
      <c r="M57" s="942">
        <v>4448</v>
      </c>
      <c r="N57" s="983" t="s">
        <v>375</v>
      </c>
      <c r="O57" s="984" t="s">
        <v>195</v>
      </c>
      <c r="P57" s="889"/>
    </row>
    <row r="58" spans="1:16" ht="12" customHeight="1" x14ac:dyDescent="0.2">
      <c r="A58" s="980">
        <f t="shared" si="2"/>
        <v>31</v>
      </c>
      <c r="B58" s="981" t="s">
        <v>279</v>
      </c>
      <c r="C58" s="938" t="s">
        <v>407</v>
      </c>
      <c r="D58" s="987" t="s">
        <v>141</v>
      </c>
      <c r="E58" s="986">
        <v>1900</v>
      </c>
      <c r="F58" s="940">
        <v>1900</v>
      </c>
      <c r="G58" s="941">
        <v>1900</v>
      </c>
      <c r="H58" s="944">
        <v>1900</v>
      </c>
      <c r="I58" s="1181">
        <v>1500</v>
      </c>
      <c r="J58" s="1181">
        <v>1250</v>
      </c>
      <c r="K58" s="1181">
        <v>1250</v>
      </c>
      <c r="L58" s="1181">
        <v>1250</v>
      </c>
      <c r="M58" s="942">
        <v>1350</v>
      </c>
      <c r="N58" s="983" t="s">
        <v>376</v>
      </c>
      <c r="O58" s="984" t="s">
        <v>195</v>
      </c>
      <c r="P58" s="889"/>
    </row>
    <row r="59" spans="1:16" ht="12" customHeight="1" x14ac:dyDescent="0.2">
      <c r="A59" s="980">
        <f t="shared" si="2"/>
        <v>32</v>
      </c>
      <c r="B59" s="981" t="s">
        <v>279</v>
      </c>
      <c r="C59" s="938" t="s">
        <v>407</v>
      </c>
      <c r="D59" s="987" t="s">
        <v>573</v>
      </c>
      <c r="E59" s="986"/>
      <c r="F59" s="940"/>
      <c r="G59" s="941"/>
      <c r="H59" s="944"/>
      <c r="I59" s="1181">
        <v>220</v>
      </c>
      <c r="J59" s="1181">
        <v>160</v>
      </c>
      <c r="K59" s="1181">
        <v>160</v>
      </c>
      <c r="L59" s="1181">
        <v>160</v>
      </c>
      <c r="M59" s="942">
        <v>170</v>
      </c>
      <c r="N59" s="983" t="s">
        <v>485</v>
      </c>
      <c r="O59" s="984" t="s">
        <v>195</v>
      </c>
      <c r="P59" s="889"/>
    </row>
    <row r="60" spans="1:16" ht="12" customHeight="1" x14ac:dyDescent="0.2">
      <c r="A60" s="980">
        <f>A59+1</f>
        <v>33</v>
      </c>
      <c r="B60" s="981" t="s">
        <v>279</v>
      </c>
      <c r="C60" s="938" t="s">
        <v>407</v>
      </c>
      <c r="D60" s="939" t="s">
        <v>202</v>
      </c>
      <c r="E60" s="986">
        <v>1080</v>
      </c>
      <c r="F60" s="940">
        <v>1500</v>
      </c>
      <c r="G60" s="941">
        <v>2600</v>
      </c>
      <c r="H60" s="944">
        <v>1500</v>
      </c>
      <c r="I60" s="1181">
        <v>1500</v>
      </c>
      <c r="J60" s="1181">
        <v>1700</v>
      </c>
      <c r="K60" s="1181">
        <v>1700</v>
      </c>
      <c r="L60" s="1181">
        <v>1900</v>
      </c>
      <c r="M60" s="942">
        <v>1900</v>
      </c>
      <c r="N60" s="983" t="s">
        <v>377</v>
      </c>
      <c r="O60" s="984" t="s">
        <v>195</v>
      </c>
      <c r="P60" s="1075"/>
    </row>
    <row r="61" spans="1:16" ht="12" customHeight="1" x14ac:dyDescent="0.2">
      <c r="A61" s="980">
        <f t="shared" si="2"/>
        <v>34</v>
      </c>
      <c r="B61" s="981" t="s">
        <v>279</v>
      </c>
      <c r="C61" s="938" t="s">
        <v>407</v>
      </c>
      <c r="D61" s="939" t="s">
        <v>574</v>
      </c>
      <c r="E61" s="986">
        <v>1350</v>
      </c>
      <c r="F61" s="940">
        <v>2165</v>
      </c>
      <c r="G61" s="941">
        <v>2300</v>
      </c>
      <c r="H61" s="944">
        <v>1354</v>
      </c>
      <c r="I61" s="1181">
        <v>1443</v>
      </c>
      <c r="J61" s="1181">
        <v>1158</v>
      </c>
      <c r="K61" s="1181">
        <v>1310</v>
      </c>
      <c r="L61" s="1181">
        <v>2620</v>
      </c>
      <c r="M61" s="942">
        <v>2520</v>
      </c>
      <c r="N61" s="983" t="s">
        <v>378</v>
      </c>
      <c r="O61" s="984" t="s">
        <v>400</v>
      </c>
      <c r="P61" s="1075"/>
    </row>
    <row r="62" spans="1:16" s="1075" customFormat="1" ht="12" customHeight="1" x14ac:dyDescent="0.2">
      <c r="A62" s="980">
        <f>A61+1</f>
        <v>35</v>
      </c>
      <c r="B62" s="981" t="s">
        <v>279</v>
      </c>
      <c r="C62" s="938" t="s">
        <v>407</v>
      </c>
      <c r="D62" s="939" t="s">
        <v>575</v>
      </c>
      <c r="E62" s="986">
        <v>140</v>
      </c>
      <c r="F62" s="940">
        <v>140</v>
      </c>
      <c r="G62" s="941">
        <v>140</v>
      </c>
      <c r="H62" s="944">
        <v>140</v>
      </c>
      <c r="I62" s="1181">
        <v>140</v>
      </c>
      <c r="J62" s="1181">
        <v>140</v>
      </c>
      <c r="K62" s="1181">
        <v>140</v>
      </c>
      <c r="L62" s="1181">
        <v>140</v>
      </c>
      <c r="M62" s="942">
        <v>140</v>
      </c>
      <c r="N62" s="983" t="s">
        <v>379</v>
      </c>
      <c r="O62" s="984" t="s">
        <v>198</v>
      </c>
    </row>
    <row r="63" spans="1:16" s="1075" customFormat="1" ht="12" customHeight="1" x14ac:dyDescent="0.2">
      <c r="A63" s="980">
        <f>A62+1</f>
        <v>36</v>
      </c>
      <c r="B63" s="981" t="s">
        <v>279</v>
      </c>
      <c r="C63" s="938" t="s">
        <v>407</v>
      </c>
      <c r="D63" s="939" t="s">
        <v>576</v>
      </c>
      <c r="E63" s="940"/>
      <c r="F63" s="940">
        <v>235</v>
      </c>
      <c r="G63" s="941">
        <v>385</v>
      </c>
      <c r="H63" s="944">
        <v>500</v>
      </c>
      <c r="I63" s="1181">
        <v>495</v>
      </c>
      <c r="J63" s="1181">
        <v>495</v>
      </c>
      <c r="K63" s="1181">
        <v>695</v>
      </c>
      <c r="L63" s="1181">
        <v>695</v>
      </c>
      <c r="M63" s="942">
        <v>695</v>
      </c>
      <c r="N63" s="983" t="s">
        <v>380</v>
      </c>
      <c r="O63" s="984" t="s">
        <v>198</v>
      </c>
    </row>
    <row r="64" spans="1:16" s="1075" customFormat="1" ht="12" customHeight="1" x14ac:dyDescent="0.2">
      <c r="A64" s="980">
        <f t="shared" ref="A64:A92" si="3">A63+1</f>
        <v>37</v>
      </c>
      <c r="B64" s="981" t="s">
        <v>279</v>
      </c>
      <c r="C64" s="938" t="s">
        <v>407</v>
      </c>
      <c r="D64" s="939" t="s">
        <v>310</v>
      </c>
      <c r="E64" s="940"/>
      <c r="F64" s="940"/>
      <c r="G64" s="941"/>
      <c r="H64" s="944">
        <v>350</v>
      </c>
      <c r="I64" s="1181">
        <v>300</v>
      </c>
      <c r="J64" s="1181">
        <v>150</v>
      </c>
      <c r="K64" s="1181">
        <v>150</v>
      </c>
      <c r="L64" s="1181">
        <v>150</v>
      </c>
      <c r="M64" s="942">
        <v>250</v>
      </c>
      <c r="N64" s="983" t="s">
        <v>381</v>
      </c>
      <c r="O64" s="984" t="s">
        <v>195</v>
      </c>
    </row>
    <row r="65" spans="1:16" s="1075" customFormat="1" ht="12" customHeight="1" x14ac:dyDescent="0.2">
      <c r="A65" s="980">
        <f t="shared" si="3"/>
        <v>38</v>
      </c>
      <c r="B65" s="981" t="s">
        <v>279</v>
      </c>
      <c r="C65" s="938" t="s">
        <v>407</v>
      </c>
      <c r="D65" s="987" t="s">
        <v>309</v>
      </c>
      <c r="E65" s="986"/>
      <c r="F65" s="940"/>
      <c r="G65" s="941">
        <v>1000</v>
      </c>
      <c r="H65" s="944">
        <v>1200</v>
      </c>
      <c r="I65" s="1181">
        <v>1000</v>
      </c>
      <c r="J65" s="1181">
        <v>1050</v>
      </c>
      <c r="K65" s="1181">
        <v>800</v>
      </c>
      <c r="L65" s="1181">
        <v>0</v>
      </c>
      <c r="M65" s="942"/>
      <c r="N65" s="983" t="s">
        <v>382</v>
      </c>
      <c r="O65" s="984" t="s">
        <v>195</v>
      </c>
      <c r="P65" s="889"/>
    </row>
    <row r="66" spans="1:16" s="1075" customFormat="1" ht="12" customHeight="1" x14ac:dyDescent="0.2">
      <c r="A66" s="980">
        <f t="shared" si="3"/>
        <v>39</v>
      </c>
      <c r="B66" s="981" t="s">
        <v>279</v>
      </c>
      <c r="C66" s="938" t="s">
        <v>407</v>
      </c>
      <c r="D66" s="939" t="s">
        <v>311</v>
      </c>
      <c r="E66" s="940"/>
      <c r="F66" s="940"/>
      <c r="G66" s="941">
        <v>230</v>
      </c>
      <c r="H66" s="944">
        <v>230</v>
      </c>
      <c r="I66" s="1181">
        <v>210</v>
      </c>
      <c r="J66" s="1181">
        <v>250</v>
      </c>
      <c r="K66" s="1181">
        <v>250</v>
      </c>
      <c r="L66" s="1181">
        <v>300</v>
      </c>
      <c r="M66" s="942">
        <v>300</v>
      </c>
      <c r="N66" s="983" t="s">
        <v>383</v>
      </c>
      <c r="O66" s="984" t="s">
        <v>397</v>
      </c>
    </row>
    <row r="67" spans="1:16" ht="12" customHeight="1" x14ac:dyDescent="0.2">
      <c r="A67" s="980">
        <f t="shared" si="3"/>
        <v>40</v>
      </c>
      <c r="B67" s="981" t="s">
        <v>279</v>
      </c>
      <c r="C67" s="938" t="s">
        <v>407</v>
      </c>
      <c r="D67" s="939" t="s">
        <v>401</v>
      </c>
      <c r="E67" s="940"/>
      <c r="F67" s="940"/>
      <c r="G67" s="941"/>
      <c r="H67" s="944">
        <v>450</v>
      </c>
      <c r="I67" s="1181">
        <v>500</v>
      </c>
      <c r="J67" s="1181">
        <v>750</v>
      </c>
      <c r="K67" s="1181">
        <v>750</v>
      </c>
      <c r="L67" s="1181">
        <v>750</v>
      </c>
      <c r="M67" s="942">
        <v>850</v>
      </c>
      <c r="N67" s="1174" t="s">
        <v>457</v>
      </c>
      <c r="O67" s="984" t="s">
        <v>555</v>
      </c>
      <c r="P67" s="1076"/>
    </row>
    <row r="68" spans="1:16" s="1075" customFormat="1" ht="12" customHeight="1" x14ac:dyDescent="0.2">
      <c r="A68" s="980">
        <f t="shared" si="3"/>
        <v>41</v>
      </c>
      <c r="B68" s="981" t="s">
        <v>279</v>
      </c>
      <c r="C68" s="938" t="s">
        <v>407</v>
      </c>
      <c r="D68" s="939" t="s">
        <v>258</v>
      </c>
      <c r="E68" s="940"/>
      <c r="F68" s="940">
        <v>1000</v>
      </c>
      <c r="G68" s="941">
        <v>1500</v>
      </c>
      <c r="H68" s="944">
        <v>1100</v>
      </c>
      <c r="I68" s="1181">
        <v>700</v>
      </c>
      <c r="J68" s="1181">
        <v>700</v>
      </c>
      <c r="K68" s="1181">
        <v>700</v>
      </c>
      <c r="L68" s="1181">
        <v>900</v>
      </c>
      <c r="M68" s="942">
        <v>900</v>
      </c>
      <c r="N68" s="1174" t="s">
        <v>384</v>
      </c>
      <c r="O68" s="984" t="s">
        <v>197</v>
      </c>
      <c r="P68" s="1076"/>
    </row>
    <row r="69" spans="1:16" s="1076" customFormat="1" ht="12" customHeight="1" x14ac:dyDescent="0.2">
      <c r="A69" s="980">
        <f t="shared" si="3"/>
        <v>42</v>
      </c>
      <c r="B69" s="997" t="s">
        <v>279</v>
      </c>
      <c r="C69" s="938" t="s">
        <v>407</v>
      </c>
      <c r="D69" s="1166" t="s">
        <v>456</v>
      </c>
      <c r="E69" s="998"/>
      <c r="F69" s="998"/>
      <c r="G69" s="999"/>
      <c r="H69" s="1183">
        <v>160</v>
      </c>
      <c r="I69" s="1184">
        <v>200</v>
      </c>
      <c r="J69" s="1184">
        <v>150</v>
      </c>
      <c r="K69" s="1184">
        <v>150</v>
      </c>
      <c r="L69" s="1184">
        <v>420</v>
      </c>
      <c r="M69" s="942">
        <v>500</v>
      </c>
      <c r="N69" s="1174" t="s">
        <v>458</v>
      </c>
      <c r="O69" s="984" t="s">
        <v>195</v>
      </c>
    </row>
    <row r="70" spans="1:16" s="1076" customFormat="1" ht="12" customHeight="1" x14ac:dyDescent="0.2">
      <c r="A70" s="980">
        <f t="shared" si="3"/>
        <v>43</v>
      </c>
      <c r="B70" s="997" t="s">
        <v>279</v>
      </c>
      <c r="C70" s="938" t="s">
        <v>407</v>
      </c>
      <c r="D70" s="1166" t="s">
        <v>486</v>
      </c>
      <c r="E70" s="998"/>
      <c r="F70" s="998"/>
      <c r="G70" s="999"/>
      <c r="H70" s="1183">
        <v>2000</v>
      </c>
      <c r="I70" s="1184">
        <v>3800</v>
      </c>
      <c r="J70" s="1184">
        <v>0</v>
      </c>
      <c r="K70" s="1184">
        <v>0</v>
      </c>
      <c r="L70" s="1184">
        <v>0</v>
      </c>
      <c r="M70" s="942"/>
      <c r="N70" s="1174" t="s">
        <v>487</v>
      </c>
      <c r="O70" s="984" t="s">
        <v>488</v>
      </c>
      <c r="P70" s="1075"/>
    </row>
    <row r="71" spans="1:16" s="1076" customFormat="1" ht="12" customHeight="1" x14ac:dyDescent="0.2">
      <c r="A71" s="980">
        <f t="shared" si="3"/>
        <v>44</v>
      </c>
      <c r="B71" s="997" t="s">
        <v>279</v>
      </c>
      <c r="C71" s="938" t="s">
        <v>407</v>
      </c>
      <c r="D71" s="1166" t="s">
        <v>577</v>
      </c>
      <c r="E71" s="998"/>
      <c r="F71" s="998"/>
      <c r="G71" s="999"/>
      <c r="H71" s="1183"/>
      <c r="I71" s="1184">
        <v>100</v>
      </c>
      <c r="J71" s="1184">
        <v>100</v>
      </c>
      <c r="K71" s="1184">
        <v>100</v>
      </c>
      <c r="L71" s="1184">
        <v>100</v>
      </c>
      <c r="M71" s="942">
        <v>120</v>
      </c>
      <c r="N71" s="1174" t="s">
        <v>489</v>
      </c>
      <c r="O71" s="984" t="s">
        <v>195</v>
      </c>
      <c r="P71" s="1075"/>
    </row>
    <row r="72" spans="1:16" s="1075" customFormat="1" ht="12" customHeight="1" x14ac:dyDescent="0.2">
      <c r="A72" s="980">
        <f t="shared" si="3"/>
        <v>45</v>
      </c>
      <c r="B72" s="981" t="s">
        <v>279</v>
      </c>
      <c r="C72" s="938" t="s">
        <v>407</v>
      </c>
      <c r="D72" s="939" t="s">
        <v>199</v>
      </c>
      <c r="E72" s="986">
        <v>891</v>
      </c>
      <c r="F72" s="940">
        <v>891</v>
      </c>
      <c r="G72" s="941">
        <v>891</v>
      </c>
      <c r="H72" s="944">
        <v>350</v>
      </c>
      <c r="I72" s="1181">
        <v>350</v>
      </c>
      <c r="J72" s="1181">
        <v>350</v>
      </c>
      <c r="K72" s="1181">
        <v>350</v>
      </c>
      <c r="L72" s="1181">
        <v>250</v>
      </c>
      <c r="M72" s="942">
        <v>250</v>
      </c>
      <c r="N72" s="983" t="s">
        <v>385</v>
      </c>
      <c r="O72" s="984" t="s">
        <v>198</v>
      </c>
      <c r="P72" s="889"/>
    </row>
    <row r="73" spans="1:16" s="1075" customFormat="1" ht="12" customHeight="1" x14ac:dyDescent="0.2">
      <c r="A73" s="980">
        <f t="shared" si="3"/>
        <v>46</v>
      </c>
      <c r="B73" s="981" t="s">
        <v>279</v>
      </c>
      <c r="C73" s="938" t="s">
        <v>407</v>
      </c>
      <c r="D73" s="939" t="s">
        <v>125</v>
      </c>
      <c r="E73" s="986">
        <v>1366</v>
      </c>
      <c r="F73" s="986">
        <v>1366</v>
      </c>
      <c r="G73" s="947">
        <v>1700</v>
      </c>
      <c r="H73" s="944">
        <v>1900</v>
      </c>
      <c r="I73" s="1181">
        <v>2000</v>
      </c>
      <c r="J73" s="1181">
        <v>2500</v>
      </c>
      <c r="K73" s="1181">
        <v>3647</v>
      </c>
      <c r="L73" s="1181">
        <v>3950</v>
      </c>
      <c r="M73" s="942">
        <v>3950</v>
      </c>
      <c r="N73" s="983" t="s">
        <v>386</v>
      </c>
      <c r="O73" s="984" t="s">
        <v>201</v>
      </c>
      <c r="P73" s="889"/>
    </row>
    <row r="74" spans="1:16" ht="12" customHeight="1" x14ac:dyDescent="0.2">
      <c r="A74" s="980">
        <f t="shared" si="3"/>
        <v>47</v>
      </c>
      <c r="B74" s="997" t="s">
        <v>279</v>
      </c>
      <c r="C74" s="938" t="s">
        <v>407</v>
      </c>
      <c r="D74" s="1166" t="s">
        <v>491</v>
      </c>
      <c r="E74" s="998"/>
      <c r="F74" s="998"/>
      <c r="G74" s="999"/>
      <c r="H74" s="1183"/>
      <c r="I74" s="1184">
        <v>2000</v>
      </c>
      <c r="J74" s="1184">
        <v>1391</v>
      </c>
      <c r="K74" s="1184">
        <v>1391</v>
      </c>
      <c r="L74" s="1184">
        <v>1391</v>
      </c>
      <c r="M74" s="942">
        <v>1497</v>
      </c>
      <c r="N74" s="983" t="s">
        <v>492</v>
      </c>
      <c r="O74" s="1000" t="s">
        <v>400</v>
      </c>
      <c r="P74" s="889"/>
    </row>
    <row r="75" spans="1:16" ht="12" customHeight="1" x14ac:dyDescent="0.2">
      <c r="A75" s="980">
        <f t="shared" si="3"/>
        <v>48</v>
      </c>
      <c r="B75" s="981" t="s">
        <v>279</v>
      </c>
      <c r="C75" s="938" t="s">
        <v>407</v>
      </c>
      <c r="D75" s="939" t="s">
        <v>452</v>
      </c>
      <c r="E75" s="940"/>
      <c r="F75" s="940"/>
      <c r="G75" s="941"/>
      <c r="H75" s="944">
        <v>200</v>
      </c>
      <c r="I75" s="1181">
        <v>180</v>
      </c>
      <c r="J75" s="1181">
        <v>180</v>
      </c>
      <c r="K75" s="1181">
        <v>180</v>
      </c>
      <c r="L75" s="1181">
        <v>180</v>
      </c>
      <c r="M75" s="942">
        <v>180</v>
      </c>
      <c r="N75" s="983" t="s">
        <v>490</v>
      </c>
      <c r="O75" s="984" t="s">
        <v>536</v>
      </c>
      <c r="P75" s="889"/>
    </row>
    <row r="76" spans="1:16" ht="12" customHeight="1" x14ac:dyDescent="0.2">
      <c r="A76" s="980">
        <f t="shared" si="3"/>
        <v>49</v>
      </c>
      <c r="B76" s="981" t="s">
        <v>279</v>
      </c>
      <c r="C76" s="938" t="s">
        <v>407</v>
      </c>
      <c r="D76" s="939" t="s">
        <v>520</v>
      </c>
      <c r="E76" s="940"/>
      <c r="F76" s="940"/>
      <c r="G76" s="941"/>
      <c r="H76" s="944"/>
      <c r="I76" s="1181">
        <v>0</v>
      </c>
      <c r="J76" s="1181">
        <v>2621</v>
      </c>
      <c r="K76" s="1181">
        <v>2000</v>
      </c>
      <c r="L76" s="1181">
        <v>2000</v>
      </c>
      <c r="M76" s="942">
        <v>2000</v>
      </c>
      <c r="N76" s="983" t="s">
        <v>200</v>
      </c>
      <c r="O76" s="984" t="s">
        <v>397</v>
      </c>
      <c r="P76" s="889"/>
    </row>
    <row r="77" spans="1:16" ht="12" customHeight="1" x14ac:dyDescent="0.2">
      <c r="A77" s="980">
        <f t="shared" si="3"/>
        <v>50</v>
      </c>
      <c r="B77" s="981" t="s">
        <v>279</v>
      </c>
      <c r="C77" s="938" t="s">
        <v>407</v>
      </c>
      <c r="D77" s="939" t="s">
        <v>509</v>
      </c>
      <c r="E77" s="940"/>
      <c r="F77" s="940"/>
      <c r="G77" s="941"/>
      <c r="H77" s="944"/>
      <c r="I77" s="1181">
        <v>0</v>
      </c>
      <c r="J77" s="1181">
        <v>3368</v>
      </c>
      <c r="K77" s="1181">
        <v>3488</v>
      </c>
      <c r="L77" s="1181">
        <v>3980</v>
      </c>
      <c r="M77" s="942">
        <v>3980</v>
      </c>
      <c r="N77" s="983" t="s">
        <v>537</v>
      </c>
      <c r="O77" s="984" t="s">
        <v>538</v>
      </c>
      <c r="P77" s="889"/>
    </row>
    <row r="78" spans="1:16" ht="12" customHeight="1" x14ac:dyDescent="0.2">
      <c r="A78" s="980">
        <f t="shared" si="3"/>
        <v>51</v>
      </c>
      <c r="B78" s="981" t="s">
        <v>279</v>
      </c>
      <c r="C78" s="938" t="s">
        <v>407</v>
      </c>
      <c r="D78" s="939" t="s">
        <v>502</v>
      </c>
      <c r="E78" s="940"/>
      <c r="F78" s="940"/>
      <c r="G78" s="941"/>
      <c r="H78" s="944"/>
      <c r="I78" s="1181">
        <v>0</v>
      </c>
      <c r="J78" s="1181">
        <v>400</v>
      </c>
      <c r="K78" s="1181">
        <v>0</v>
      </c>
      <c r="L78" s="1181">
        <v>0</v>
      </c>
      <c r="M78" s="942"/>
      <c r="N78" s="983" t="s">
        <v>200</v>
      </c>
      <c r="O78" s="984" t="s">
        <v>197</v>
      </c>
      <c r="P78" s="889"/>
    </row>
    <row r="79" spans="1:16" ht="12" customHeight="1" x14ac:dyDescent="0.2">
      <c r="A79" s="980">
        <f>A78+1</f>
        <v>52</v>
      </c>
      <c r="B79" s="981" t="s">
        <v>279</v>
      </c>
      <c r="C79" s="938" t="s">
        <v>407</v>
      </c>
      <c r="D79" s="939" t="s">
        <v>578</v>
      </c>
      <c r="E79" s="940"/>
      <c r="F79" s="940"/>
      <c r="G79" s="941"/>
      <c r="H79" s="944"/>
      <c r="I79" s="1181">
        <v>0</v>
      </c>
      <c r="J79" s="1181">
        <v>2000</v>
      </c>
      <c r="K79" s="1181">
        <v>0</v>
      </c>
      <c r="L79" s="1181">
        <v>0</v>
      </c>
      <c r="M79" s="942"/>
      <c r="N79" s="983" t="s">
        <v>539</v>
      </c>
      <c r="O79" s="984" t="s">
        <v>195</v>
      </c>
      <c r="P79" s="889"/>
    </row>
    <row r="80" spans="1:16" ht="12" customHeight="1" x14ac:dyDescent="0.2">
      <c r="A80" s="980">
        <f>A79+1</f>
        <v>53</v>
      </c>
      <c r="B80" s="981" t="s">
        <v>279</v>
      </c>
      <c r="C80" s="938" t="s">
        <v>407</v>
      </c>
      <c r="D80" s="1166" t="s">
        <v>541</v>
      </c>
      <c r="E80" s="998"/>
      <c r="F80" s="998"/>
      <c r="G80" s="999"/>
      <c r="H80" s="1183"/>
      <c r="I80" s="1184"/>
      <c r="J80" s="1184"/>
      <c r="K80" s="1184">
        <v>420</v>
      </c>
      <c r="L80" s="1184">
        <v>459</v>
      </c>
      <c r="M80" s="942">
        <v>0</v>
      </c>
      <c r="N80" s="1312" t="s">
        <v>200</v>
      </c>
      <c r="O80" s="1000" t="s">
        <v>542</v>
      </c>
      <c r="P80" s="889"/>
    </row>
    <row r="81" spans="1:16" ht="12" customHeight="1" x14ac:dyDescent="0.2">
      <c r="A81" s="980">
        <f t="shared" ref="A81:A90" si="4">A80+1</f>
        <v>54</v>
      </c>
      <c r="B81" s="981" t="s">
        <v>279</v>
      </c>
      <c r="C81" s="938" t="s">
        <v>407</v>
      </c>
      <c r="D81" s="1166" t="s">
        <v>543</v>
      </c>
      <c r="E81" s="998"/>
      <c r="F81" s="998"/>
      <c r="G81" s="999"/>
      <c r="H81" s="1183"/>
      <c r="I81" s="1184"/>
      <c r="J81" s="1184"/>
      <c r="K81" s="1184">
        <v>4200</v>
      </c>
      <c r="L81" s="1184">
        <v>4000</v>
      </c>
      <c r="M81" s="942">
        <v>3600</v>
      </c>
      <c r="N81" s="1312" t="s">
        <v>544</v>
      </c>
      <c r="O81" s="1000" t="s">
        <v>399</v>
      </c>
      <c r="P81" s="889"/>
    </row>
    <row r="82" spans="1:16" ht="12" customHeight="1" x14ac:dyDescent="0.2">
      <c r="A82" s="980">
        <f t="shared" si="4"/>
        <v>55</v>
      </c>
      <c r="B82" s="981" t="s">
        <v>279</v>
      </c>
      <c r="C82" s="938" t="s">
        <v>407</v>
      </c>
      <c r="D82" s="1166" t="s">
        <v>545</v>
      </c>
      <c r="E82" s="998"/>
      <c r="F82" s="998"/>
      <c r="G82" s="999"/>
      <c r="H82" s="1183"/>
      <c r="I82" s="1184"/>
      <c r="J82" s="1184"/>
      <c r="K82" s="1184">
        <v>1500</v>
      </c>
      <c r="L82" s="1184">
        <v>1400</v>
      </c>
      <c r="M82" s="942">
        <v>1400</v>
      </c>
      <c r="N82" s="1312" t="s">
        <v>546</v>
      </c>
      <c r="O82" s="1000" t="s">
        <v>399</v>
      </c>
      <c r="P82" s="889"/>
    </row>
    <row r="83" spans="1:16" ht="12" customHeight="1" x14ac:dyDescent="0.2">
      <c r="A83" s="980">
        <f t="shared" si="4"/>
        <v>56</v>
      </c>
      <c r="B83" s="981" t="s">
        <v>279</v>
      </c>
      <c r="C83" s="938" t="s">
        <v>407</v>
      </c>
      <c r="D83" s="1166" t="s">
        <v>547</v>
      </c>
      <c r="E83" s="998"/>
      <c r="F83" s="998"/>
      <c r="G83" s="999"/>
      <c r="H83" s="1183"/>
      <c r="I83" s="1184"/>
      <c r="J83" s="1184"/>
      <c r="K83" s="1184">
        <v>2000</v>
      </c>
      <c r="L83" s="1184">
        <v>2000</v>
      </c>
      <c r="M83" s="942">
        <v>2000</v>
      </c>
      <c r="N83" s="1312" t="s">
        <v>200</v>
      </c>
      <c r="O83" s="1000" t="s">
        <v>548</v>
      </c>
      <c r="P83" s="889"/>
    </row>
    <row r="84" spans="1:16" ht="12" customHeight="1" x14ac:dyDescent="0.2">
      <c r="A84" s="980">
        <f t="shared" si="4"/>
        <v>57</v>
      </c>
      <c r="B84" s="981" t="s">
        <v>279</v>
      </c>
      <c r="C84" s="938" t="s">
        <v>407</v>
      </c>
      <c r="D84" s="1166" t="s">
        <v>549</v>
      </c>
      <c r="E84" s="998"/>
      <c r="F84" s="998"/>
      <c r="G84" s="999"/>
      <c r="H84" s="1183"/>
      <c r="I84" s="1184"/>
      <c r="J84" s="1184"/>
      <c r="K84" s="1184">
        <v>100</v>
      </c>
      <c r="L84" s="1184">
        <v>100</v>
      </c>
      <c r="M84" s="942">
        <v>150</v>
      </c>
      <c r="N84" s="1312" t="s">
        <v>608</v>
      </c>
      <c r="O84" s="1000" t="s">
        <v>195</v>
      </c>
      <c r="P84" s="889"/>
    </row>
    <row r="85" spans="1:16" ht="12" customHeight="1" x14ac:dyDescent="0.2">
      <c r="A85" s="980">
        <f t="shared" si="4"/>
        <v>58</v>
      </c>
      <c r="B85" s="981" t="s">
        <v>279</v>
      </c>
      <c r="C85" s="938" t="s">
        <v>407</v>
      </c>
      <c r="D85" s="1166" t="s">
        <v>550</v>
      </c>
      <c r="E85" s="998"/>
      <c r="F85" s="998"/>
      <c r="G85" s="999"/>
      <c r="H85" s="1183"/>
      <c r="I85" s="1184"/>
      <c r="J85" s="1184"/>
      <c r="K85" s="1184">
        <v>1000</v>
      </c>
      <c r="L85" s="1184">
        <v>1000</v>
      </c>
      <c r="M85" s="942">
        <v>1000</v>
      </c>
      <c r="N85" s="1312" t="s">
        <v>609</v>
      </c>
      <c r="O85" s="1000" t="s">
        <v>195</v>
      </c>
      <c r="P85" s="1134"/>
    </row>
    <row r="86" spans="1:16" ht="12" customHeight="1" x14ac:dyDescent="0.2">
      <c r="A86" s="980">
        <f t="shared" si="4"/>
        <v>59</v>
      </c>
      <c r="B86" s="981" t="s">
        <v>279</v>
      </c>
      <c r="C86" s="938" t="s">
        <v>407</v>
      </c>
      <c r="D86" s="1166" t="s">
        <v>579</v>
      </c>
      <c r="E86" s="998"/>
      <c r="F86" s="998"/>
      <c r="G86" s="999"/>
      <c r="H86" s="1183"/>
      <c r="I86" s="1184"/>
      <c r="J86" s="1184"/>
      <c r="K86" s="1184">
        <v>16500</v>
      </c>
      <c r="L86" s="1184">
        <v>20000</v>
      </c>
      <c r="M86" s="942">
        <v>26000</v>
      </c>
      <c r="N86" s="1312" t="s">
        <v>551</v>
      </c>
      <c r="O86" s="1000" t="s">
        <v>397</v>
      </c>
      <c r="P86" s="1134"/>
    </row>
    <row r="87" spans="1:16" ht="12" customHeight="1" x14ac:dyDescent="0.2">
      <c r="A87" s="980">
        <f t="shared" si="4"/>
        <v>60</v>
      </c>
      <c r="B87" s="981" t="s">
        <v>279</v>
      </c>
      <c r="C87" s="938" t="s">
        <v>407</v>
      </c>
      <c r="D87" s="1166" t="s">
        <v>580</v>
      </c>
      <c r="E87" s="998"/>
      <c r="F87" s="998"/>
      <c r="G87" s="999"/>
      <c r="H87" s="1183"/>
      <c r="I87" s="1184"/>
      <c r="J87" s="1184"/>
      <c r="K87" s="1184">
        <v>250</v>
      </c>
      <c r="L87" s="1184">
        <v>0</v>
      </c>
      <c r="M87" s="942"/>
      <c r="N87" s="1312" t="s">
        <v>200</v>
      </c>
      <c r="O87" s="1000" t="s">
        <v>402</v>
      </c>
      <c r="P87" s="1134"/>
    </row>
    <row r="88" spans="1:16" ht="12" customHeight="1" x14ac:dyDescent="0.2">
      <c r="A88" s="980">
        <f t="shared" si="4"/>
        <v>61</v>
      </c>
      <c r="B88" s="981" t="s">
        <v>279</v>
      </c>
      <c r="C88" s="938" t="s">
        <v>407</v>
      </c>
      <c r="D88" s="1166" t="s">
        <v>552</v>
      </c>
      <c r="E88" s="998"/>
      <c r="F88" s="998"/>
      <c r="G88" s="999"/>
      <c r="H88" s="1183"/>
      <c r="I88" s="1184"/>
      <c r="J88" s="1184"/>
      <c r="K88" s="1184">
        <v>500</v>
      </c>
      <c r="L88" s="1184">
        <v>920</v>
      </c>
      <c r="M88" s="942">
        <v>920</v>
      </c>
      <c r="N88" s="1312" t="s">
        <v>610</v>
      </c>
      <c r="O88" s="1000" t="s">
        <v>536</v>
      </c>
      <c r="P88" s="1134"/>
    </row>
    <row r="89" spans="1:16" ht="12" customHeight="1" x14ac:dyDescent="0.2">
      <c r="A89" s="980">
        <f t="shared" si="4"/>
        <v>62</v>
      </c>
      <c r="B89" s="981" t="s">
        <v>279</v>
      </c>
      <c r="C89" s="938" t="s">
        <v>407</v>
      </c>
      <c r="D89" s="1166" t="s">
        <v>553</v>
      </c>
      <c r="E89" s="998"/>
      <c r="F89" s="998"/>
      <c r="G89" s="999"/>
      <c r="H89" s="1183"/>
      <c r="I89" s="1184"/>
      <c r="J89" s="1184"/>
      <c r="K89" s="1184">
        <v>30</v>
      </c>
      <c r="L89" s="1184">
        <v>440</v>
      </c>
      <c r="M89" s="942">
        <v>440</v>
      </c>
      <c r="N89" s="1312" t="s">
        <v>611</v>
      </c>
      <c r="O89" s="1000" t="s">
        <v>536</v>
      </c>
      <c r="P89" s="1133"/>
    </row>
    <row r="90" spans="1:16" ht="12" customHeight="1" x14ac:dyDescent="0.2">
      <c r="A90" s="980">
        <f t="shared" si="4"/>
        <v>63</v>
      </c>
      <c r="B90" s="981" t="s">
        <v>279</v>
      </c>
      <c r="C90" s="938" t="s">
        <v>407</v>
      </c>
      <c r="D90" s="1166" t="s">
        <v>612</v>
      </c>
      <c r="E90" s="998"/>
      <c r="F90" s="998"/>
      <c r="G90" s="999"/>
      <c r="H90" s="1183"/>
      <c r="I90" s="1184"/>
      <c r="J90" s="1184"/>
      <c r="K90" s="1184"/>
      <c r="L90" s="1184">
        <v>2000</v>
      </c>
      <c r="M90" s="942">
        <v>720</v>
      </c>
      <c r="N90" s="1312" t="s">
        <v>613</v>
      </c>
      <c r="O90" s="1000" t="s">
        <v>197</v>
      </c>
      <c r="P90" s="1133"/>
    </row>
    <row r="91" spans="1:16" ht="12" customHeight="1" thickBot="1" x14ac:dyDescent="0.25">
      <c r="A91" s="980">
        <f>A89+1</f>
        <v>63</v>
      </c>
      <c r="B91" s="981" t="s">
        <v>279</v>
      </c>
      <c r="C91" s="938" t="s">
        <v>407</v>
      </c>
      <c r="D91" s="1169" t="s">
        <v>503</v>
      </c>
      <c r="E91" s="1170"/>
      <c r="F91" s="1170"/>
      <c r="G91" s="1171"/>
      <c r="H91" s="1185"/>
      <c r="I91" s="1186">
        <v>0</v>
      </c>
      <c r="J91" s="1186">
        <v>1200</v>
      </c>
      <c r="K91" s="1184">
        <v>900</v>
      </c>
      <c r="L91" s="1184">
        <v>0</v>
      </c>
      <c r="M91" s="942"/>
      <c r="N91" s="1172" t="s">
        <v>540</v>
      </c>
      <c r="O91" s="1173" t="s">
        <v>195</v>
      </c>
      <c r="P91" s="1133"/>
    </row>
    <row r="92" spans="1:16" ht="12" customHeight="1" thickBot="1" x14ac:dyDescent="0.25">
      <c r="A92" s="1002">
        <f t="shared" si="3"/>
        <v>64</v>
      </c>
      <c r="B92" s="1138" t="s">
        <v>279</v>
      </c>
      <c r="C92" s="1139" t="s">
        <v>407</v>
      </c>
      <c r="D92" s="1140" t="s">
        <v>482</v>
      </c>
      <c r="E92" s="1141">
        <v>16000</v>
      </c>
      <c r="F92" s="1141">
        <v>17500</v>
      </c>
      <c r="G92" s="1001">
        <v>17500</v>
      </c>
      <c r="H92" s="1142">
        <v>17500</v>
      </c>
      <c r="I92" s="1156">
        <v>17500</v>
      </c>
      <c r="J92" s="1156">
        <v>19000</v>
      </c>
      <c r="K92" s="1156">
        <v>15000</v>
      </c>
      <c r="L92" s="1156">
        <v>15000</v>
      </c>
      <c r="M92" s="1143">
        <v>15000</v>
      </c>
      <c r="N92" s="1168">
        <v>1000</v>
      </c>
      <c r="O92" s="1167" t="s">
        <v>397</v>
      </c>
      <c r="P92" s="1133"/>
    </row>
    <row r="93" spans="1:16" ht="12" customHeight="1" x14ac:dyDescent="0.2">
      <c r="A93" s="1003"/>
      <c r="B93" s="1004"/>
      <c r="C93" s="1005"/>
      <c r="D93" s="1006" t="s">
        <v>28</v>
      </c>
      <c r="E93" s="1007">
        <f t="shared" ref="E93:I93" si="5">SUM(E28:E92)</f>
        <v>98545</v>
      </c>
      <c r="F93" s="1007">
        <f t="shared" si="5"/>
        <v>85577</v>
      </c>
      <c r="G93" s="1008">
        <f t="shared" si="5"/>
        <v>87544</v>
      </c>
      <c r="H93" s="1009">
        <f t="shared" si="5"/>
        <v>88346</v>
      </c>
      <c r="I93" s="1157">
        <f t="shared" si="5"/>
        <v>89429</v>
      </c>
      <c r="J93" s="1157">
        <f>SUM(J28:J92)</f>
        <v>99372</v>
      </c>
      <c r="K93" s="1157">
        <v>115668.25</v>
      </c>
      <c r="L93" s="1157">
        <v>112310</v>
      </c>
      <c r="M93" s="1008">
        <f>SUM(M28:M92)</f>
        <v>123802</v>
      </c>
      <c r="N93" s="1003"/>
      <c r="O93" s="1010"/>
      <c r="P93" s="1133"/>
    </row>
    <row r="94" spans="1:16" ht="12" customHeight="1" x14ac:dyDescent="0.2">
      <c r="A94" s="980">
        <f>A92+1</f>
        <v>65</v>
      </c>
      <c r="B94" s="981" t="s">
        <v>279</v>
      </c>
      <c r="C94" s="1011" t="s">
        <v>425</v>
      </c>
      <c r="D94" s="985" t="s">
        <v>581</v>
      </c>
      <c r="E94" s="1012"/>
      <c r="F94" s="1012"/>
      <c r="G94" s="1013"/>
      <c r="H94" s="1191"/>
      <c r="I94" s="1192">
        <v>380</v>
      </c>
      <c r="J94" s="1192">
        <v>520</v>
      </c>
      <c r="K94" s="1192">
        <v>800</v>
      </c>
      <c r="L94" s="1192">
        <v>370</v>
      </c>
      <c r="M94" s="942">
        <v>0</v>
      </c>
      <c r="N94" s="980"/>
      <c r="O94" s="984"/>
      <c r="P94" s="1133"/>
    </row>
    <row r="95" spans="1:16" ht="12" customHeight="1" x14ac:dyDescent="0.2">
      <c r="A95" s="980">
        <f>A94+1</f>
        <v>66</v>
      </c>
      <c r="B95" s="981" t="s">
        <v>279</v>
      </c>
      <c r="C95" s="1011" t="s">
        <v>425</v>
      </c>
      <c r="D95" s="985" t="s">
        <v>504</v>
      </c>
      <c r="E95" s="1012"/>
      <c r="F95" s="1012"/>
      <c r="G95" s="1013">
        <v>100</v>
      </c>
      <c r="H95" s="1191">
        <v>100</v>
      </c>
      <c r="I95" s="1192">
        <v>100</v>
      </c>
      <c r="J95" s="1192">
        <v>100</v>
      </c>
      <c r="K95" s="1192">
        <v>0</v>
      </c>
      <c r="L95" s="1192">
        <v>0</v>
      </c>
      <c r="M95" s="1014">
        <v>0</v>
      </c>
      <c r="N95" s="980"/>
      <c r="O95" s="984"/>
      <c r="P95" s="1133"/>
    </row>
    <row r="96" spans="1:16" ht="12" customHeight="1" x14ac:dyDescent="0.2">
      <c r="A96" s="980">
        <f>A95+1</f>
        <v>67</v>
      </c>
      <c r="B96" s="981" t="s">
        <v>279</v>
      </c>
      <c r="C96" s="1011" t="s">
        <v>425</v>
      </c>
      <c r="D96" s="985" t="s">
        <v>582</v>
      </c>
      <c r="E96" s="1012"/>
      <c r="F96" s="1012"/>
      <c r="G96" s="1013"/>
      <c r="H96" s="1191"/>
      <c r="I96" s="1192">
        <v>0</v>
      </c>
      <c r="J96" s="1192">
        <v>126</v>
      </c>
      <c r="K96" s="1192">
        <v>126</v>
      </c>
      <c r="L96" s="1192">
        <v>126</v>
      </c>
      <c r="M96" s="1014">
        <v>126</v>
      </c>
      <c r="N96" s="980"/>
      <c r="O96" s="984"/>
      <c r="P96" s="1133"/>
    </row>
    <row r="97" spans="1:16" ht="12" customHeight="1" x14ac:dyDescent="0.2">
      <c r="A97" s="1015"/>
      <c r="B97" s="1016"/>
      <c r="C97" s="1017"/>
      <c r="D97" s="1018" t="s">
        <v>322</v>
      </c>
      <c r="E97" s="1019">
        <f>SUM(E95:E95)</f>
        <v>0</v>
      </c>
      <c r="F97" s="1019">
        <f>SUM(F95:F95)</f>
        <v>0</v>
      </c>
      <c r="G97" s="1020">
        <f>SUM(G95:G95)</f>
        <v>100</v>
      </c>
      <c r="H97" s="1021">
        <f>SUM(H95:H95)</f>
        <v>100</v>
      </c>
      <c r="I97" s="1158">
        <f>SUM(I94:I96)</f>
        <v>480</v>
      </c>
      <c r="J97" s="1158">
        <f>SUM(J94:J96)</f>
        <v>746</v>
      </c>
      <c r="K97" s="1158">
        <v>926</v>
      </c>
      <c r="L97" s="1158">
        <v>496</v>
      </c>
      <c r="M97" s="1020">
        <f>SUM(M94:M96)</f>
        <v>126</v>
      </c>
      <c r="N97" s="1022"/>
      <c r="O97" s="1023"/>
      <c r="P97" s="1133"/>
    </row>
    <row r="98" spans="1:16" ht="12" customHeight="1" x14ac:dyDescent="0.2">
      <c r="A98" s="1024">
        <f>A96+1</f>
        <v>68</v>
      </c>
      <c r="B98" s="1025" t="s">
        <v>279</v>
      </c>
      <c r="C98" s="1026" t="s">
        <v>421</v>
      </c>
      <c r="D98" s="1027" t="s">
        <v>204</v>
      </c>
      <c r="E98" s="1028">
        <v>95</v>
      </c>
      <c r="F98" s="1028"/>
      <c r="G98" s="1029"/>
      <c r="H98" s="1187"/>
      <c r="I98" s="1188"/>
      <c r="J98" s="1188"/>
      <c r="K98" s="1188"/>
      <c r="L98" s="1188"/>
      <c r="M98" s="1030"/>
      <c r="N98" s="1024"/>
      <c r="O98" s="1031"/>
      <c r="P98" s="1133"/>
    </row>
    <row r="99" spans="1:16" ht="12" customHeight="1" x14ac:dyDescent="0.2">
      <c r="A99" s="1024">
        <f>A98+1</f>
        <v>69</v>
      </c>
      <c r="B99" s="1025" t="s">
        <v>279</v>
      </c>
      <c r="C99" s="1026" t="s">
        <v>421</v>
      </c>
      <c r="D99" s="1027" t="s">
        <v>389</v>
      </c>
      <c r="E99" s="1028"/>
      <c r="F99" s="1028"/>
      <c r="G99" s="1029"/>
      <c r="H99" s="1187">
        <v>200</v>
      </c>
      <c r="I99" s="1188">
        <v>200</v>
      </c>
      <c r="J99" s="1188">
        <v>200</v>
      </c>
      <c r="K99" s="1188">
        <v>200</v>
      </c>
      <c r="L99" s="1188">
        <v>0</v>
      </c>
      <c r="M99" s="1014">
        <v>0</v>
      </c>
      <c r="N99" s="1024"/>
      <c r="O99" s="1031"/>
      <c r="P99" s="1133"/>
    </row>
    <row r="100" spans="1:16" ht="12" customHeight="1" x14ac:dyDescent="0.2">
      <c r="A100" s="1015"/>
      <c r="B100" s="1016"/>
      <c r="C100" s="1017"/>
      <c r="D100" s="1018" t="s">
        <v>388</v>
      </c>
      <c r="E100" s="1007">
        <f>SUM(E98:E99)</f>
        <v>95</v>
      </c>
      <c r="F100" s="1007">
        <f t="shared" ref="F100:M100" si="6">SUM(F98:F99)</f>
        <v>0</v>
      </c>
      <c r="G100" s="1032">
        <f t="shared" si="6"/>
        <v>0</v>
      </c>
      <c r="H100" s="1009">
        <f t="shared" si="6"/>
        <v>200</v>
      </c>
      <c r="I100" s="1159">
        <f t="shared" si="6"/>
        <v>200</v>
      </c>
      <c r="J100" s="1159">
        <f t="shared" si="6"/>
        <v>200</v>
      </c>
      <c r="K100" s="1159">
        <v>200</v>
      </c>
      <c r="L100" s="1159">
        <v>0</v>
      </c>
      <c r="M100" s="1032">
        <f t="shared" si="6"/>
        <v>0</v>
      </c>
      <c r="N100" s="1022"/>
      <c r="O100" s="1033"/>
      <c r="P100" s="1133"/>
    </row>
    <row r="101" spans="1:16" ht="11.25" customHeight="1" x14ac:dyDescent="0.2">
      <c r="A101" s="980">
        <f>A99+1</f>
        <v>70</v>
      </c>
      <c r="B101" s="981" t="s">
        <v>279</v>
      </c>
      <c r="C101" s="1011" t="s">
        <v>422</v>
      </c>
      <c r="D101" s="939" t="s">
        <v>150</v>
      </c>
      <c r="E101" s="940">
        <v>2430</v>
      </c>
      <c r="F101" s="940">
        <v>2700</v>
      </c>
      <c r="G101" s="941">
        <v>2700</v>
      </c>
      <c r="H101" s="944">
        <v>2700</v>
      </c>
      <c r="I101" s="1181">
        <v>2700</v>
      </c>
      <c r="J101" s="1181">
        <v>2200</v>
      </c>
      <c r="K101" s="1181">
        <v>2200</v>
      </c>
      <c r="L101" s="1181">
        <v>2200</v>
      </c>
      <c r="M101" s="942">
        <v>2200</v>
      </c>
      <c r="N101" s="980"/>
      <c r="O101" s="984"/>
      <c r="P101" s="1133"/>
    </row>
    <row r="102" spans="1:16" ht="12" customHeight="1" x14ac:dyDescent="0.2">
      <c r="A102" s="980">
        <f>A101+1</f>
        <v>71</v>
      </c>
      <c r="B102" s="981" t="s">
        <v>279</v>
      </c>
      <c r="C102" s="1011" t="s">
        <v>422</v>
      </c>
      <c r="D102" s="939" t="s">
        <v>614</v>
      </c>
      <c r="E102" s="940"/>
      <c r="F102" s="940"/>
      <c r="G102" s="941">
        <v>1500</v>
      </c>
      <c r="H102" s="944"/>
      <c r="I102" s="1181"/>
      <c r="J102" s="1181"/>
      <c r="K102" s="1181"/>
      <c r="L102" s="1181">
        <v>500</v>
      </c>
      <c r="M102" s="942">
        <v>500</v>
      </c>
      <c r="N102" s="980"/>
      <c r="O102" s="984"/>
      <c r="P102" s="1133"/>
    </row>
    <row r="103" spans="1:16" ht="12" customHeight="1" x14ac:dyDescent="0.2">
      <c r="A103" s="980">
        <f>A102+1</f>
        <v>72</v>
      </c>
      <c r="B103" s="981" t="s">
        <v>279</v>
      </c>
      <c r="C103" s="1011" t="s">
        <v>422</v>
      </c>
      <c r="D103" s="939" t="s">
        <v>166</v>
      </c>
      <c r="E103" s="1034"/>
      <c r="F103" s="1034">
        <v>1000</v>
      </c>
      <c r="G103" s="941">
        <v>1000</v>
      </c>
      <c r="H103" s="944">
        <v>1000</v>
      </c>
      <c r="I103" s="1181">
        <v>1000</v>
      </c>
      <c r="J103" s="1181">
        <v>0</v>
      </c>
      <c r="K103" s="1181">
        <v>0</v>
      </c>
      <c r="L103" s="1181">
        <v>0</v>
      </c>
      <c r="M103" s="942"/>
      <c r="N103" s="980">
        <v>1073</v>
      </c>
      <c r="O103" s="984"/>
      <c r="P103" s="1133"/>
    </row>
    <row r="104" spans="1:16" ht="12" customHeight="1" x14ac:dyDescent="0.2">
      <c r="A104" s="1022"/>
      <c r="B104" s="1016"/>
      <c r="C104" s="1017"/>
      <c r="D104" s="1018" t="s">
        <v>163</v>
      </c>
      <c r="E104" s="1007">
        <f t="shared" ref="E104:M104" si="7">SUM(E101:E103)</f>
        <v>2430</v>
      </c>
      <c r="F104" s="1007">
        <f t="shared" si="7"/>
        <v>3700</v>
      </c>
      <c r="G104" s="1008">
        <f t="shared" si="7"/>
        <v>5200</v>
      </c>
      <c r="H104" s="1009">
        <f t="shared" si="7"/>
        <v>3700</v>
      </c>
      <c r="I104" s="1157">
        <f t="shared" si="7"/>
        <v>3700</v>
      </c>
      <c r="J104" s="1157">
        <f t="shared" si="7"/>
        <v>2200</v>
      </c>
      <c r="K104" s="1157">
        <v>2200</v>
      </c>
      <c r="L104" s="1157">
        <v>2700</v>
      </c>
      <c r="M104" s="1008">
        <f t="shared" si="7"/>
        <v>2700</v>
      </c>
      <c r="N104" s="1022"/>
      <c r="O104" s="1033"/>
      <c r="P104" s="1133"/>
    </row>
    <row r="105" spans="1:16" ht="12" customHeight="1" x14ac:dyDescent="0.2">
      <c r="A105" s="980">
        <f>A103+1</f>
        <v>73</v>
      </c>
      <c r="B105" s="981" t="s">
        <v>279</v>
      </c>
      <c r="C105" s="1011" t="s">
        <v>423</v>
      </c>
      <c r="D105" s="985" t="s">
        <v>583</v>
      </c>
      <c r="E105" s="940">
        <v>5400</v>
      </c>
      <c r="F105" s="940">
        <v>5400</v>
      </c>
      <c r="G105" s="941">
        <v>1400</v>
      </c>
      <c r="H105" s="944">
        <v>36000</v>
      </c>
      <c r="I105" s="1181">
        <v>36000</v>
      </c>
      <c r="J105" s="1181">
        <v>39500</v>
      </c>
      <c r="K105" s="1181">
        <v>42000</v>
      </c>
      <c r="L105" s="1181">
        <v>45566</v>
      </c>
      <c r="M105" s="942">
        <v>46705</v>
      </c>
      <c r="N105" s="980"/>
      <c r="O105" s="984"/>
      <c r="P105" s="1133"/>
    </row>
    <row r="106" spans="1:16" ht="12" customHeight="1" x14ac:dyDescent="0.2">
      <c r="A106" s="980">
        <f>A105+1</f>
        <v>74</v>
      </c>
      <c r="B106" s="981" t="s">
        <v>279</v>
      </c>
      <c r="C106" s="1011" t="s">
        <v>423</v>
      </c>
      <c r="D106" s="985" t="s">
        <v>203</v>
      </c>
      <c r="E106" s="1034"/>
      <c r="F106" s="1034">
        <v>5000</v>
      </c>
      <c r="G106" s="941">
        <v>3000</v>
      </c>
      <c r="H106" s="944"/>
      <c r="I106" s="1181"/>
      <c r="J106" s="1181"/>
      <c r="K106" s="1181"/>
      <c r="L106" s="1181"/>
      <c r="M106" s="942"/>
      <c r="N106" s="980"/>
      <c r="O106" s="984"/>
      <c r="P106" s="1133"/>
    </row>
    <row r="107" spans="1:16" ht="12" customHeight="1" x14ac:dyDescent="0.2">
      <c r="A107" s="1015"/>
      <c r="B107" s="1016"/>
      <c r="C107" s="1017"/>
      <c r="D107" s="1018" t="s">
        <v>29</v>
      </c>
      <c r="E107" s="1007">
        <f t="shared" ref="E107:M107" si="8">SUM(E105:E106)</f>
        <v>5400</v>
      </c>
      <c r="F107" s="1007">
        <f t="shared" si="8"/>
        <v>10400</v>
      </c>
      <c r="G107" s="1032">
        <f t="shared" si="8"/>
        <v>4400</v>
      </c>
      <c r="H107" s="1009">
        <f t="shared" si="8"/>
        <v>36000</v>
      </c>
      <c r="I107" s="1159">
        <f t="shared" si="8"/>
        <v>36000</v>
      </c>
      <c r="J107" s="1159">
        <f t="shared" si="8"/>
        <v>39500</v>
      </c>
      <c r="K107" s="1159">
        <v>42000</v>
      </c>
      <c r="L107" s="1159">
        <v>45566</v>
      </c>
      <c r="M107" s="1032">
        <f t="shared" si="8"/>
        <v>46705</v>
      </c>
      <c r="N107" s="1022"/>
      <c r="O107" s="1033"/>
      <c r="P107" s="1133"/>
    </row>
    <row r="108" spans="1:16" ht="12" customHeight="1" x14ac:dyDescent="0.2">
      <c r="A108" s="980">
        <f>A106+1</f>
        <v>75</v>
      </c>
      <c r="B108" s="981" t="s">
        <v>279</v>
      </c>
      <c r="C108" s="1011" t="s">
        <v>420</v>
      </c>
      <c r="D108" s="939" t="s">
        <v>584</v>
      </c>
      <c r="E108" s="986">
        <v>250</v>
      </c>
      <c r="F108" s="986">
        <v>250</v>
      </c>
      <c r="G108" s="947">
        <v>250</v>
      </c>
      <c r="H108" s="944">
        <v>250</v>
      </c>
      <c r="I108" s="1181">
        <v>250</v>
      </c>
      <c r="J108" s="1181">
        <v>250</v>
      </c>
      <c r="K108" s="1181">
        <v>250</v>
      </c>
      <c r="L108" s="1181">
        <v>250</v>
      </c>
      <c r="M108" s="942">
        <v>250</v>
      </c>
      <c r="N108" s="980"/>
      <c r="O108" s="984"/>
      <c r="P108" s="1133"/>
    </row>
    <row r="109" spans="1:16" ht="12" customHeight="1" x14ac:dyDescent="0.2">
      <c r="A109" s="980">
        <f>A108+1</f>
        <v>76</v>
      </c>
      <c r="B109" s="981" t="s">
        <v>279</v>
      </c>
      <c r="C109" s="1011" t="s">
        <v>420</v>
      </c>
      <c r="D109" s="939" t="s">
        <v>480</v>
      </c>
      <c r="E109" s="986"/>
      <c r="F109" s="986"/>
      <c r="G109" s="947"/>
      <c r="H109" s="944">
        <v>300</v>
      </c>
      <c r="I109" s="1181">
        <v>300</v>
      </c>
      <c r="J109" s="1181">
        <v>300</v>
      </c>
      <c r="K109" s="1181">
        <v>0</v>
      </c>
      <c r="L109" s="1181">
        <v>0</v>
      </c>
      <c r="M109" s="942"/>
      <c r="N109" s="980"/>
      <c r="O109" s="984"/>
      <c r="P109" s="1133"/>
    </row>
    <row r="110" spans="1:16" ht="12" customHeight="1" x14ac:dyDescent="0.2">
      <c r="A110" s="980">
        <f>A109+1</f>
        <v>77</v>
      </c>
      <c r="B110" s="981" t="s">
        <v>279</v>
      </c>
      <c r="C110" s="1011" t="s">
        <v>420</v>
      </c>
      <c r="D110" s="939" t="s">
        <v>313</v>
      </c>
      <c r="E110" s="940"/>
      <c r="F110" s="940"/>
      <c r="G110" s="941">
        <v>250</v>
      </c>
      <c r="H110" s="944">
        <v>250</v>
      </c>
      <c r="I110" s="1181">
        <v>250</v>
      </c>
      <c r="J110" s="1181">
        <v>150</v>
      </c>
      <c r="K110" s="1181">
        <v>150</v>
      </c>
      <c r="L110" s="1181">
        <v>150</v>
      </c>
      <c r="M110" s="942">
        <v>150</v>
      </c>
      <c r="N110" s="980"/>
      <c r="O110" s="984"/>
      <c r="P110" s="1133"/>
    </row>
    <row r="111" spans="1:16" ht="12" customHeight="1" x14ac:dyDescent="0.2">
      <c r="A111" s="1015"/>
      <c r="B111" s="1016"/>
      <c r="C111" s="1017"/>
      <c r="D111" s="1018" t="s">
        <v>162</v>
      </c>
      <c r="E111" s="1007">
        <f t="shared" ref="E111:M111" si="9">SUM(E108:E110)</f>
        <v>250</v>
      </c>
      <c r="F111" s="1007">
        <f t="shared" si="9"/>
        <v>250</v>
      </c>
      <c r="G111" s="1008">
        <f t="shared" si="9"/>
        <v>500</v>
      </c>
      <c r="H111" s="1009">
        <f t="shared" si="9"/>
        <v>800</v>
      </c>
      <c r="I111" s="1157">
        <f t="shared" si="9"/>
        <v>800</v>
      </c>
      <c r="J111" s="1157">
        <f t="shared" si="9"/>
        <v>700</v>
      </c>
      <c r="K111" s="1157">
        <v>400</v>
      </c>
      <c r="L111" s="1157">
        <v>400</v>
      </c>
      <c r="M111" s="1008">
        <f t="shared" si="9"/>
        <v>400</v>
      </c>
      <c r="N111" s="1022"/>
      <c r="O111" s="1033"/>
      <c r="P111" s="1133"/>
    </row>
    <row r="112" spans="1:16" ht="12" customHeight="1" x14ac:dyDescent="0.2">
      <c r="A112" s="980">
        <f>A110+1</f>
        <v>78</v>
      </c>
      <c r="B112" s="981" t="s">
        <v>279</v>
      </c>
      <c r="C112" s="1011" t="s">
        <v>424</v>
      </c>
      <c r="D112" s="985" t="s">
        <v>142</v>
      </c>
      <c r="E112" s="954">
        <v>270</v>
      </c>
      <c r="F112" s="954">
        <v>300</v>
      </c>
      <c r="G112" s="955">
        <v>300</v>
      </c>
      <c r="H112" s="957">
        <v>300</v>
      </c>
      <c r="I112" s="1182">
        <v>300</v>
      </c>
      <c r="J112" s="1182">
        <v>300</v>
      </c>
      <c r="K112" s="1182">
        <v>400</v>
      </c>
      <c r="L112" s="1182">
        <v>500</v>
      </c>
      <c r="M112" s="942">
        <v>500</v>
      </c>
      <c r="N112" s="980"/>
      <c r="O112" s="984"/>
      <c r="P112" s="1133"/>
    </row>
    <row r="113" spans="1:16" ht="12" customHeight="1" x14ac:dyDescent="0.2">
      <c r="A113" s="1015"/>
      <c r="B113" s="1016"/>
      <c r="C113" s="1017"/>
      <c r="D113" s="1018" t="s">
        <v>89</v>
      </c>
      <c r="E113" s="1007">
        <f>SUM(E112)</f>
        <v>270</v>
      </c>
      <c r="F113" s="1007">
        <f>SUM(F112)</f>
        <v>300</v>
      </c>
      <c r="G113" s="1032">
        <f>SUM(G112:G112)</f>
        <v>300</v>
      </c>
      <c r="H113" s="1009">
        <f>SUM(H112:H112)</f>
        <v>300</v>
      </c>
      <c r="I113" s="1159">
        <f>SUM(I112:I112)</f>
        <v>300</v>
      </c>
      <c r="J113" s="1159">
        <f>SUM(J112:J112)</f>
        <v>300</v>
      </c>
      <c r="K113" s="1159">
        <v>400</v>
      </c>
      <c r="L113" s="1159">
        <v>500</v>
      </c>
      <c r="M113" s="1032">
        <f>SUM(M112:M112)</f>
        <v>500</v>
      </c>
      <c r="N113" s="1022"/>
      <c r="O113" s="1033"/>
      <c r="P113" s="1133"/>
    </row>
    <row r="114" spans="1:16" ht="12" customHeight="1" x14ac:dyDescent="0.2">
      <c r="A114" s="980">
        <f>A112+1</f>
        <v>79</v>
      </c>
      <c r="B114" s="981" t="s">
        <v>279</v>
      </c>
      <c r="C114" s="1011" t="s">
        <v>409</v>
      </c>
      <c r="D114" s="939" t="s">
        <v>390</v>
      </c>
      <c r="E114" s="940"/>
      <c r="F114" s="940"/>
      <c r="G114" s="941"/>
      <c r="H114" s="944">
        <v>2000</v>
      </c>
      <c r="I114" s="1181">
        <v>2000</v>
      </c>
      <c r="J114" s="1181">
        <v>2000</v>
      </c>
      <c r="K114" s="1181">
        <v>2000</v>
      </c>
      <c r="L114" s="1181">
        <v>2000</v>
      </c>
      <c r="M114" s="942">
        <v>2000</v>
      </c>
      <c r="N114" s="980"/>
      <c r="O114" s="984"/>
      <c r="P114" s="1133"/>
    </row>
    <row r="115" spans="1:16" ht="12" customHeight="1" x14ac:dyDescent="0.2">
      <c r="A115" s="980">
        <f>A114+1</f>
        <v>80</v>
      </c>
      <c r="B115" s="981" t="s">
        <v>279</v>
      </c>
      <c r="C115" s="1011" t="s">
        <v>409</v>
      </c>
      <c r="D115" s="985" t="s">
        <v>391</v>
      </c>
      <c r="E115" s="961"/>
      <c r="F115" s="961"/>
      <c r="G115" s="962"/>
      <c r="H115" s="957"/>
      <c r="I115" s="1182"/>
      <c r="J115" s="1182"/>
      <c r="K115" s="1182"/>
      <c r="L115" s="1182"/>
      <c r="M115" s="956"/>
      <c r="N115" s="980"/>
      <c r="O115" s="984"/>
      <c r="P115" s="1133"/>
    </row>
    <row r="116" spans="1:16" ht="12" customHeight="1" x14ac:dyDescent="0.2">
      <c r="A116" s="1015"/>
      <c r="B116" s="1016"/>
      <c r="C116" s="1017"/>
      <c r="D116" s="1018" t="s">
        <v>565</v>
      </c>
      <c r="E116" s="1032">
        <f t="shared" ref="E116:M116" si="10">SUM(E114:E115)</f>
        <v>0</v>
      </c>
      <c r="F116" s="1032">
        <f t="shared" si="10"/>
        <v>0</v>
      </c>
      <c r="G116" s="1032">
        <f t="shared" si="10"/>
        <v>0</v>
      </c>
      <c r="H116" s="1021">
        <f t="shared" si="10"/>
        <v>2000</v>
      </c>
      <c r="I116" s="1158">
        <f t="shared" si="10"/>
        <v>2000</v>
      </c>
      <c r="J116" s="1158">
        <f t="shared" si="10"/>
        <v>2000</v>
      </c>
      <c r="K116" s="1158">
        <v>2000</v>
      </c>
      <c r="L116" s="1158">
        <v>2000</v>
      </c>
      <c r="M116" s="1020">
        <f t="shared" si="10"/>
        <v>2000</v>
      </c>
      <c r="N116" s="1022"/>
      <c r="O116" s="1033"/>
      <c r="P116" s="1133"/>
    </row>
    <row r="117" spans="1:16" ht="12" customHeight="1" x14ac:dyDescent="0.2">
      <c r="A117" s="980">
        <f>A115+1</f>
        <v>81</v>
      </c>
      <c r="B117" s="981" t="s">
        <v>279</v>
      </c>
      <c r="C117" s="1011" t="s">
        <v>418</v>
      </c>
      <c r="D117" s="939" t="s">
        <v>206</v>
      </c>
      <c r="E117" s="940"/>
      <c r="F117" s="940"/>
      <c r="G117" s="941">
        <v>1500</v>
      </c>
      <c r="H117" s="944">
        <v>1800</v>
      </c>
      <c r="I117" s="1181">
        <v>1800</v>
      </c>
      <c r="J117" s="1181"/>
      <c r="K117" s="1181"/>
      <c r="L117" s="1181"/>
      <c r="M117" s="942"/>
      <c r="N117" s="980"/>
      <c r="O117" s="984"/>
      <c r="P117" s="1133"/>
    </row>
    <row r="118" spans="1:16" ht="12" customHeight="1" x14ac:dyDescent="0.2">
      <c r="A118" s="980">
        <f>A117+1</f>
        <v>82</v>
      </c>
      <c r="B118" s="981" t="s">
        <v>279</v>
      </c>
      <c r="C118" s="1011" t="s">
        <v>418</v>
      </c>
      <c r="D118" s="939" t="s">
        <v>505</v>
      </c>
      <c r="E118" s="1175"/>
      <c r="F118" s="1175"/>
      <c r="G118" s="941"/>
      <c r="H118" s="944"/>
      <c r="I118" s="1181"/>
      <c r="J118" s="1181">
        <v>5340</v>
      </c>
      <c r="K118" s="1181">
        <v>5340</v>
      </c>
      <c r="L118" s="1181">
        <v>5340</v>
      </c>
      <c r="M118" s="942">
        <v>5340</v>
      </c>
      <c r="N118" s="980"/>
      <c r="O118" s="984"/>
      <c r="P118" s="1133"/>
    </row>
    <row r="119" spans="1:16" ht="12" customHeight="1" x14ac:dyDescent="0.2">
      <c r="A119" s="1015"/>
      <c r="B119" s="1016"/>
      <c r="C119" s="1017"/>
      <c r="D119" s="1018" t="s">
        <v>319</v>
      </c>
      <c r="E119" s="1032">
        <f>SUM(E117)</f>
        <v>0</v>
      </c>
      <c r="F119" s="1032">
        <f>SUM(F117)</f>
        <v>0</v>
      </c>
      <c r="G119" s="1032">
        <f>SUM(G117)</f>
        <v>1500</v>
      </c>
      <c r="H119" s="1009">
        <f>SUM(H117)</f>
        <v>1800</v>
      </c>
      <c r="I119" s="1159">
        <f>SUM(I117:I118)</f>
        <v>1800</v>
      </c>
      <c r="J119" s="1159">
        <f>SUM(J117:J118)</f>
        <v>5340</v>
      </c>
      <c r="K119" s="1159">
        <v>5340</v>
      </c>
      <c r="L119" s="1159">
        <v>5340</v>
      </c>
      <c r="M119" s="1032">
        <f>SUM(M117:M118)</f>
        <v>5340</v>
      </c>
      <c r="N119" s="1022"/>
      <c r="O119" s="1033"/>
      <c r="P119" s="1133"/>
    </row>
    <row r="120" spans="1:16" ht="12" customHeight="1" x14ac:dyDescent="0.2">
      <c r="A120" s="980">
        <f>A118+1</f>
        <v>83</v>
      </c>
      <c r="B120" s="981" t="s">
        <v>279</v>
      </c>
      <c r="C120" s="1011" t="s">
        <v>410</v>
      </c>
      <c r="D120" s="939"/>
      <c r="E120" s="940"/>
      <c r="F120" s="940"/>
      <c r="G120" s="941"/>
      <c r="H120" s="944"/>
      <c r="I120" s="1181"/>
      <c r="J120" s="1181"/>
      <c r="K120" s="1181"/>
      <c r="L120" s="1181"/>
      <c r="M120" s="942"/>
      <c r="N120" s="980"/>
      <c r="O120" s="984"/>
      <c r="P120" s="1133"/>
    </row>
    <row r="121" spans="1:16" ht="12" customHeight="1" x14ac:dyDescent="0.2">
      <c r="A121" s="1015"/>
      <c r="B121" s="1016"/>
      <c r="C121" s="1017"/>
      <c r="D121" s="1018" t="s">
        <v>392</v>
      </c>
      <c r="E121" s="1032">
        <f t="shared" ref="E121:M121" si="11">SUM(E120)</f>
        <v>0</v>
      </c>
      <c r="F121" s="1032">
        <f t="shared" si="11"/>
        <v>0</v>
      </c>
      <c r="G121" s="1032">
        <f t="shared" si="11"/>
        <v>0</v>
      </c>
      <c r="H121" s="1009">
        <f t="shared" si="11"/>
        <v>0</v>
      </c>
      <c r="I121" s="1159">
        <f t="shared" si="11"/>
        <v>0</v>
      </c>
      <c r="J121" s="1159">
        <f t="shared" si="11"/>
        <v>0</v>
      </c>
      <c r="K121" s="1159">
        <v>0</v>
      </c>
      <c r="L121" s="1159">
        <v>0</v>
      </c>
      <c r="M121" s="1032">
        <f t="shared" si="11"/>
        <v>0</v>
      </c>
      <c r="N121" s="1022"/>
      <c r="O121" s="1033"/>
      <c r="P121" s="1133"/>
    </row>
    <row r="122" spans="1:16" ht="12" customHeight="1" x14ac:dyDescent="0.2">
      <c r="A122" s="980">
        <f>A120+1</f>
        <v>84</v>
      </c>
      <c r="B122" s="981" t="s">
        <v>279</v>
      </c>
      <c r="C122" s="1011" t="s">
        <v>419</v>
      </c>
      <c r="D122" s="939" t="s">
        <v>271</v>
      </c>
      <c r="E122" s="986"/>
      <c r="F122" s="986"/>
      <c r="G122" s="947">
        <v>7516</v>
      </c>
      <c r="H122" s="944">
        <v>9598</v>
      </c>
      <c r="I122" s="1181">
        <v>9598</v>
      </c>
      <c r="J122" s="1181">
        <v>9848</v>
      </c>
      <c r="K122" s="1181">
        <v>8848</v>
      </c>
      <c r="L122" s="1181">
        <v>9075</v>
      </c>
      <c r="M122" s="942">
        <v>9075</v>
      </c>
      <c r="N122" s="980"/>
      <c r="O122" s="984"/>
      <c r="P122" s="1133"/>
    </row>
    <row r="123" spans="1:16" ht="12" customHeight="1" x14ac:dyDescent="0.2">
      <c r="A123" s="980">
        <f>A122+1</f>
        <v>85</v>
      </c>
      <c r="B123" s="981" t="s">
        <v>279</v>
      </c>
      <c r="C123" s="1011" t="s">
        <v>419</v>
      </c>
      <c r="D123" s="939" t="s">
        <v>315</v>
      </c>
      <c r="E123" s="986"/>
      <c r="F123" s="986"/>
      <c r="G123" s="947">
        <v>500</v>
      </c>
      <c r="H123" s="944">
        <v>250</v>
      </c>
      <c r="I123" s="1181">
        <v>250</v>
      </c>
      <c r="J123" s="1181">
        <v>0</v>
      </c>
      <c r="K123" s="1181">
        <v>0</v>
      </c>
      <c r="L123" s="1181">
        <v>0</v>
      </c>
      <c r="M123" s="942"/>
      <c r="N123" s="980"/>
      <c r="O123" s="984"/>
      <c r="P123" s="1133"/>
    </row>
    <row r="124" spans="1:16" ht="12" customHeight="1" x14ac:dyDescent="0.2">
      <c r="A124" s="980">
        <f>A123+1</f>
        <v>86</v>
      </c>
      <c r="B124" s="981" t="s">
        <v>279</v>
      </c>
      <c r="C124" s="1011" t="s">
        <v>419</v>
      </c>
      <c r="D124" s="939" t="s">
        <v>316</v>
      </c>
      <c r="E124" s="986"/>
      <c r="F124" s="986"/>
      <c r="G124" s="947">
        <v>1100</v>
      </c>
      <c r="H124" s="944">
        <v>800</v>
      </c>
      <c r="I124" s="1181">
        <v>800</v>
      </c>
      <c r="J124" s="1181">
        <v>500</v>
      </c>
      <c r="K124" s="1181">
        <v>500</v>
      </c>
      <c r="L124" s="1181">
        <v>520</v>
      </c>
      <c r="M124" s="942">
        <v>520</v>
      </c>
      <c r="N124" s="980"/>
      <c r="O124" s="984"/>
      <c r="P124" s="1133"/>
    </row>
    <row r="125" spans="1:16" ht="12" customHeight="1" x14ac:dyDescent="0.2">
      <c r="A125" s="980">
        <f>A124+1</f>
        <v>87</v>
      </c>
      <c r="B125" s="981" t="s">
        <v>279</v>
      </c>
      <c r="C125" s="1011" t="s">
        <v>419</v>
      </c>
      <c r="D125" s="939" t="s">
        <v>99</v>
      </c>
      <c r="E125" s="986"/>
      <c r="F125" s="986"/>
      <c r="G125" s="947">
        <v>1000</v>
      </c>
      <c r="H125" s="944"/>
      <c r="I125" s="1181"/>
      <c r="J125" s="1181"/>
      <c r="K125" s="1181"/>
      <c r="L125" s="1181"/>
      <c r="M125" s="942"/>
      <c r="N125" s="980"/>
      <c r="O125" s="984"/>
      <c r="P125" s="1133"/>
    </row>
    <row r="126" spans="1:16" ht="12" customHeight="1" x14ac:dyDescent="0.2">
      <c r="A126" s="980">
        <f>A125+1</f>
        <v>88</v>
      </c>
      <c r="B126" s="981" t="s">
        <v>279</v>
      </c>
      <c r="C126" s="1011" t="s">
        <v>419</v>
      </c>
      <c r="D126" s="939" t="s">
        <v>317</v>
      </c>
      <c r="E126" s="986"/>
      <c r="F126" s="986"/>
      <c r="G126" s="947">
        <v>600</v>
      </c>
      <c r="H126" s="944"/>
      <c r="I126" s="1181"/>
      <c r="J126" s="1181"/>
      <c r="K126" s="1181"/>
      <c r="L126" s="1181"/>
      <c r="M126" s="942"/>
      <c r="N126" s="980"/>
      <c r="O126" s="984"/>
      <c r="P126" s="1133"/>
    </row>
    <row r="127" spans="1:16" ht="12" customHeight="1" x14ac:dyDescent="0.2">
      <c r="A127" s="980">
        <f>A126+1</f>
        <v>89</v>
      </c>
      <c r="B127" s="981" t="s">
        <v>279</v>
      </c>
      <c r="C127" s="1035" t="s">
        <v>419</v>
      </c>
      <c r="D127" s="1036" t="s">
        <v>318</v>
      </c>
      <c r="E127" s="986"/>
      <c r="F127" s="986"/>
      <c r="G127" s="947">
        <v>250</v>
      </c>
      <c r="H127" s="944"/>
      <c r="I127" s="1181"/>
      <c r="J127" s="1181"/>
      <c r="K127" s="1181"/>
      <c r="L127" s="1181"/>
      <c r="M127" s="942"/>
      <c r="N127" s="1037"/>
      <c r="O127" s="1000"/>
      <c r="P127" s="1133"/>
    </row>
    <row r="128" spans="1:16" ht="12" customHeight="1" x14ac:dyDescent="0.2">
      <c r="A128" s="1015"/>
      <c r="B128" s="1016"/>
      <c r="C128" s="1017"/>
      <c r="D128" s="1018" t="s">
        <v>272</v>
      </c>
      <c r="E128" s="1007">
        <v>0</v>
      </c>
      <c r="F128" s="1007">
        <v>11366</v>
      </c>
      <c r="G128" s="1032">
        <f>SUM(G122:G127)</f>
        <v>10966</v>
      </c>
      <c r="H128" s="1009">
        <f>SUM(H122:H127)</f>
        <v>10648</v>
      </c>
      <c r="I128" s="1159">
        <f>SUM(I122:I127)</f>
        <v>10648</v>
      </c>
      <c r="J128" s="1159">
        <f>SUM(J122:J127)</f>
        <v>10348</v>
      </c>
      <c r="K128" s="1159">
        <v>9348</v>
      </c>
      <c r="L128" s="1159">
        <v>9595</v>
      </c>
      <c r="M128" s="1032">
        <f>SUM(M122:M127)</f>
        <v>9595</v>
      </c>
      <c r="N128" s="1022"/>
      <c r="O128" s="1033"/>
      <c r="P128" s="1133"/>
    </row>
    <row r="129" spans="1:16" ht="12" customHeight="1" x14ac:dyDescent="0.2">
      <c r="A129" s="980">
        <f>A127+1</f>
        <v>90</v>
      </c>
      <c r="B129" s="981" t="s">
        <v>279</v>
      </c>
      <c r="C129" s="1011" t="s">
        <v>411</v>
      </c>
      <c r="D129" s="939" t="s">
        <v>585</v>
      </c>
      <c r="E129" s="986">
        <v>1400</v>
      </c>
      <c r="F129" s="986">
        <v>1400</v>
      </c>
      <c r="G129" s="947">
        <v>1400</v>
      </c>
      <c r="H129" s="944">
        <v>1400</v>
      </c>
      <c r="I129" s="1181">
        <v>1400</v>
      </c>
      <c r="J129" s="1181">
        <v>1400</v>
      </c>
      <c r="K129" s="1181">
        <v>1400</v>
      </c>
      <c r="L129" s="1181">
        <v>1400</v>
      </c>
      <c r="M129" s="942">
        <v>1400</v>
      </c>
      <c r="N129" s="980"/>
      <c r="O129" s="984"/>
      <c r="P129" s="1133"/>
    </row>
    <row r="130" spans="1:16" ht="12" customHeight="1" x14ac:dyDescent="0.2">
      <c r="A130" s="1015"/>
      <c r="B130" s="1016"/>
      <c r="C130" s="1017"/>
      <c r="D130" s="1018" t="s">
        <v>205</v>
      </c>
      <c r="E130" s="1007">
        <f t="shared" ref="E130:M130" si="12">SUM(E129)</f>
        <v>1400</v>
      </c>
      <c r="F130" s="1007">
        <f t="shared" si="12"/>
        <v>1400</v>
      </c>
      <c r="G130" s="1032">
        <f t="shared" si="12"/>
        <v>1400</v>
      </c>
      <c r="H130" s="1009">
        <f t="shared" si="12"/>
        <v>1400</v>
      </c>
      <c r="I130" s="1159">
        <f t="shared" si="12"/>
        <v>1400</v>
      </c>
      <c r="J130" s="1159">
        <f t="shared" si="12"/>
        <v>1400</v>
      </c>
      <c r="K130" s="1159">
        <v>1400</v>
      </c>
      <c r="L130" s="1159">
        <v>1400</v>
      </c>
      <c r="M130" s="1032">
        <f t="shared" si="12"/>
        <v>1400</v>
      </c>
      <c r="N130" s="1022"/>
      <c r="O130" s="1033"/>
      <c r="P130" s="1133"/>
    </row>
    <row r="131" spans="1:16" ht="12" customHeight="1" x14ac:dyDescent="0.2">
      <c r="A131" s="980">
        <f>A129+1</f>
        <v>91</v>
      </c>
      <c r="B131" s="981" t="s">
        <v>279</v>
      </c>
      <c r="C131" s="1011" t="s">
        <v>412</v>
      </c>
      <c r="D131" s="985" t="s">
        <v>96</v>
      </c>
      <c r="E131" s="961">
        <v>1250</v>
      </c>
      <c r="F131" s="961">
        <v>1000</v>
      </c>
      <c r="G131" s="962">
        <v>1000</v>
      </c>
      <c r="H131" s="957">
        <v>0</v>
      </c>
      <c r="I131" s="1182">
        <v>0</v>
      </c>
      <c r="J131" s="1182">
        <v>0</v>
      </c>
      <c r="K131" s="1182">
        <v>0</v>
      </c>
      <c r="L131" s="1182">
        <v>0</v>
      </c>
      <c r="M131" s="956">
        <v>0</v>
      </c>
      <c r="N131" s="980"/>
      <c r="O131" s="984"/>
      <c r="P131" s="1133"/>
    </row>
    <row r="132" spans="1:16" ht="12" customHeight="1" x14ac:dyDescent="0.2">
      <c r="A132" s="1015"/>
      <c r="B132" s="1016"/>
      <c r="C132" s="1017"/>
      <c r="D132" s="1018" t="s">
        <v>97</v>
      </c>
      <c r="E132" s="1019">
        <f>SUM(E131)</f>
        <v>1250</v>
      </c>
      <c r="F132" s="1019">
        <f>SUM(F131)</f>
        <v>1000</v>
      </c>
      <c r="G132" s="1020">
        <f>SUM(G131)</f>
        <v>1000</v>
      </c>
      <c r="H132" s="1021">
        <f>SUM(H131:H131)</f>
        <v>0</v>
      </c>
      <c r="I132" s="1158">
        <f>SUM(I131:I131)</f>
        <v>0</v>
      </c>
      <c r="J132" s="1158">
        <f>SUM(J131:J131)</f>
        <v>0</v>
      </c>
      <c r="K132" s="1158">
        <v>0</v>
      </c>
      <c r="L132" s="1158">
        <v>0</v>
      </c>
      <c r="M132" s="1020">
        <f>SUM(M131:M131)</f>
        <v>0</v>
      </c>
      <c r="N132" s="1022"/>
      <c r="O132" s="1033"/>
      <c r="P132" s="1133"/>
    </row>
    <row r="133" spans="1:16" ht="12" customHeight="1" x14ac:dyDescent="0.2">
      <c r="A133" s="980">
        <f>A131+1</f>
        <v>92</v>
      </c>
      <c r="B133" s="981" t="s">
        <v>279</v>
      </c>
      <c r="C133" s="938" t="s">
        <v>414</v>
      </c>
      <c r="D133" s="939" t="s">
        <v>312</v>
      </c>
      <c r="E133" s="1038">
        <v>450</v>
      </c>
      <c r="F133" s="1038">
        <v>300</v>
      </c>
      <c r="G133" s="1039">
        <v>1100</v>
      </c>
      <c r="H133" s="1189">
        <v>1270</v>
      </c>
      <c r="I133" s="1190">
        <v>1270</v>
      </c>
      <c r="J133" s="1190">
        <v>650</v>
      </c>
      <c r="K133" s="1190">
        <v>650</v>
      </c>
      <c r="L133" s="1190">
        <v>850</v>
      </c>
      <c r="M133" s="942">
        <v>850</v>
      </c>
      <c r="N133" s="980"/>
      <c r="O133" s="984"/>
      <c r="P133" s="1133"/>
    </row>
    <row r="134" spans="1:16" ht="12" customHeight="1" x14ac:dyDescent="0.2">
      <c r="A134" s="1022"/>
      <c r="B134" s="1016"/>
      <c r="C134" s="1017"/>
      <c r="D134" s="1018" t="s">
        <v>127</v>
      </c>
      <c r="E134" s="1007">
        <f>SUM(E133)</f>
        <v>450</v>
      </c>
      <c r="F134" s="1007">
        <f>SUM(F133)</f>
        <v>300</v>
      </c>
      <c r="G134" s="1008">
        <f>SUM(G133:G133)</f>
        <v>1100</v>
      </c>
      <c r="H134" s="1009">
        <f>SUM(H133:H133)</f>
        <v>1270</v>
      </c>
      <c r="I134" s="1157">
        <f>SUM(I133:I133)</f>
        <v>1270</v>
      </c>
      <c r="J134" s="1157">
        <f>SUM(J133:J133)</f>
        <v>650</v>
      </c>
      <c r="K134" s="1157">
        <v>650</v>
      </c>
      <c r="L134" s="1157">
        <v>850</v>
      </c>
      <c r="M134" s="1008">
        <f>SUM(M133:M133)</f>
        <v>850</v>
      </c>
      <c r="N134" s="1022"/>
      <c r="O134" s="1033"/>
      <c r="P134" s="1133"/>
    </row>
    <row r="135" spans="1:16" ht="12" customHeight="1" x14ac:dyDescent="0.2">
      <c r="A135" s="980">
        <f>A133+1</f>
        <v>93</v>
      </c>
      <c r="B135" s="981" t="s">
        <v>279</v>
      </c>
      <c r="C135" s="1011" t="s">
        <v>415</v>
      </c>
      <c r="D135" s="939" t="s">
        <v>66</v>
      </c>
      <c r="E135" s="961"/>
      <c r="F135" s="961">
        <v>7250</v>
      </c>
      <c r="G135" s="962">
        <v>7250</v>
      </c>
      <c r="H135" s="957">
        <v>7250</v>
      </c>
      <c r="I135" s="1182">
        <v>7250</v>
      </c>
      <c r="J135" s="1182">
        <v>7250</v>
      </c>
      <c r="K135" s="1182">
        <v>7250</v>
      </c>
      <c r="L135" s="1182">
        <v>7250</v>
      </c>
      <c r="M135" s="942">
        <v>7037</v>
      </c>
      <c r="N135" s="980"/>
      <c r="O135" s="984"/>
      <c r="P135" s="1133"/>
    </row>
    <row r="136" spans="1:16" ht="12" customHeight="1" x14ac:dyDescent="0.2">
      <c r="A136" s="980">
        <f>A135+1</f>
        <v>94</v>
      </c>
      <c r="B136" s="981" t="s">
        <v>279</v>
      </c>
      <c r="C136" s="1011" t="s">
        <v>415</v>
      </c>
      <c r="D136" s="939" t="s">
        <v>259</v>
      </c>
      <c r="E136" s="954"/>
      <c r="F136" s="954">
        <v>1000</v>
      </c>
      <c r="G136" s="955">
        <v>1000</v>
      </c>
      <c r="H136" s="957">
        <v>1000</v>
      </c>
      <c r="I136" s="1182">
        <v>1150</v>
      </c>
      <c r="J136" s="1182">
        <v>820</v>
      </c>
      <c r="K136" s="1182">
        <v>960</v>
      </c>
      <c r="L136" s="1182">
        <v>410</v>
      </c>
      <c r="M136" s="942">
        <v>0</v>
      </c>
      <c r="N136" s="980"/>
      <c r="O136" s="984"/>
      <c r="P136" s="1133"/>
    </row>
    <row r="137" spans="1:16" ht="12" customHeight="1" x14ac:dyDescent="0.2">
      <c r="A137" s="980">
        <f t="shared" ref="A137:A160" si="13">A136+1</f>
        <v>95</v>
      </c>
      <c r="B137" s="981" t="s">
        <v>279</v>
      </c>
      <c r="C137" s="1011" t="s">
        <v>415</v>
      </c>
      <c r="D137" s="939" t="s">
        <v>260</v>
      </c>
      <c r="E137" s="1040"/>
      <c r="F137" s="1040">
        <v>200</v>
      </c>
      <c r="G137" s="1041">
        <v>650</v>
      </c>
      <c r="H137" s="1193">
        <v>650</v>
      </c>
      <c r="I137" s="1194">
        <v>650</v>
      </c>
      <c r="J137" s="1194">
        <v>650</v>
      </c>
      <c r="K137" s="1194">
        <v>650</v>
      </c>
      <c r="L137" s="1194">
        <v>650</v>
      </c>
      <c r="M137" s="942">
        <v>650</v>
      </c>
      <c r="N137" s="980"/>
      <c r="O137" s="984"/>
      <c r="P137" s="1133"/>
    </row>
    <row r="138" spans="1:16" ht="12" customHeight="1" x14ac:dyDescent="0.2">
      <c r="A138" s="980">
        <f t="shared" si="13"/>
        <v>96</v>
      </c>
      <c r="B138" s="981" t="s">
        <v>279</v>
      </c>
      <c r="C138" s="1011" t="s">
        <v>415</v>
      </c>
      <c r="D138" s="939" t="s">
        <v>506</v>
      </c>
      <c r="E138" s="1042"/>
      <c r="F138" s="1042">
        <v>570</v>
      </c>
      <c r="G138" s="1043">
        <v>570</v>
      </c>
      <c r="H138" s="1193">
        <v>570</v>
      </c>
      <c r="I138" s="1194">
        <v>300</v>
      </c>
      <c r="J138" s="1194">
        <v>300</v>
      </c>
      <c r="K138" s="1194">
        <v>390</v>
      </c>
      <c r="L138" s="1194">
        <v>390</v>
      </c>
      <c r="M138" s="942">
        <v>500</v>
      </c>
      <c r="N138" s="980"/>
      <c r="O138" s="984"/>
      <c r="P138" s="1133"/>
    </row>
    <row r="139" spans="1:16" ht="12" customHeight="1" x14ac:dyDescent="0.2">
      <c r="A139" s="980">
        <f t="shared" si="13"/>
        <v>97</v>
      </c>
      <c r="B139" s="981" t="s">
        <v>279</v>
      </c>
      <c r="C139" s="1011" t="s">
        <v>415</v>
      </c>
      <c r="D139" s="939" t="s">
        <v>261</v>
      </c>
      <c r="E139" s="954"/>
      <c r="F139" s="954">
        <v>700</v>
      </c>
      <c r="G139" s="955">
        <v>700</v>
      </c>
      <c r="H139" s="957">
        <v>700</v>
      </c>
      <c r="I139" s="1182">
        <v>600</v>
      </c>
      <c r="J139" s="1182">
        <v>0</v>
      </c>
      <c r="K139" s="1182">
        <v>0</v>
      </c>
      <c r="L139" s="1182">
        <v>0</v>
      </c>
      <c r="M139" s="942"/>
      <c r="N139" s="980"/>
      <c r="O139" s="984"/>
      <c r="P139" s="1133"/>
    </row>
    <row r="140" spans="1:16" ht="12" customHeight="1" x14ac:dyDescent="0.2">
      <c r="A140" s="980">
        <f t="shared" si="13"/>
        <v>98</v>
      </c>
      <c r="B140" s="981" t="s">
        <v>279</v>
      </c>
      <c r="C140" s="1011" t="s">
        <v>415</v>
      </c>
      <c r="D140" s="939" t="s">
        <v>262</v>
      </c>
      <c r="E140" s="954"/>
      <c r="F140" s="954">
        <v>750</v>
      </c>
      <c r="G140" s="955">
        <v>780</v>
      </c>
      <c r="H140" s="957">
        <v>830</v>
      </c>
      <c r="I140" s="1182">
        <v>845</v>
      </c>
      <c r="J140" s="1182">
        <v>840</v>
      </c>
      <c r="K140" s="1182">
        <v>840</v>
      </c>
      <c r="L140" s="1182">
        <v>906</v>
      </c>
      <c r="M140" s="942">
        <v>906</v>
      </c>
      <c r="N140" s="980"/>
      <c r="O140" s="984"/>
      <c r="P140" s="1133"/>
    </row>
    <row r="141" spans="1:16" ht="12" customHeight="1" x14ac:dyDescent="0.2">
      <c r="A141" s="980">
        <f t="shared" si="13"/>
        <v>99</v>
      </c>
      <c r="B141" s="981" t="s">
        <v>279</v>
      </c>
      <c r="C141" s="1011" t="s">
        <v>415</v>
      </c>
      <c r="D141" s="939" t="s">
        <v>263</v>
      </c>
      <c r="E141" s="954"/>
      <c r="F141" s="954">
        <v>2900</v>
      </c>
      <c r="G141" s="955">
        <v>1500</v>
      </c>
      <c r="H141" s="957">
        <v>2270</v>
      </c>
      <c r="I141" s="1182">
        <v>250</v>
      </c>
      <c r="J141" s="1182">
        <v>1100</v>
      </c>
      <c r="K141" s="1182">
        <v>0</v>
      </c>
      <c r="L141" s="1182">
        <v>0</v>
      </c>
      <c r="M141" s="942"/>
      <c r="N141" s="980"/>
      <c r="O141" s="984"/>
      <c r="P141" s="1133"/>
    </row>
    <row r="142" spans="1:16" ht="12" customHeight="1" x14ac:dyDescent="0.2">
      <c r="A142" s="980">
        <f t="shared" si="13"/>
        <v>100</v>
      </c>
      <c r="B142" s="981" t="s">
        <v>279</v>
      </c>
      <c r="C142" s="1011" t="s">
        <v>415</v>
      </c>
      <c r="D142" s="939" t="s">
        <v>264</v>
      </c>
      <c r="E142" s="954"/>
      <c r="F142" s="954">
        <v>1750</v>
      </c>
      <c r="G142" s="955">
        <v>6035</v>
      </c>
      <c r="H142" s="957">
        <v>6800</v>
      </c>
      <c r="I142" s="1182">
        <v>7300</v>
      </c>
      <c r="J142" s="1182">
        <v>7940</v>
      </c>
      <c r="K142" s="1182">
        <v>880</v>
      </c>
      <c r="L142" s="1182">
        <v>880</v>
      </c>
      <c r="M142" s="942">
        <v>942</v>
      </c>
      <c r="N142" s="980"/>
      <c r="O142" s="984"/>
      <c r="P142" s="1133"/>
    </row>
    <row r="143" spans="1:16" ht="12" customHeight="1" x14ac:dyDescent="0.2">
      <c r="A143" s="980">
        <f t="shared" si="13"/>
        <v>101</v>
      </c>
      <c r="B143" s="981" t="s">
        <v>279</v>
      </c>
      <c r="C143" s="1011" t="s">
        <v>415</v>
      </c>
      <c r="D143" s="1044" t="s">
        <v>265</v>
      </c>
      <c r="E143" s="954"/>
      <c r="F143" s="954">
        <v>7500</v>
      </c>
      <c r="G143" s="955">
        <v>8520</v>
      </c>
      <c r="H143" s="957">
        <v>9070</v>
      </c>
      <c r="I143" s="1182">
        <v>9600</v>
      </c>
      <c r="J143" s="1182">
        <v>10220</v>
      </c>
      <c r="K143" s="1182">
        <v>9820</v>
      </c>
      <c r="L143" s="1182">
        <v>10000</v>
      </c>
      <c r="M143" s="942">
        <v>10280</v>
      </c>
      <c r="N143" s="980"/>
      <c r="O143" s="984"/>
      <c r="P143" s="1133"/>
    </row>
    <row r="144" spans="1:16" ht="12" customHeight="1" x14ac:dyDescent="0.2">
      <c r="A144" s="980">
        <f t="shared" si="13"/>
        <v>102</v>
      </c>
      <c r="B144" s="981" t="s">
        <v>279</v>
      </c>
      <c r="C144" s="1011" t="s">
        <v>415</v>
      </c>
      <c r="D144" s="985" t="s">
        <v>266</v>
      </c>
      <c r="E144" s="954"/>
      <c r="F144" s="954">
        <v>2250</v>
      </c>
      <c r="G144" s="955">
        <v>900</v>
      </c>
      <c r="H144" s="957">
        <v>225</v>
      </c>
      <c r="I144" s="1182">
        <v>0</v>
      </c>
      <c r="J144" s="1182"/>
      <c r="K144" s="1182"/>
      <c r="L144" s="1182"/>
      <c r="M144" s="956">
        <v>600</v>
      </c>
      <c r="N144" s="980"/>
      <c r="O144" s="984"/>
      <c r="P144" s="1133"/>
    </row>
    <row r="145" spans="1:16" ht="12" customHeight="1" x14ac:dyDescent="0.2">
      <c r="A145" s="980">
        <f t="shared" si="13"/>
        <v>103</v>
      </c>
      <c r="B145" s="981" t="s">
        <v>279</v>
      </c>
      <c r="C145" s="1011" t="s">
        <v>415</v>
      </c>
      <c r="D145" s="985" t="s">
        <v>267</v>
      </c>
      <c r="E145" s="954"/>
      <c r="F145" s="954">
        <v>2430</v>
      </c>
      <c r="G145" s="955">
        <v>3500</v>
      </c>
      <c r="H145" s="957">
        <v>3200</v>
      </c>
      <c r="I145" s="1182">
        <v>3200</v>
      </c>
      <c r="J145" s="1182">
        <v>3200</v>
      </c>
      <c r="K145" s="1182">
        <v>3200</v>
      </c>
      <c r="L145" s="1182">
        <v>3000</v>
      </c>
      <c r="M145" s="942">
        <v>3000</v>
      </c>
      <c r="N145" s="980"/>
      <c r="O145" s="984"/>
      <c r="P145" s="1133"/>
    </row>
    <row r="146" spans="1:16" ht="12" customHeight="1" x14ac:dyDescent="0.2">
      <c r="A146" s="980">
        <f t="shared" si="13"/>
        <v>104</v>
      </c>
      <c r="B146" s="981" t="s">
        <v>279</v>
      </c>
      <c r="C146" s="1011" t="s">
        <v>415</v>
      </c>
      <c r="D146" s="985" t="s">
        <v>268</v>
      </c>
      <c r="E146" s="954"/>
      <c r="F146" s="954">
        <v>250</v>
      </c>
      <c r="G146" s="955">
        <v>250</v>
      </c>
      <c r="H146" s="957">
        <v>150</v>
      </c>
      <c r="I146" s="1182">
        <v>150</v>
      </c>
      <c r="J146" s="1182">
        <v>0</v>
      </c>
      <c r="K146" s="1182">
        <v>0</v>
      </c>
      <c r="L146" s="1182">
        <v>0</v>
      </c>
      <c r="M146" s="942"/>
      <c r="N146" s="980"/>
      <c r="O146" s="984"/>
      <c r="P146" s="1133"/>
    </row>
    <row r="147" spans="1:16" ht="12" customHeight="1" x14ac:dyDescent="0.2">
      <c r="A147" s="980">
        <f t="shared" si="13"/>
        <v>105</v>
      </c>
      <c r="B147" s="981" t="s">
        <v>279</v>
      </c>
      <c r="C147" s="1011" t="s">
        <v>415</v>
      </c>
      <c r="D147" s="985" t="s">
        <v>269</v>
      </c>
      <c r="E147" s="954"/>
      <c r="F147" s="954">
        <v>1000</v>
      </c>
      <c r="G147" s="955">
        <v>1000</v>
      </c>
      <c r="H147" s="957">
        <v>1000</v>
      </c>
      <c r="I147" s="1182">
        <v>800</v>
      </c>
      <c r="J147" s="1182">
        <v>500</v>
      </c>
      <c r="K147" s="1182">
        <v>1000</v>
      </c>
      <c r="L147" s="1182">
        <v>1000</v>
      </c>
      <c r="M147" s="942">
        <v>1000</v>
      </c>
      <c r="N147" s="980"/>
      <c r="O147" s="984"/>
      <c r="P147" s="1133"/>
    </row>
    <row r="148" spans="1:16" ht="12" customHeight="1" x14ac:dyDescent="0.2">
      <c r="A148" s="980">
        <f t="shared" si="13"/>
        <v>106</v>
      </c>
      <c r="B148" s="981" t="s">
        <v>279</v>
      </c>
      <c r="C148" s="1011" t="s">
        <v>415</v>
      </c>
      <c r="D148" s="985" t="s">
        <v>586</v>
      </c>
      <c r="E148" s="954"/>
      <c r="F148" s="954">
        <v>250</v>
      </c>
      <c r="G148" s="955">
        <v>50</v>
      </c>
      <c r="H148" s="957">
        <v>50</v>
      </c>
      <c r="I148" s="1182">
        <v>50</v>
      </c>
      <c r="J148" s="1182">
        <v>0</v>
      </c>
      <c r="K148" s="1182">
        <v>0</v>
      </c>
      <c r="L148" s="1182">
        <v>0</v>
      </c>
      <c r="M148" s="942"/>
      <c r="N148" s="980"/>
      <c r="O148" s="984"/>
      <c r="P148" s="1133"/>
    </row>
    <row r="149" spans="1:16" ht="12" customHeight="1" x14ac:dyDescent="0.2">
      <c r="A149" s="980">
        <f t="shared" si="13"/>
        <v>107</v>
      </c>
      <c r="B149" s="981" t="s">
        <v>279</v>
      </c>
      <c r="C149" s="1011" t="s">
        <v>415</v>
      </c>
      <c r="D149" s="985" t="s">
        <v>270</v>
      </c>
      <c r="E149" s="954"/>
      <c r="F149" s="954">
        <v>1130</v>
      </c>
      <c r="G149" s="955">
        <v>1000</v>
      </c>
      <c r="H149" s="957">
        <v>500</v>
      </c>
      <c r="I149" s="1182">
        <v>650</v>
      </c>
      <c r="J149" s="1182">
        <v>650</v>
      </c>
      <c r="K149" s="1182">
        <v>650</v>
      </c>
      <c r="L149" s="1182">
        <v>650</v>
      </c>
      <c r="M149" s="942">
        <v>650</v>
      </c>
      <c r="N149" s="980"/>
      <c r="O149" s="984"/>
      <c r="P149" s="1133"/>
    </row>
    <row r="150" spans="1:16" ht="12" customHeight="1" x14ac:dyDescent="0.2">
      <c r="A150" s="980">
        <f t="shared" si="13"/>
        <v>108</v>
      </c>
      <c r="B150" s="981" t="s">
        <v>279</v>
      </c>
      <c r="C150" s="1011" t="s">
        <v>415</v>
      </c>
      <c r="D150" s="985" t="s">
        <v>314</v>
      </c>
      <c r="E150" s="954"/>
      <c r="F150" s="954"/>
      <c r="G150" s="955">
        <v>-1300</v>
      </c>
      <c r="H150" s="957"/>
      <c r="I150" s="1182"/>
      <c r="J150" s="1182"/>
      <c r="K150" s="1182"/>
      <c r="L150" s="1182"/>
      <c r="M150" s="942"/>
      <c r="N150" s="980"/>
      <c r="O150" s="984"/>
      <c r="P150" s="1133"/>
    </row>
    <row r="151" spans="1:16" ht="12" customHeight="1" x14ac:dyDescent="0.2">
      <c r="A151" s="980">
        <f t="shared" si="13"/>
        <v>109</v>
      </c>
      <c r="B151" s="981" t="s">
        <v>279</v>
      </c>
      <c r="C151" s="1011" t="s">
        <v>493</v>
      </c>
      <c r="D151" s="985" t="s">
        <v>497</v>
      </c>
      <c r="E151" s="954"/>
      <c r="F151" s="954"/>
      <c r="G151" s="955"/>
      <c r="H151" s="957"/>
      <c r="I151" s="1182">
        <v>200</v>
      </c>
      <c r="J151" s="1182">
        <v>0</v>
      </c>
      <c r="K151" s="1182">
        <v>0</v>
      </c>
      <c r="L151" s="1182">
        <v>0</v>
      </c>
      <c r="M151" s="942"/>
      <c r="N151" s="980"/>
      <c r="O151" s="984"/>
      <c r="P151" s="1133"/>
    </row>
    <row r="152" spans="1:16" ht="12" customHeight="1" x14ac:dyDescent="0.2">
      <c r="A152" s="980">
        <f t="shared" si="13"/>
        <v>110</v>
      </c>
      <c r="B152" s="981" t="s">
        <v>279</v>
      </c>
      <c r="C152" s="1011" t="s">
        <v>494</v>
      </c>
      <c r="D152" s="985" t="s">
        <v>498</v>
      </c>
      <c r="E152" s="954"/>
      <c r="F152" s="954"/>
      <c r="G152" s="955"/>
      <c r="H152" s="957"/>
      <c r="I152" s="1182">
        <v>160</v>
      </c>
      <c r="J152" s="1182">
        <v>0</v>
      </c>
      <c r="K152" s="1182">
        <v>160</v>
      </c>
      <c r="L152" s="1182">
        <v>160</v>
      </c>
      <c r="M152" s="942">
        <v>160</v>
      </c>
      <c r="N152" s="980"/>
      <c r="O152" s="984"/>
      <c r="P152" s="1133"/>
    </row>
    <row r="153" spans="1:16" ht="12" customHeight="1" x14ac:dyDescent="0.2">
      <c r="A153" s="980">
        <f t="shared" si="13"/>
        <v>111</v>
      </c>
      <c r="B153" s="981" t="s">
        <v>279</v>
      </c>
      <c r="C153" s="1011" t="s">
        <v>495</v>
      </c>
      <c r="D153" s="985" t="s">
        <v>499</v>
      </c>
      <c r="E153" s="954"/>
      <c r="F153" s="954"/>
      <c r="G153" s="955"/>
      <c r="H153" s="957"/>
      <c r="I153" s="1182">
        <v>1000</v>
      </c>
      <c r="J153" s="1182">
        <v>600</v>
      </c>
      <c r="K153" s="1182">
        <v>0</v>
      </c>
      <c r="L153" s="1182">
        <v>0</v>
      </c>
      <c r="M153" s="942"/>
      <c r="N153" s="980"/>
      <c r="O153" s="984"/>
      <c r="P153" s="1133"/>
    </row>
    <row r="154" spans="1:16" ht="12" customHeight="1" x14ac:dyDescent="0.2">
      <c r="A154" s="980">
        <f t="shared" si="13"/>
        <v>112</v>
      </c>
      <c r="B154" s="981" t="s">
        <v>279</v>
      </c>
      <c r="C154" s="1011" t="s">
        <v>496</v>
      </c>
      <c r="D154" s="985" t="s">
        <v>587</v>
      </c>
      <c r="E154" s="954"/>
      <c r="F154" s="954"/>
      <c r="G154" s="955"/>
      <c r="H154" s="957"/>
      <c r="I154" s="1182">
        <v>0</v>
      </c>
      <c r="J154" s="1182">
        <v>1500</v>
      </c>
      <c r="K154" s="1182">
        <v>0</v>
      </c>
      <c r="L154" s="1182">
        <v>0</v>
      </c>
      <c r="M154" s="942"/>
      <c r="N154" s="980"/>
      <c r="O154" s="984"/>
      <c r="P154" s="1133"/>
    </row>
    <row r="155" spans="1:16" ht="12" customHeight="1" x14ac:dyDescent="0.2">
      <c r="A155" s="980">
        <f t="shared" si="13"/>
        <v>113</v>
      </c>
      <c r="B155" s="981" t="s">
        <v>279</v>
      </c>
      <c r="C155" s="1011" t="s">
        <v>496</v>
      </c>
      <c r="D155" s="985" t="s">
        <v>504</v>
      </c>
      <c r="E155" s="954"/>
      <c r="F155" s="954"/>
      <c r="G155" s="955"/>
      <c r="H155" s="957"/>
      <c r="I155" s="1182"/>
      <c r="J155" s="1182"/>
      <c r="K155" s="1182">
        <v>100</v>
      </c>
      <c r="L155" s="1182">
        <v>150</v>
      </c>
      <c r="M155" s="942">
        <v>200</v>
      </c>
      <c r="N155" s="980"/>
      <c r="O155" s="984"/>
      <c r="P155" s="1133"/>
    </row>
    <row r="156" spans="1:16" ht="12" customHeight="1" x14ac:dyDescent="0.2">
      <c r="A156" s="980">
        <f>A155+1</f>
        <v>114</v>
      </c>
      <c r="B156" s="981" t="s">
        <v>279</v>
      </c>
      <c r="C156" s="1011" t="s">
        <v>415</v>
      </c>
      <c r="D156" s="985" t="s">
        <v>588</v>
      </c>
      <c r="E156" s="954"/>
      <c r="F156" s="954"/>
      <c r="G156" s="955"/>
      <c r="H156" s="957">
        <v>3400</v>
      </c>
      <c r="I156" s="1182">
        <v>3500</v>
      </c>
      <c r="J156" s="1182">
        <v>3500</v>
      </c>
      <c r="K156" s="1182">
        <v>3800</v>
      </c>
      <c r="L156" s="1182">
        <v>5500</v>
      </c>
      <c r="M156" s="942">
        <v>5500</v>
      </c>
      <c r="N156" s="980"/>
      <c r="O156" s="984"/>
      <c r="P156" s="1073"/>
    </row>
    <row r="157" spans="1:16" ht="12" customHeight="1" x14ac:dyDescent="0.2">
      <c r="A157" s="980">
        <f t="shared" si="13"/>
        <v>115</v>
      </c>
      <c r="B157" s="981" t="s">
        <v>279</v>
      </c>
      <c r="C157" s="1011" t="s">
        <v>415</v>
      </c>
      <c r="D157" s="985" t="s">
        <v>661</v>
      </c>
      <c r="E157" s="954"/>
      <c r="F157" s="954"/>
      <c r="G157" s="955"/>
      <c r="H157" s="957"/>
      <c r="I157" s="1182"/>
      <c r="J157" s="1182">
        <v>0</v>
      </c>
      <c r="K157" s="1182">
        <v>0</v>
      </c>
      <c r="L157" s="1182">
        <v>0</v>
      </c>
      <c r="M157" s="942">
        <v>200</v>
      </c>
      <c r="N157" s="980"/>
      <c r="O157" s="984"/>
      <c r="P157" s="1073"/>
    </row>
    <row r="158" spans="1:16" ht="12" customHeight="1" x14ac:dyDescent="0.2">
      <c r="A158" s="980">
        <f t="shared" si="13"/>
        <v>116</v>
      </c>
      <c r="B158" s="981" t="s">
        <v>279</v>
      </c>
      <c r="C158" s="1011" t="s">
        <v>415</v>
      </c>
      <c r="D158" s="985" t="s">
        <v>662</v>
      </c>
      <c r="E158" s="954"/>
      <c r="F158" s="954"/>
      <c r="G158" s="955"/>
      <c r="H158" s="957"/>
      <c r="I158" s="1182"/>
      <c r="J158" s="1182">
        <v>0</v>
      </c>
      <c r="K158" s="1182">
        <v>0</v>
      </c>
      <c r="L158" s="1182">
        <v>0</v>
      </c>
      <c r="M158" s="942">
        <v>263</v>
      </c>
      <c r="N158" s="980"/>
      <c r="O158" s="984"/>
      <c r="P158" s="1073"/>
    </row>
    <row r="159" spans="1:16" ht="12" customHeight="1" x14ac:dyDescent="0.2">
      <c r="A159" s="980">
        <f t="shared" si="13"/>
        <v>117</v>
      </c>
      <c r="B159" s="981" t="s">
        <v>279</v>
      </c>
      <c r="C159" s="1011" t="s">
        <v>415</v>
      </c>
      <c r="D159" s="985" t="s">
        <v>663</v>
      </c>
      <c r="E159" s="954"/>
      <c r="F159" s="954"/>
      <c r="G159" s="955"/>
      <c r="H159" s="957"/>
      <c r="I159" s="1182"/>
      <c r="J159" s="1182">
        <v>0</v>
      </c>
      <c r="K159" s="1182">
        <v>0</v>
      </c>
      <c r="L159" s="1182">
        <v>0</v>
      </c>
      <c r="M159" s="942">
        <v>700</v>
      </c>
      <c r="N159" s="980"/>
      <c r="O159" s="984"/>
      <c r="P159" s="1073"/>
    </row>
    <row r="160" spans="1:16" ht="12" customHeight="1" x14ac:dyDescent="0.2">
      <c r="A160" s="980">
        <f t="shared" si="13"/>
        <v>118</v>
      </c>
      <c r="B160" s="981" t="s">
        <v>279</v>
      </c>
      <c r="C160" s="1011" t="s">
        <v>415</v>
      </c>
      <c r="D160" s="985" t="s">
        <v>664</v>
      </c>
      <c r="E160" s="954"/>
      <c r="F160" s="954"/>
      <c r="G160" s="955"/>
      <c r="H160" s="957"/>
      <c r="I160" s="1182"/>
      <c r="J160" s="1182">
        <v>0</v>
      </c>
      <c r="K160" s="1182">
        <v>0</v>
      </c>
      <c r="L160" s="1182">
        <v>0</v>
      </c>
      <c r="M160" s="942">
        <v>650</v>
      </c>
      <c r="N160" s="980"/>
      <c r="O160" s="984"/>
      <c r="P160" s="1073"/>
    </row>
    <row r="161" spans="1:16" ht="12" customHeight="1" x14ac:dyDescent="0.2">
      <c r="A161" s="1015"/>
      <c r="B161" s="1016"/>
      <c r="C161" s="1017"/>
      <c r="D161" s="1018" t="s">
        <v>76</v>
      </c>
      <c r="E161" s="1007">
        <v>13383</v>
      </c>
      <c r="F161" s="1007">
        <f>SUM(F135:F156)</f>
        <v>29930</v>
      </c>
      <c r="G161" s="1032">
        <f>SUM(G135:G156)</f>
        <v>32405</v>
      </c>
      <c r="H161" s="1009">
        <f>SUM(H135:H156)</f>
        <v>37665</v>
      </c>
      <c r="I161" s="1159">
        <f>SUM(I135:I156)</f>
        <v>37655</v>
      </c>
      <c r="J161" s="1159">
        <f>SUM(J135:J160)</f>
        <v>39070</v>
      </c>
      <c r="K161" s="1159">
        <v>29700</v>
      </c>
      <c r="L161" s="1159">
        <v>30946</v>
      </c>
      <c r="M161" s="1032">
        <f>SUM(M135:M160)</f>
        <v>33238</v>
      </c>
      <c r="N161" s="1022"/>
      <c r="O161" s="1033"/>
      <c r="P161" s="1073"/>
    </row>
    <row r="162" spans="1:16" ht="12" customHeight="1" x14ac:dyDescent="0.2">
      <c r="A162" s="980">
        <v>119</v>
      </c>
      <c r="B162" s="981" t="s">
        <v>279</v>
      </c>
      <c r="C162" s="1011" t="s">
        <v>417</v>
      </c>
      <c r="D162" s="939" t="s">
        <v>320</v>
      </c>
      <c r="E162" s="1034">
        <v>0</v>
      </c>
      <c r="F162" s="1034">
        <v>300</v>
      </c>
      <c r="G162" s="941">
        <v>200</v>
      </c>
      <c r="H162" s="957">
        <v>200</v>
      </c>
      <c r="I162" s="1182">
        <v>230</v>
      </c>
      <c r="J162" s="1182">
        <v>0</v>
      </c>
      <c r="K162" s="1182">
        <v>0</v>
      </c>
      <c r="L162" s="1182">
        <v>0</v>
      </c>
      <c r="M162" s="956">
        <v>0</v>
      </c>
      <c r="N162" s="980"/>
      <c r="O162" s="984"/>
      <c r="P162" s="1131"/>
    </row>
    <row r="163" spans="1:16" s="1075" customFormat="1" ht="12" customHeight="1" thickBot="1" x14ac:dyDescent="0.25">
      <c r="A163" s="1015"/>
      <c r="B163" s="1016"/>
      <c r="C163" s="1017"/>
      <c r="D163" s="1018" t="s">
        <v>321</v>
      </c>
      <c r="E163" s="1007">
        <f t="shared" ref="E163:M163" si="14">E162</f>
        <v>0</v>
      </c>
      <c r="F163" s="1007">
        <f t="shared" si="14"/>
        <v>300</v>
      </c>
      <c r="G163" s="1032">
        <f t="shared" si="14"/>
        <v>200</v>
      </c>
      <c r="H163" s="1009">
        <f t="shared" si="14"/>
        <v>200</v>
      </c>
      <c r="I163" s="1159">
        <f t="shared" si="14"/>
        <v>230</v>
      </c>
      <c r="J163" s="1159">
        <f t="shared" si="14"/>
        <v>0</v>
      </c>
      <c r="K163" s="1159">
        <v>0</v>
      </c>
      <c r="L163" s="1159">
        <v>0</v>
      </c>
      <c r="M163" s="1032">
        <f t="shared" si="14"/>
        <v>0</v>
      </c>
      <c r="N163" s="1022"/>
      <c r="O163" s="1033"/>
      <c r="P163" s="1133"/>
    </row>
    <row r="164" spans="1:16" ht="12" customHeight="1" thickBot="1" x14ac:dyDescent="0.25">
      <c r="A164" s="971" t="s">
        <v>408</v>
      </c>
      <c r="B164" s="972" t="s">
        <v>253</v>
      </c>
      <c r="C164" s="973" t="s">
        <v>16</v>
      </c>
      <c r="D164" s="1045" t="s">
        <v>479</v>
      </c>
      <c r="E164" s="1046">
        <f t="shared" ref="E164:M164" si="15">SUM(E165:E176)</f>
        <v>185221</v>
      </c>
      <c r="F164" s="1046">
        <f t="shared" si="15"/>
        <v>189078</v>
      </c>
      <c r="G164" s="1047">
        <f t="shared" si="15"/>
        <v>202047</v>
      </c>
      <c r="H164" s="1048">
        <f t="shared" si="15"/>
        <v>211471</v>
      </c>
      <c r="I164" s="1160">
        <f t="shared" si="15"/>
        <v>210974</v>
      </c>
      <c r="J164" s="1160">
        <f t="shared" si="15"/>
        <v>215300</v>
      </c>
      <c r="K164" s="1160">
        <v>238774</v>
      </c>
      <c r="L164" s="1160">
        <v>240601</v>
      </c>
      <c r="M164" s="1047">
        <f t="shared" si="15"/>
        <v>251183</v>
      </c>
      <c r="N164" s="1050"/>
      <c r="O164" s="1049"/>
      <c r="P164" s="1144">
        <v>1</v>
      </c>
    </row>
    <row r="165" spans="1:16" ht="12" customHeight="1" x14ac:dyDescent="0.2">
      <c r="A165" s="980">
        <f>A162+1</f>
        <v>120</v>
      </c>
      <c r="B165" s="1051" t="s">
        <v>253</v>
      </c>
      <c r="C165" s="1052" t="s">
        <v>409</v>
      </c>
      <c r="D165" s="1027" t="s">
        <v>566</v>
      </c>
      <c r="E165" s="1053"/>
      <c r="F165" s="1053"/>
      <c r="G165" s="1054"/>
      <c r="H165" s="1195"/>
      <c r="I165" s="1196"/>
      <c r="J165" s="1196"/>
      <c r="K165" s="1196"/>
      <c r="L165" s="1196"/>
      <c r="M165" s="1055"/>
      <c r="N165" s="1056"/>
      <c r="O165" s="943"/>
      <c r="P165" s="1145"/>
    </row>
    <row r="166" spans="1:16" ht="12" customHeight="1" x14ac:dyDescent="0.2">
      <c r="A166" s="1057">
        <f>A165+1</f>
        <v>121</v>
      </c>
      <c r="B166" s="1051" t="s">
        <v>253</v>
      </c>
      <c r="C166" s="1011" t="s">
        <v>418</v>
      </c>
      <c r="D166" s="1027" t="s">
        <v>428</v>
      </c>
      <c r="E166" s="1053"/>
      <c r="F166" s="1053"/>
      <c r="G166" s="1054"/>
      <c r="H166" s="1195"/>
      <c r="I166" s="1196"/>
      <c r="J166" s="1196"/>
      <c r="K166" s="1196"/>
      <c r="L166" s="1196"/>
      <c r="M166" s="1055"/>
      <c r="N166" s="1056"/>
      <c r="O166" s="943"/>
      <c r="P166" s="1145"/>
    </row>
    <row r="167" spans="1:16" ht="12" customHeight="1" x14ac:dyDescent="0.2">
      <c r="A167" s="1057">
        <f t="shared" ref="A167:A176" si="16">A166+1</f>
        <v>122</v>
      </c>
      <c r="B167" s="1051" t="s">
        <v>253</v>
      </c>
      <c r="C167" s="1011" t="s">
        <v>410</v>
      </c>
      <c r="D167" s="1027" t="s">
        <v>429</v>
      </c>
      <c r="E167" s="1053"/>
      <c r="F167" s="1053"/>
      <c r="G167" s="1054"/>
      <c r="H167" s="1195"/>
      <c r="I167" s="1196"/>
      <c r="J167" s="1196"/>
      <c r="K167" s="1196"/>
      <c r="L167" s="1196"/>
      <c r="M167" s="1055"/>
      <c r="N167" s="1056"/>
      <c r="O167" s="943"/>
      <c r="P167" s="1145"/>
    </row>
    <row r="168" spans="1:16" ht="12" customHeight="1" x14ac:dyDescent="0.2">
      <c r="A168" s="1057">
        <f t="shared" si="16"/>
        <v>123</v>
      </c>
      <c r="B168" s="1058" t="s">
        <v>253</v>
      </c>
      <c r="C168" s="1035" t="s">
        <v>419</v>
      </c>
      <c r="D168" s="985" t="s">
        <v>430</v>
      </c>
      <c r="E168" s="1059"/>
      <c r="F168" s="1059"/>
      <c r="G168" s="1060"/>
      <c r="H168" s="944"/>
      <c r="I168" s="1181"/>
      <c r="J168" s="1181"/>
      <c r="K168" s="1181"/>
      <c r="L168" s="1181"/>
      <c r="M168" s="1061"/>
      <c r="N168" s="1062"/>
      <c r="O168" s="943"/>
      <c r="P168" s="1145"/>
    </row>
    <row r="169" spans="1:16" ht="12" customHeight="1" x14ac:dyDescent="0.2">
      <c r="A169" s="1057">
        <f t="shared" si="16"/>
        <v>124</v>
      </c>
      <c r="B169" s="1058" t="s">
        <v>253</v>
      </c>
      <c r="C169" s="1063" t="s">
        <v>411</v>
      </c>
      <c r="D169" s="985" t="s">
        <v>427</v>
      </c>
      <c r="E169" s="946">
        <v>7340</v>
      </c>
      <c r="F169" s="946">
        <v>8006</v>
      </c>
      <c r="G169" s="947">
        <v>6700</v>
      </c>
      <c r="H169" s="944">
        <v>6700</v>
      </c>
      <c r="I169" s="1181">
        <v>6700</v>
      </c>
      <c r="J169" s="1181">
        <v>4559</v>
      </c>
      <c r="K169" s="1181">
        <v>6500</v>
      </c>
      <c r="L169" s="1181">
        <v>6000</v>
      </c>
      <c r="M169" s="942">
        <v>6500</v>
      </c>
      <c r="N169" s="1064"/>
      <c r="O169" s="943"/>
      <c r="P169" s="1144">
        <f>I169/G169-1</f>
        <v>0</v>
      </c>
    </row>
    <row r="170" spans="1:16" ht="12" customHeight="1" x14ac:dyDescent="0.2">
      <c r="A170" s="1057">
        <f t="shared" si="16"/>
        <v>125</v>
      </c>
      <c r="B170" s="1058" t="s">
        <v>253</v>
      </c>
      <c r="C170" s="1011" t="s">
        <v>412</v>
      </c>
      <c r="D170" s="985" t="s">
        <v>431</v>
      </c>
      <c r="E170" s="946">
        <v>1687</v>
      </c>
      <c r="F170" s="946">
        <v>1300</v>
      </c>
      <c r="G170" s="941">
        <v>1300</v>
      </c>
      <c r="H170" s="944">
        <v>3000</v>
      </c>
      <c r="I170" s="1181">
        <v>3000</v>
      </c>
      <c r="J170" s="1181">
        <v>3000</v>
      </c>
      <c r="K170" s="1181">
        <v>3000</v>
      </c>
      <c r="L170" s="1181">
        <v>1000</v>
      </c>
      <c r="M170" s="942">
        <v>0</v>
      </c>
      <c r="N170" s="1064"/>
      <c r="O170" s="943"/>
      <c r="P170" s="1144">
        <f>I170/G170-1</f>
        <v>1.3076923076923075</v>
      </c>
    </row>
    <row r="171" spans="1:16" ht="12" customHeight="1" x14ac:dyDescent="0.2">
      <c r="A171" s="1057">
        <f t="shared" si="16"/>
        <v>126</v>
      </c>
      <c r="B171" s="1058" t="s">
        <v>253</v>
      </c>
      <c r="C171" s="1063" t="s">
        <v>413</v>
      </c>
      <c r="D171" s="985" t="s">
        <v>432</v>
      </c>
      <c r="E171" s="946"/>
      <c r="F171" s="946"/>
      <c r="G171" s="947"/>
      <c r="H171" s="944"/>
      <c r="I171" s="1181"/>
      <c r="J171" s="1181"/>
      <c r="K171" s="1181"/>
      <c r="L171" s="1181"/>
      <c r="M171" s="942"/>
      <c r="N171" s="1062"/>
      <c r="O171" s="943"/>
      <c r="P171" s="1145"/>
    </row>
    <row r="172" spans="1:16" ht="12" customHeight="1" x14ac:dyDescent="0.2">
      <c r="A172" s="1057">
        <f t="shared" si="16"/>
        <v>127</v>
      </c>
      <c r="B172" s="1058" t="s">
        <v>253</v>
      </c>
      <c r="C172" s="1063" t="s">
        <v>414</v>
      </c>
      <c r="D172" s="985" t="s">
        <v>433</v>
      </c>
      <c r="E172" s="946">
        <v>2700</v>
      </c>
      <c r="F172" s="946">
        <v>800</v>
      </c>
      <c r="G172" s="947">
        <v>800</v>
      </c>
      <c r="H172" s="944">
        <f>7724</f>
        <v>7724</v>
      </c>
      <c r="I172" s="1181">
        <f>7724</f>
        <v>7724</v>
      </c>
      <c r="J172" s="1181">
        <v>7724</v>
      </c>
      <c r="K172" s="1181">
        <v>8000</v>
      </c>
      <c r="L172" s="1181">
        <v>7900</v>
      </c>
      <c r="M172" s="942">
        <v>7900</v>
      </c>
      <c r="N172" s="1062"/>
      <c r="O172" s="943"/>
      <c r="P172" s="1144">
        <f>I172/G172-1</f>
        <v>8.6549999999999994</v>
      </c>
    </row>
    <row r="173" spans="1:16" ht="12" customHeight="1" x14ac:dyDescent="0.2">
      <c r="A173" s="1057">
        <f t="shared" si="16"/>
        <v>128</v>
      </c>
      <c r="B173" s="1058" t="s">
        <v>253</v>
      </c>
      <c r="C173" s="1011" t="s">
        <v>415</v>
      </c>
      <c r="D173" s="985" t="s">
        <v>434</v>
      </c>
      <c r="E173" s="946">
        <v>93350</v>
      </c>
      <c r="F173" s="946">
        <v>96197</v>
      </c>
      <c r="G173" s="941">
        <v>96197</v>
      </c>
      <c r="H173" s="944">
        <v>96997</v>
      </c>
      <c r="I173" s="1181">
        <v>96500</v>
      </c>
      <c r="J173" s="1181">
        <v>96197</v>
      </c>
      <c r="K173" s="1181">
        <v>105817</v>
      </c>
      <c r="L173" s="1181">
        <v>110050</v>
      </c>
      <c r="M173" s="942">
        <v>112952</v>
      </c>
      <c r="N173" s="1062"/>
      <c r="O173" s="943"/>
      <c r="P173" s="1144">
        <f>I173/G173-1</f>
        <v>3.149786375874486E-3</v>
      </c>
    </row>
    <row r="174" spans="1:16" ht="12" customHeight="1" x14ac:dyDescent="0.2">
      <c r="A174" s="1057">
        <f t="shared" si="16"/>
        <v>129</v>
      </c>
      <c r="B174" s="1058" t="s">
        <v>253</v>
      </c>
      <c r="C174" s="1063" t="s">
        <v>416</v>
      </c>
      <c r="D174" s="985" t="s">
        <v>435</v>
      </c>
      <c r="E174" s="946"/>
      <c r="F174" s="946"/>
      <c r="G174" s="947"/>
      <c r="H174" s="944"/>
      <c r="I174" s="1181"/>
      <c r="J174" s="1181"/>
      <c r="K174" s="1181"/>
      <c r="L174" s="1181"/>
      <c r="M174" s="942"/>
      <c r="N174" s="1062"/>
      <c r="O174" s="943"/>
      <c r="P174" s="1145"/>
    </row>
    <row r="175" spans="1:16" ht="12" customHeight="1" x14ac:dyDescent="0.2">
      <c r="A175" s="1057">
        <f t="shared" si="16"/>
        <v>130</v>
      </c>
      <c r="B175" s="1058" t="s">
        <v>253</v>
      </c>
      <c r="C175" s="1011" t="s">
        <v>417</v>
      </c>
      <c r="D175" s="985" t="s">
        <v>436</v>
      </c>
      <c r="E175" s="946">
        <v>7278</v>
      </c>
      <c r="F175" s="946">
        <v>8000</v>
      </c>
      <c r="G175" s="941">
        <v>9450</v>
      </c>
      <c r="H175" s="944">
        <f>G175*$P$164</f>
        <v>9450</v>
      </c>
      <c r="I175" s="1181">
        <f>H175*$P$164</f>
        <v>9450</v>
      </c>
      <c r="J175" s="1181">
        <v>9450</v>
      </c>
      <c r="K175" s="1181">
        <v>11650</v>
      </c>
      <c r="L175" s="1181">
        <v>11650</v>
      </c>
      <c r="M175" s="942">
        <v>12150</v>
      </c>
      <c r="N175" s="1064"/>
      <c r="O175" s="943"/>
      <c r="P175" s="1144">
        <f>I175/G175-1</f>
        <v>0</v>
      </c>
    </row>
    <row r="176" spans="1:16" ht="12" customHeight="1" thickBot="1" x14ac:dyDescent="0.25">
      <c r="A176" s="1057">
        <f t="shared" si="16"/>
        <v>131</v>
      </c>
      <c r="B176" s="1066" t="s">
        <v>253</v>
      </c>
      <c r="C176" s="1067" t="s">
        <v>407</v>
      </c>
      <c r="D176" s="1068" t="s">
        <v>437</v>
      </c>
      <c r="E176" s="1069">
        <v>72866</v>
      </c>
      <c r="F176" s="1069">
        <v>74775</v>
      </c>
      <c r="G176" s="1070">
        <v>87600</v>
      </c>
      <c r="H176" s="1185">
        <f>G176*$P$164</f>
        <v>87600</v>
      </c>
      <c r="I176" s="1186">
        <v>87600</v>
      </c>
      <c r="J176" s="1186">
        <v>94370</v>
      </c>
      <c r="K176" s="1184">
        <v>103807.00000000001</v>
      </c>
      <c r="L176" s="1184">
        <v>104001</v>
      </c>
      <c r="M176" s="942">
        <v>111681</v>
      </c>
      <c r="N176" s="1072"/>
      <c r="O176" s="1071"/>
      <c r="P176" s="1144">
        <f>I176/G176-1</f>
        <v>0</v>
      </c>
    </row>
    <row r="177" spans="1:16" ht="12" customHeight="1" thickBot="1" x14ac:dyDescent="0.25">
      <c r="A177" s="1077"/>
      <c r="B177" s="1077"/>
      <c r="C177" s="1078"/>
      <c r="D177" s="1079"/>
      <c r="E177" s="1080"/>
      <c r="F177" s="1080"/>
      <c r="G177" s="1080"/>
      <c r="H177" s="1080"/>
      <c r="I177" s="1080"/>
      <c r="J177" s="1080"/>
      <c r="K177" s="1080"/>
      <c r="L177" s="1080"/>
      <c r="M177" s="1080"/>
      <c r="N177" s="1081"/>
      <c r="O177" s="1082"/>
      <c r="P177" s="1065"/>
    </row>
    <row r="178" spans="1:16" ht="12" customHeight="1" thickBot="1" x14ac:dyDescent="0.25">
      <c r="A178" s="1135"/>
      <c r="B178" s="1136"/>
      <c r="C178" s="1137" t="s">
        <v>16</v>
      </c>
      <c r="D178" s="1137" t="s">
        <v>465</v>
      </c>
      <c r="E178" s="1125">
        <f t="shared" ref="E178:M178" si="17">E27+E6</f>
        <v>369160</v>
      </c>
      <c r="F178" s="1125">
        <f t="shared" si="17"/>
        <v>353488</v>
      </c>
      <c r="G178" s="1125">
        <f t="shared" si="17"/>
        <v>331625</v>
      </c>
      <c r="H178" s="1125">
        <f t="shared" si="17"/>
        <v>337323</v>
      </c>
      <c r="I178" s="1125">
        <f t="shared" si="17"/>
        <v>280968</v>
      </c>
      <c r="J178" s="1125">
        <f t="shared" si="17"/>
        <v>293158</v>
      </c>
      <c r="K178" s="1163">
        <f t="shared" si="17"/>
        <v>334062.25</v>
      </c>
      <c r="L178" s="1163">
        <f t="shared" si="17"/>
        <v>326233</v>
      </c>
      <c r="M178" s="1163">
        <f t="shared" si="17"/>
        <v>340876</v>
      </c>
      <c r="N178" s="1084"/>
      <c r="O178" s="889"/>
      <c r="P178" s="889"/>
    </row>
    <row r="179" spans="1:16" ht="12" customHeight="1" thickBot="1" x14ac:dyDescent="0.25">
      <c r="A179" s="1086"/>
      <c r="B179" s="1086"/>
      <c r="C179" s="1087"/>
      <c r="D179" s="1088"/>
      <c r="E179" s="1089"/>
      <c r="F179" s="1089"/>
      <c r="G179" s="1089"/>
      <c r="H179" s="1089"/>
      <c r="I179" s="1089"/>
      <c r="J179" s="1089"/>
      <c r="K179" s="1089"/>
      <c r="L179" s="1089"/>
      <c r="M179" s="1089"/>
      <c r="N179" s="1084"/>
      <c r="O179" s="889"/>
      <c r="P179" s="889"/>
    </row>
    <row r="180" spans="1:16" ht="12" customHeight="1" thickBot="1" x14ac:dyDescent="0.25">
      <c r="A180" s="1135"/>
      <c r="B180" s="1136"/>
      <c r="C180" s="1137" t="s">
        <v>16</v>
      </c>
      <c r="D180" s="1137" t="s">
        <v>175</v>
      </c>
      <c r="E180" s="1083">
        <f t="shared" ref="E180:M180" si="18">E164+E27</f>
        <v>308694</v>
      </c>
      <c r="F180" s="1083">
        <f t="shared" si="18"/>
        <v>333601</v>
      </c>
      <c r="G180" s="1083">
        <f t="shared" si="18"/>
        <v>348662</v>
      </c>
      <c r="H180" s="1083">
        <f t="shared" si="18"/>
        <v>395900</v>
      </c>
      <c r="I180" s="1125">
        <f t="shared" si="18"/>
        <v>396886</v>
      </c>
      <c r="J180" s="1125">
        <f t="shared" si="18"/>
        <v>417126</v>
      </c>
      <c r="K180" s="1163">
        <f t="shared" si="18"/>
        <v>449006.25</v>
      </c>
      <c r="L180" s="1163">
        <f t="shared" si="18"/>
        <v>452704</v>
      </c>
      <c r="M180" s="1163">
        <f t="shared" si="18"/>
        <v>477839</v>
      </c>
      <c r="N180" s="1084"/>
      <c r="O180" s="889"/>
      <c r="P180" s="889"/>
    </row>
    <row r="181" spans="1:16" ht="12" customHeight="1" thickBot="1" x14ac:dyDescent="0.25">
      <c r="A181" s="1086"/>
      <c r="B181" s="1086"/>
      <c r="C181" s="1087"/>
      <c r="D181" s="1088"/>
      <c r="E181" s="1089"/>
      <c r="F181" s="1089"/>
      <c r="G181" s="1089"/>
      <c r="H181" s="1089"/>
      <c r="I181" s="1089"/>
      <c r="J181" s="1089"/>
      <c r="K181" s="1089"/>
      <c r="L181" s="1089"/>
      <c r="M181" s="1089"/>
      <c r="N181" s="1084"/>
      <c r="O181" s="889"/>
      <c r="P181" s="889"/>
    </row>
    <row r="182" spans="1:16" ht="12" customHeight="1" thickBot="1" x14ac:dyDescent="0.25">
      <c r="A182" s="1135"/>
      <c r="B182" s="1136"/>
      <c r="C182" s="1137" t="s">
        <v>16</v>
      </c>
      <c r="D182" s="1137" t="s">
        <v>176</v>
      </c>
      <c r="E182" s="1083">
        <f t="shared" ref="E182:M182" si="19">E6+E27+E164</f>
        <v>554381</v>
      </c>
      <c r="F182" s="1083">
        <f t="shared" si="19"/>
        <v>542566</v>
      </c>
      <c r="G182" s="1083">
        <f t="shared" si="19"/>
        <v>533672</v>
      </c>
      <c r="H182" s="1083">
        <f t="shared" si="19"/>
        <v>548794</v>
      </c>
      <c r="I182" s="1125">
        <f t="shared" si="19"/>
        <v>491942</v>
      </c>
      <c r="J182" s="1125">
        <f t="shared" si="19"/>
        <v>508458</v>
      </c>
      <c r="K182" s="1163">
        <f t="shared" si="19"/>
        <v>572836.25</v>
      </c>
      <c r="L182" s="1163">
        <f t="shared" si="19"/>
        <v>566834</v>
      </c>
      <c r="M182" s="1163">
        <f t="shared" si="19"/>
        <v>592059</v>
      </c>
      <c r="N182" s="1084"/>
      <c r="O182" s="889"/>
      <c r="P182" s="889"/>
    </row>
    <row r="183" spans="1:16" ht="12" customHeight="1" x14ac:dyDescent="0.2">
      <c r="A183" s="1090"/>
      <c r="B183" s="1090"/>
      <c r="C183" s="1091"/>
      <c r="D183" s="1092" t="s">
        <v>404</v>
      </c>
      <c r="E183" s="1093"/>
      <c r="F183" s="1093">
        <f>F182/E182-100%</f>
        <v>-2.1312057952924124E-2</v>
      </c>
      <c r="G183" s="1093">
        <f>G182/F182-100%</f>
        <v>-1.6392475754101854E-2</v>
      </c>
      <c r="I183" s="1093">
        <f>I182/H182-100%</f>
        <v>-0.10359442705277389</v>
      </c>
      <c r="J183" s="1093">
        <f>J182/I182-100%</f>
        <v>3.3573063491224575E-2</v>
      </c>
      <c r="K183" s="1093">
        <f>K182/J182-100%</f>
        <v>0.12661468597209602</v>
      </c>
      <c r="L183" s="1093">
        <f>L182/K182-100%</f>
        <v>-1.0478125293223006E-2</v>
      </c>
      <c r="M183" s="1093">
        <f>M182/K182-100%</f>
        <v>3.355714656675457E-2</v>
      </c>
      <c r="N183" s="1084"/>
      <c r="O183" s="1085"/>
    </row>
    <row r="184" spans="1:16" s="902" customFormat="1" ht="12" customHeight="1" x14ac:dyDescent="0.2">
      <c r="A184" s="1090"/>
      <c r="B184" s="1090"/>
      <c r="C184" s="1091"/>
      <c r="D184" s="1095"/>
      <c r="E184" s="1096"/>
      <c r="F184" s="1096">
        <f>F182-E182</f>
        <v>-11815</v>
      </c>
      <c r="G184" s="1096">
        <f>G182-F182</f>
        <v>-8894</v>
      </c>
      <c r="H184" s="1097"/>
      <c r="I184" s="1096">
        <f>I182-H182</f>
        <v>-56852</v>
      </c>
      <c r="J184" s="1096">
        <f>J182-I182</f>
        <v>16516</v>
      </c>
      <c r="K184" s="1096">
        <f>K182-J182</f>
        <v>64378.25</v>
      </c>
      <c r="L184" s="1096">
        <f>L182-K182</f>
        <v>-6002.25</v>
      </c>
      <c r="M184" s="1096">
        <f>M182-K182</f>
        <v>19222.75</v>
      </c>
      <c r="N184" s="1090"/>
      <c r="O184" s="1098"/>
      <c r="P184" s="894"/>
    </row>
    <row r="185" spans="1:16" ht="12" customHeight="1" thickBot="1" x14ac:dyDescent="0.25">
      <c r="A185" s="1090"/>
      <c r="B185" s="1099" t="s">
        <v>454</v>
      </c>
      <c r="C185" s="1091"/>
      <c r="D185" s="1100"/>
      <c r="H185" s="1089"/>
      <c r="I185" s="1089"/>
      <c r="J185" s="1089"/>
      <c r="K185" s="1089"/>
      <c r="L185" s="1089"/>
      <c r="M185" s="1089"/>
      <c r="N185" s="1090"/>
      <c r="O185" s="1098"/>
    </row>
    <row r="186" spans="1:16" ht="12" customHeight="1" thickBot="1" x14ac:dyDescent="0.25">
      <c r="A186" s="1101"/>
      <c r="B186" s="1102"/>
      <c r="C186" s="1103"/>
      <c r="D186" s="1104" t="s">
        <v>440</v>
      </c>
      <c r="E186" s="1105">
        <f t="shared" ref="E186:M186" si="20">SUBTOTAL(9,E8:E11,E12,E14:E25)</f>
        <v>244687</v>
      </c>
      <c r="F186" s="1105">
        <f t="shared" si="20"/>
        <v>208965</v>
      </c>
      <c r="G186" s="1105">
        <f t="shared" si="20"/>
        <v>185010</v>
      </c>
      <c r="H186" s="1106">
        <f t="shared" si="20"/>
        <v>149294</v>
      </c>
      <c r="I186" s="1164">
        <f t="shared" si="20"/>
        <v>95056</v>
      </c>
      <c r="J186" s="1164">
        <f t="shared" si="20"/>
        <v>91332</v>
      </c>
      <c r="K186" s="1107">
        <f t="shared" si="20"/>
        <v>123830</v>
      </c>
      <c r="L186" s="1107">
        <f t="shared" si="20"/>
        <v>114130</v>
      </c>
      <c r="M186" s="1107">
        <f t="shared" si="20"/>
        <v>114220</v>
      </c>
      <c r="N186" s="1084"/>
      <c r="O186" s="1085"/>
      <c r="P186" s="1065"/>
    </row>
    <row r="187" spans="1:16" ht="12" customHeight="1" thickBot="1" x14ac:dyDescent="0.25">
      <c r="A187" s="1101"/>
      <c r="B187" s="1102"/>
      <c r="C187" s="1103"/>
      <c r="D187" s="1104" t="s">
        <v>438</v>
      </c>
      <c r="E187" s="1105">
        <f t="shared" ref="E187:L187" si="21">SUBTOTAL(9,E28:E92,E94:E96,E98:E99,E101:E103,E105:E106,E108:E110,E112,E114:E115,E117:E118,E120,E122:E127,E129,E131,E133,E135:E156,E162)</f>
        <v>110090</v>
      </c>
      <c r="F187" s="1105">
        <f t="shared" si="21"/>
        <v>133157</v>
      </c>
      <c r="G187" s="1105">
        <f t="shared" si="21"/>
        <v>146615</v>
      </c>
      <c r="H187" s="1106">
        <f t="shared" si="21"/>
        <v>184429</v>
      </c>
      <c r="I187" s="1176">
        <f t="shared" si="21"/>
        <v>185912</v>
      </c>
      <c r="J187" s="1176">
        <f t="shared" si="21"/>
        <v>201826</v>
      </c>
      <c r="K187" s="1107">
        <f t="shared" si="21"/>
        <v>210232.25</v>
      </c>
      <c r="L187" s="1107">
        <f t="shared" si="21"/>
        <v>212103</v>
      </c>
      <c r="M187" s="1107">
        <f>SUBTOTAL(9,M28:M92,M94:M96,M98:M99,M101:M103,M105:M106,M108:M110,M112,M114:M115,M117:M118,M120,M122:M127,M129,M131,M133,M135:M160,M162)</f>
        <v>226656</v>
      </c>
      <c r="N187" s="1084"/>
      <c r="O187" s="1085"/>
      <c r="P187" s="1065"/>
    </row>
    <row r="188" spans="1:16" ht="12" customHeight="1" thickBot="1" x14ac:dyDescent="0.25">
      <c r="A188" s="1101"/>
      <c r="B188" s="1102"/>
      <c r="C188" s="1103"/>
      <c r="D188" s="1104" t="s">
        <v>439</v>
      </c>
      <c r="E188" s="1105">
        <f t="shared" ref="E188:M188" si="22">SUBTOTAL(9,E165:E176)</f>
        <v>185221</v>
      </c>
      <c r="F188" s="1105">
        <f t="shared" si="22"/>
        <v>189078</v>
      </c>
      <c r="G188" s="1105">
        <f t="shared" si="22"/>
        <v>202047</v>
      </c>
      <c r="H188" s="1106">
        <f t="shared" si="22"/>
        <v>211471</v>
      </c>
      <c r="I188" s="1164">
        <f t="shared" si="22"/>
        <v>210974</v>
      </c>
      <c r="J188" s="1164">
        <f>SUBTOTAL(9,J165:J176)</f>
        <v>215300</v>
      </c>
      <c r="K188" s="1107">
        <f t="shared" ref="K188:L188" si="23">SUBTOTAL(9,K165:K176)</f>
        <v>238774</v>
      </c>
      <c r="L188" s="1107">
        <f t="shared" si="23"/>
        <v>240601</v>
      </c>
      <c r="M188" s="1107">
        <f t="shared" si="22"/>
        <v>251183</v>
      </c>
      <c r="N188" s="1084"/>
      <c r="O188" s="1085"/>
      <c r="P188" s="1065"/>
    </row>
    <row r="189" spans="1:16" ht="12" customHeight="1" thickBot="1" x14ac:dyDescent="0.25">
      <c r="A189" s="1108"/>
      <c r="B189" s="1109"/>
      <c r="C189" s="1110"/>
      <c r="D189" s="1111" t="s">
        <v>453</v>
      </c>
      <c r="E189" s="1112">
        <f t="shared" ref="E189:I189" si="24">E186+E187+E188</f>
        <v>539998</v>
      </c>
      <c r="F189" s="1112">
        <f t="shared" si="24"/>
        <v>531200</v>
      </c>
      <c r="G189" s="1112">
        <f t="shared" si="24"/>
        <v>533672</v>
      </c>
      <c r="H189" s="1113">
        <f t="shared" si="24"/>
        <v>545194</v>
      </c>
      <c r="I189" s="1165">
        <f t="shared" si="24"/>
        <v>491942</v>
      </c>
      <c r="J189" s="1165">
        <f>J186+J187+J188</f>
        <v>508458</v>
      </c>
      <c r="K189" s="1114">
        <f t="shared" ref="K189:L189" si="25">K186+K187+K188</f>
        <v>572836.25</v>
      </c>
      <c r="L189" s="1114">
        <f t="shared" si="25"/>
        <v>566834</v>
      </c>
      <c r="M189" s="1114">
        <f>M186+M187+M188</f>
        <v>592059</v>
      </c>
      <c r="N189" s="1090"/>
      <c r="O189" s="1098"/>
    </row>
    <row r="190" spans="1:16" ht="12" customHeight="1" x14ac:dyDescent="0.2">
      <c r="A190" s="1090"/>
      <c r="B190" s="1090"/>
      <c r="C190" s="1091"/>
      <c r="E190" s="1115"/>
      <c r="F190" s="1115" t="s">
        <v>253</v>
      </c>
      <c r="G190" s="1089">
        <v>74775</v>
      </c>
      <c r="H190" s="1089">
        <v>74775</v>
      </c>
      <c r="I190" s="1089"/>
      <c r="J190" s="1089"/>
      <c r="K190" s="1089"/>
      <c r="L190" s="1089"/>
      <c r="M190" s="1089"/>
      <c r="N190" s="1090"/>
      <c r="O190" s="1098"/>
    </row>
    <row r="191" spans="1:16" ht="12" customHeight="1" x14ac:dyDescent="0.2">
      <c r="A191" s="1090"/>
      <c r="B191" s="1090"/>
      <c r="C191" s="1091"/>
      <c r="E191" s="1115"/>
      <c r="F191" s="1115" t="s">
        <v>325</v>
      </c>
      <c r="G191" s="1089">
        <v>12825</v>
      </c>
      <c r="H191" s="1089">
        <v>21100</v>
      </c>
      <c r="I191" s="1089"/>
      <c r="J191" s="1089"/>
      <c r="K191" s="1089"/>
      <c r="L191" s="1089"/>
      <c r="M191" s="1089"/>
      <c r="N191" s="1090"/>
      <c r="O191" s="1098"/>
    </row>
    <row r="192" spans="1:16" ht="12" customHeight="1" x14ac:dyDescent="0.2">
      <c r="A192" s="1090"/>
      <c r="B192" s="1090"/>
      <c r="C192" s="1091"/>
      <c r="D192" s="1100"/>
      <c r="E192" s="1100"/>
      <c r="F192" s="1100"/>
      <c r="G192" s="1117">
        <f>SUM(G190:G191)</f>
        <v>87600</v>
      </c>
      <c r="H192" s="1117">
        <f>SUM(H190:H191)</f>
        <v>95875</v>
      </c>
      <c r="I192" s="1089"/>
      <c r="J192" s="1089"/>
      <c r="K192" s="1089"/>
      <c r="L192" s="1089"/>
      <c r="M192" s="1089"/>
      <c r="N192" s="1090"/>
      <c r="O192" s="1098"/>
    </row>
    <row r="193" spans="1:16" ht="12" customHeight="1" x14ac:dyDescent="0.2">
      <c r="A193" s="1090"/>
      <c r="B193" s="1090"/>
      <c r="C193" s="1091"/>
      <c r="D193" s="1118"/>
      <c r="E193" s="1116"/>
      <c r="F193" s="1116"/>
      <c r="G193" s="1116"/>
      <c r="H193" s="1116"/>
      <c r="I193" s="1089"/>
      <c r="J193" s="1089"/>
      <c r="K193" s="1089"/>
      <c r="L193" s="1089"/>
      <c r="M193" s="1089"/>
      <c r="N193" s="1090"/>
      <c r="O193" s="1098"/>
    </row>
    <row r="194" spans="1:16" ht="12" customHeight="1" x14ac:dyDescent="0.2">
      <c r="A194" s="1090"/>
      <c r="B194" s="1090"/>
      <c r="C194" s="1091"/>
      <c r="D194" s="1100"/>
      <c r="E194" s="1116"/>
      <c r="F194" s="1116"/>
      <c r="G194" s="1116"/>
      <c r="H194" s="1116"/>
      <c r="I194" s="1116"/>
      <c r="J194" s="1116"/>
      <c r="K194" s="1116"/>
      <c r="L194" s="1116"/>
      <c r="M194" s="1116"/>
      <c r="N194" s="1090"/>
      <c r="O194" s="1098"/>
    </row>
    <row r="195" spans="1:16" ht="12" customHeight="1" x14ac:dyDescent="0.2">
      <c r="A195" s="1118"/>
      <c r="B195" s="1118"/>
      <c r="C195" s="1119"/>
      <c r="D195" s="1120"/>
      <c r="E195" s="1116"/>
      <c r="F195" s="1116"/>
      <c r="G195" s="1116"/>
      <c r="H195" s="1116"/>
      <c r="I195" s="1116"/>
      <c r="J195" s="1116"/>
      <c r="K195" s="1116"/>
      <c r="L195" s="1116"/>
      <c r="M195" s="1116"/>
      <c r="N195" s="1090"/>
      <c r="O195" s="1121"/>
    </row>
    <row r="196" spans="1:16" ht="12" customHeight="1" x14ac:dyDescent="0.2">
      <c r="A196" s="1090"/>
      <c r="B196" s="1090"/>
      <c r="C196" s="1091"/>
      <c r="D196" s="1100"/>
      <c r="E196" s="1116"/>
      <c r="F196" s="1116"/>
      <c r="G196" s="1116"/>
      <c r="H196" s="1116"/>
      <c r="I196" s="1116"/>
      <c r="J196" s="1116"/>
      <c r="K196" s="1116"/>
      <c r="L196" s="1116"/>
      <c r="M196" s="1116"/>
      <c r="N196" s="1090"/>
      <c r="O196" s="1098"/>
    </row>
    <row r="197" spans="1:16" ht="12" customHeight="1" x14ac:dyDescent="0.2">
      <c r="A197" s="1090"/>
      <c r="B197" s="1090"/>
      <c r="C197" s="1091"/>
      <c r="D197" s="1100"/>
      <c r="E197" s="1116"/>
      <c r="F197" s="1116"/>
      <c r="G197" s="1116"/>
      <c r="H197" s="1116"/>
      <c r="I197" s="1116"/>
      <c r="J197" s="1116"/>
      <c r="K197" s="1116"/>
      <c r="L197" s="1116"/>
      <c r="M197" s="1116"/>
      <c r="N197" s="1090"/>
      <c r="O197" s="1098"/>
    </row>
    <row r="198" spans="1:16" ht="12" customHeight="1" x14ac:dyDescent="0.2">
      <c r="A198" s="1090"/>
      <c r="B198" s="1090"/>
      <c r="C198" s="1091"/>
      <c r="D198" s="1100"/>
      <c r="E198" s="1116"/>
      <c r="F198" s="1116"/>
      <c r="G198" s="1116"/>
      <c r="H198" s="1116"/>
      <c r="I198" s="1116"/>
      <c r="J198" s="1116"/>
      <c r="K198" s="1116"/>
      <c r="L198" s="1116"/>
      <c r="M198" s="1116"/>
      <c r="N198" s="1090"/>
      <c r="O198" s="1098"/>
      <c r="P198" s="1122"/>
    </row>
    <row r="199" spans="1:16" ht="12" customHeight="1" x14ac:dyDescent="0.2">
      <c r="A199" s="1090"/>
      <c r="B199" s="1090"/>
      <c r="C199" s="1091"/>
      <c r="D199" s="1100"/>
      <c r="E199" s="1116"/>
      <c r="F199" s="1116"/>
      <c r="G199" s="1116"/>
      <c r="H199" s="1116"/>
      <c r="I199" s="1116"/>
      <c r="J199" s="1116"/>
      <c r="K199" s="1116"/>
      <c r="L199" s="1116"/>
      <c r="M199" s="1116"/>
      <c r="N199" s="1090"/>
      <c r="O199" s="1098"/>
      <c r="P199" s="1122"/>
    </row>
    <row r="200" spans="1:16" ht="12" customHeight="1" x14ac:dyDescent="0.2">
      <c r="E200" s="1123"/>
      <c r="F200" s="1123"/>
      <c r="G200" s="1123"/>
      <c r="H200" s="1123"/>
      <c r="I200" s="1123"/>
      <c r="J200" s="1123"/>
      <c r="K200" s="1123"/>
      <c r="L200" s="1123"/>
      <c r="M200" s="1123"/>
      <c r="P200" s="1122"/>
    </row>
    <row r="201" spans="1:16" ht="12" customHeight="1" x14ac:dyDescent="0.2">
      <c r="E201" s="1123"/>
      <c r="F201" s="1123"/>
      <c r="G201" s="1123"/>
      <c r="H201" s="1123"/>
      <c r="I201" s="1123"/>
      <c r="J201" s="1123"/>
      <c r="K201" s="1123"/>
      <c r="L201" s="1123"/>
      <c r="M201" s="1123"/>
      <c r="P201" s="1122"/>
    </row>
    <row r="202" spans="1:16" ht="12" customHeight="1" x14ac:dyDescent="0.2">
      <c r="E202" s="1123"/>
      <c r="F202" s="1123"/>
      <c r="G202" s="1123"/>
      <c r="H202" s="1123"/>
      <c r="I202" s="1123"/>
      <c r="J202" s="1123"/>
      <c r="K202" s="1123"/>
      <c r="L202" s="1123"/>
      <c r="M202" s="1123"/>
      <c r="P202" s="1122"/>
    </row>
    <row r="203" spans="1:16" s="902" customFormat="1" ht="12" customHeight="1" x14ac:dyDescent="0.2">
      <c r="A203" s="900"/>
      <c r="B203" s="900"/>
      <c r="C203" s="901"/>
      <c r="D203" s="889"/>
      <c r="E203" s="1123"/>
      <c r="F203" s="1123"/>
      <c r="G203" s="1123"/>
      <c r="H203" s="1123"/>
      <c r="I203" s="1123"/>
      <c r="J203" s="1123"/>
      <c r="K203" s="1123"/>
      <c r="L203" s="1123"/>
      <c r="M203" s="1123"/>
      <c r="N203" s="900"/>
      <c r="O203" s="1124"/>
      <c r="P203" s="1122"/>
    </row>
    <row r="204" spans="1:16" ht="12" customHeight="1" x14ac:dyDescent="0.2">
      <c r="P204" s="1122"/>
    </row>
    <row r="205" spans="1:16" ht="12" customHeight="1" x14ac:dyDescent="0.2">
      <c r="A205" s="889"/>
      <c r="B205" s="889"/>
      <c r="C205" s="889"/>
      <c r="E205" s="889"/>
      <c r="F205" s="889"/>
      <c r="G205" s="889"/>
      <c r="H205" s="889"/>
      <c r="I205" s="889"/>
      <c r="J205" s="889"/>
      <c r="K205" s="889"/>
      <c r="L205" s="889"/>
      <c r="M205" s="889"/>
      <c r="N205" s="889"/>
      <c r="O205" s="889"/>
      <c r="P205" s="1122"/>
    </row>
    <row r="206" spans="1:16" ht="12" customHeight="1" x14ac:dyDescent="0.2">
      <c r="A206" s="889"/>
      <c r="B206" s="889"/>
      <c r="C206" s="889"/>
      <c r="E206" s="889"/>
      <c r="F206" s="889"/>
      <c r="G206" s="889"/>
      <c r="H206" s="889"/>
      <c r="I206" s="889"/>
      <c r="J206" s="889"/>
      <c r="K206" s="889"/>
      <c r="L206" s="889"/>
      <c r="M206" s="889"/>
      <c r="N206" s="889"/>
      <c r="O206" s="889"/>
      <c r="P206" s="1122"/>
    </row>
    <row r="207" spans="1:16" ht="12" customHeight="1" x14ac:dyDescent="0.2">
      <c r="A207" s="889"/>
      <c r="B207" s="889"/>
      <c r="C207" s="889"/>
      <c r="E207" s="889"/>
      <c r="F207" s="889"/>
      <c r="G207" s="889"/>
      <c r="H207" s="889"/>
      <c r="I207" s="889"/>
      <c r="J207" s="889"/>
      <c r="K207" s="889"/>
      <c r="L207" s="889"/>
      <c r="M207" s="889"/>
      <c r="N207" s="889"/>
      <c r="O207" s="889"/>
      <c r="P207" s="1122"/>
    </row>
  </sheetData>
  <autoFilter ref="A5:O176"/>
  <dataConsolidate link="1"/>
  <phoneticPr fontId="5" type="noConversion"/>
  <printOptions horizontalCentered="1"/>
  <pageMargins left="0.39370078740157483" right="0.27559055118110237" top="0.31496062992125984" bottom="0.23622047244094491" header="0.19685039370078741" footer="0.11811023622047245"/>
  <pageSetup paperSize="8" scale="80" orientation="portrait" r:id="rId1"/>
  <headerFooter alignWithMargins="0">
    <oddFooter>&amp;A&amp;RStránka &amp;P</oddFooter>
  </headerFooter>
  <rowBreaks count="1" manualBreakCount="1">
    <brk id="121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="70" zoomScaleNormal="70" workbookViewId="0"/>
  </sheetViews>
  <sheetFormatPr defaultRowHeight="12.75" outlineLevelRow="1" outlineLevelCol="1" x14ac:dyDescent="0.2"/>
  <cols>
    <col min="1" max="1" width="4.85546875" style="1331" customWidth="1"/>
    <col min="2" max="2" width="7.5703125" style="1545" customWidth="1"/>
    <col min="3" max="3" width="9.42578125" style="1332" customWidth="1"/>
    <col min="4" max="4" width="45" style="1333" customWidth="1"/>
    <col min="5" max="5" width="10.5703125" style="1327" customWidth="1" outlineLevel="1"/>
    <col min="6" max="6" width="20.5703125" style="1334" customWidth="1" outlineLevel="1"/>
    <col min="7" max="7" width="19" style="1334" customWidth="1" outlineLevel="1"/>
    <col min="8" max="8" width="17.140625" style="1334" customWidth="1" outlineLevel="1"/>
    <col min="9" max="9" width="15.140625" style="1334" customWidth="1" outlineLevel="1"/>
    <col min="10" max="10" width="15.7109375" style="1334" customWidth="1" outlineLevel="1"/>
    <col min="11" max="11" width="22.140625" style="1331" hidden="1" customWidth="1"/>
    <col min="12" max="12" width="18.140625" style="1327" customWidth="1"/>
    <col min="13" max="256" width="9.140625" style="1327"/>
    <col min="257" max="257" width="4.85546875" style="1327" customWidth="1"/>
    <col min="258" max="258" width="7.5703125" style="1327" customWidth="1"/>
    <col min="259" max="259" width="9.42578125" style="1327" customWidth="1"/>
    <col min="260" max="260" width="45" style="1327" customWidth="1"/>
    <col min="261" max="261" width="10.5703125" style="1327" customWidth="1"/>
    <col min="262" max="262" width="20.5703125" style="1327" customWidth="1"/>
    <col min="263" max="263" width="19" style="1327" customWidth="1"/>
    <col min="264" max="264" width="17.140625" style="1327" customWidth="1"/>
    <col min="265" max="265" width="15.140625" style="1327" customWidth="1"/>
    <col min="266" max="266" width="15.7109375" style="1327" customWidth="1"/>
    <col min="267" max="267" width="0" style="1327" hidden="1" customWidth="1"/>
    <col min="268" max="268" width="18.140625" style="1327" customWidth="1"/>
    <col min="269" max="512" width="9.140625" style="1327"/>
    <col min="513" max="513" width="4.85546875" style="1327" customWidth="1"/>
    <col min="514" max="514" width="7.5703125" style="1327" customWidth="1"/>
    <col min="515" max="515" width="9.42578125" style="1327" customWidth="1"/>
    <col min="516" max="516" width="45" style="1327" customWidth="1"/>
    <col min="517" max="517" width="10.5703125" style="1327" customWidth="1"/>
    <col min="518" max="518" width="20.5703125" style="1327" customWidth="1"/>
    <col min="519" max="519" width="19" style="1327" customWidth="1"/>
    <col min="520" max="520" width="17.140625" style="1327" customWidth="1"/>
    <col min="521" max="521" width="15.140625" style="1327" customWidth="1"/>
    <col min="522" max="522" width="15.7109375" style="1327" customWidth="1"/>
    <col min="523" max="523" width="0" style="1327" hidden="1" customWidth="1"/>
    <col min="524" max="524" width="18.140625" style="1327" customWidth="1"/>
    <col min="525" max="768" width="9.140625" style="1327"/>
    <col min="769" max="769" width="4.85546875" style="1327" customWidth="1"/>
    <col min="770" max="770" width="7.5703125" style="1327" customWidth="1"/>
    <col min="771" max="771" width="9.42578125" style="1327" customWidth="1"/>
    <col min="772" max="772" width="45" style="1327" customWidth="1"/>
    <col min="773" max="773" width="10.5703125" style="1327" customWidth="1"/>
    <col min="774" max="774" width="20.5703125" style="1327" customWidth="1"/>
    <col min="775" max="775" width="19" style="1327" customWidth="1"/>
    <col min="776" max="776" width="17.140625" style="1327" customWidth="1"/>
    <col min="777" max="777" width="15.140625" style="1327" customWidth="1"/>
    <col min="778" max="778" width="15.7109375" style="1327" customWidth="1"/>
    <col min="779" max="779" width="0" style="1327" hidden="1" customWidth="1"/>
    <col min="780" max="780" width="18.140625" style="1327" customWidth="1"/>
    <col min="781" max="1024" width="9.140625" style="1327"/>
    <col min="1025" max="1025" width="4.85546875" style="1327" customWidth="1"/>
    <col min="1026" max="1026" width="7.5703125" style="1327" customWidth="1"/>
    <col min="1027" max="1027" width="9.42578125" style="1327" customWidth="1"/>
    <col min="1028" max="1028" width="45" style="1327" customWidth="1"/>
    <col min="1029" max="1029" width="10.5703125" style="1327" customWidth="1"/>
    <col min="1030" max="1030" width="20.5703125" style="1327" customWidth="1"/>
    <col min="1031" max="1031" width="19" style="1327" customWidth="1"/>
    <col min="1032" max="1032" width="17.140625" style="1327" customWidth="1"/>
    <col min="1033" max="1033" width="15.140625" style="1327" customWidth="1"/>
    <col min="1034" max="1034" width="15.7109375" style="1327" customWidth="1"/>
    <col min="1035" max="1035" width="0" style="1327" hidden="1" customWidth="1"/>
    <col min="1036" max="1036" width="18.140625" style="1327" customWidth="1"/>
    <col min="1037" max="1280" width="9.140625" style="1327"/>
    <col min="1281" max="1281" width="4.85546875" style="1327" customWidth="1"/>
    <col min="1282" max="1282" width="7.5703125" style="1327" customWidth="1"/>
    <col min="1283" max="1283" width="9.42578125" style="1327" customWidth="1"/>
    <col min="1284" max="1284" width="45" style="1327" customWidth="1"/>
    <col min="1285" max="1285" width="10.5703125" style="1327" customWidth="1"/>
    <col min="1286" max="1286" width="20.5703125" style="1327" customWidth="1"/>
    <col min="1287" max="1287" width="19" style="1327" customWidth="1"/>
    <col min="1288" max="1288" width="17.140625" style="1327" customWidth="1"/>
    <col min="1289" max="1289" width="15.140625" style="1327" customWidth="1"/>
    <col min="1290" max="1290" width="15.7109375" style="1327" customWidth="1"/>
    <col min="1291" max="1291" width="0" style="1327" hidden="1" customWidth="1"/>
    <col min="1292" max="1292" width="18.140625" style="1327" customWidth="1"/>
    <col min="1293" max="1536" width="9.140625" style="1327"/>
    <col min="1537" max="1537" width="4.85546875" style="1327" customWidth="1"/>
    <col min="1538" max="1538" width="7.5703125" style="1327" customWidth="1"/>
    <col min="1539" max="1539" width="9.42578125" style="1327" customWidth="1"/>
    <col min="1540" max="1540" width="45" style="1327" customWidth="1"/>
    <col min="1541" max="1541" width="10.5703125" style="1327" customWidth="1"/>
    <col min="1542" max="1542" width="20.5703125" style="1327" customWidth="1"/>
    <col min="1543" max="1543" width="19" style="1327" customWidth="1"/>
    <col min="1544" max="1544" width="17.140625" style="1327" customWidth="1"/>
    <col min="1545" max="1545" width="15.140625" style="1327" customWidth="1"/>
    <col min="1546" max="1546" width="15.7109375" style="1327" customWidth="1"/>
    <col min="1547" max="1547" width="0" style="1327" hidden="1" customWidth="1"/>
    <col min="1548" max="1548" width="18.140625" style="1327" customWidth="1"/>
    <col min="1549" max="1792" width="9.140625" style="1327"/>
    <col min="1793" max="1793" width="4.85546875" style="1327" customWidth="1"/>
    <col min="1794" max="1794" width="7.5703125" style="1327" customWidth="1"/>
    <col min="1795" max="1795" width="9.42578125" style="1327" customWidth="1"/>
    <col min="1796" max="1796" width="45" style="1327" customWidth="1"/>
    <col min="1797" max="1797" width="10.5703125" style="1327" customWidth="1"/>
    <col min="1798" max="1798" width="20.5703125" style="1327" customWidth="1"/>
    <col min="1799" max="1799" width="19" style="1327" customWidth="1"/>
    <col min="1800" max="1800" width="17.140625" style="1327" customWidth="1"/>
    <col min="1801" max="1801" width="15.140625" style="1327" customWidth="1"/>
    <col min="1802" max="1802" width="15.7109375" style="1327" customWidth="1"/>
    <col min="1803" max="1803" width="0" style="1327" hidden="1" customWidth="1"/>
    <col min="1804" max="1804" width="18.140625" style="1327" customWidth="1"/>
    <col min="1805" max="2048" width="9.140625" style="1327"/>
    <col min="2049" max="2049" width="4.85546875" style="1327" customWidth="1"/>
    <col min="2050" max="2050" width="7.5703125" style="1327" customWidth="1"/>
    <col min="2051" max="2051" width="9.42578125" style="1327" customWidth="1"/>
    <col min="2052" max="2052" width="45" style="1327" customWidth="1"/>
    <col min="2053" max="2053" width="10.5703125" style="1327" customWidth="1"/>
    <col min="2054" max="2054" width="20.5703125" style="1327" customWidth="1"/>
    <col min="2055" max="2055" width="19" style="1327" customWidth="1"/>
    <col min="2056" max="2056" width="17.140625" style="1327" customWidth="1"/>
    <col min="2057" max="2057" width="15.140625" style="1327" customWidth="1"/>
    <col min="2058" max="2058" width="15.7109375" style="1327" customWidth="1"/>
    <col min="2059" max="2059" width="0" style="1327" hidden="1" customWidth="1"/>
    <col min="2060" max="2060" width="18.140625" style="1327" customWidth="1"/>
    <col min="2061" max="2304" width="9.140625" style="1327"/>
    <col min="2305" max="2305" width="4.85546875" style="1327" customWidth="1"/>
    <col min="2306" max="2306" width="7.5703125" style="1327" customWidth="1"/>
    <col min="2307" max="2307" width="9.42578125" style="1327" customWidth="1"/>
    <col min="2308" max="2308" width="45" style="1327" customWidth="1"/>
    <col min="2309" max="2309" width="10.5703125" style="1327" customWidth="1"/>
    <col min="2310" max="2310" width="20.5703125" style="1327" customWidth="1"/>
    <col min="2311" max="2311" width="19" style="1327" customWidth="1"/>
    <col min="2312" max="2312" width="17.140625" style="1327" customWidth="1"/>
    <col min="2313" max="2313" width="15.140625" style="1327" customWidth="1"/>
    <col min="2314" max="2314" width="15.7109375" style="1327" customWidth="1"/>
    <col min="2315" max="2315" width="0" style="1327" hidden="1" customWidth="1"/>
    <col min="2316" max="2316" width="18.140625" style="1327" customWidth="1"/>
    <col min="2317" max="2560" width="9.140625" style="1327"/>
    <col min="2561" max="2561" width="4.85546875" style="1327" customWidth="1"/>
    <col min="2562" max="2562" width="7.5703125" style="1327" customWidth="1"/>
    <col min="2563" max="2563" width="9.42578125" style="1327" customWidth="1"/>
    <col min="2564" max="2564" width="45" style="1327" customWidth="1"/>
    <col min="2565" max="2565" width="10.5703125" style="1327" customWidth="1"/>
    <col min="2566" max="2566" width="20.5703125" style="1327" customWidth="1"/>
    <col min="2567" max="2567" width="19" style="1327" customWidth="1"/>
    <col min="2568" max="2568" width="17.140625" style="1327" customWidth="1"/>
    <col min="2569" max="2569" width="15.140625" style="1327" customWidth="1"/>
    <col min="2570" max="2570" width="15.7109375" style="1327" customWidth="1"/>
    <col min="2571" max="2571" width="0" style="1327" hidden="1" customWidth="1"/>
    <col min="2572" max="2572" width="18.140625" style="1327" customWidth="1"/>
    <col min="2573" max="2816" width="9.140625" style="1327"/>
    <col min="2817" max="2817" width="4.85546875" style="1327" customWidth="1"/>
    <col min="2818" max="2818" width="7.5703125" style="1327" customWidth="1"/>
    <col min="2819" max="2819" width="9.42578125" style="1327" customWidth="1"/>
    <col min="2820" max="2820" width="45" style="1327" customWidth="1"/>
    <col min="2821" max="2821" width="10.5703125" style="1327" customWidth="1"/>
    <col min="2822" max="2822" width="20.5703125" style="1327" customWidth="1"/>
    <col min="2823" max="2823" width="19" style="1327" customWidth="1"/>
    <col min="2824" max="2824" width="17.140625" style="1327" customWidth="1"/>
    <col min="2825" max="2825" width="15.140625" style="1327" customWidth="1"/>
    <col min="2826" max="2826" width="15.7109375" style="1327" customWidth="1"/>
    <col min="2827" max="2827" width="0" style="1327" hidden="1" customWidth="1"/>
    <col min="2828" max="2828" width="18.140625" style="1327" customWidth="1"/>
    <col min="2829" max="3072" width="9.140625" style="1327"/>
    <col min="3073" max="3073" width="4.85546875" style="1327" customWidth="1"/>
    <col min="3074" max="3074" width="7.5703125" style="1327" customWidth="1"/>
    <col min="3075" max="3075" width="9.42578125" style="1327" customWidth="1"/>
    <col min="3076" max="3076" width="45" style="1327" customWidth="1"/>
    <col min="3077" max="3077" width="10.5703125" style="1327" customWidth="1"/>
    <col min="3078" max="3078" width="20.5703125" style="1327" customWidth="1"/>
    <col min="3079" max="3079" width="19" style="1327" customWidth="1"/>
    <col min="3080" max="3080" width="17.140625" style="1327" customWidth="1"/>
    <col min="3081" max="3081" width="15.140625" style="1327" customWidth="1"/>
    <col min="3082" max="3082" width="15.7109375" style="1327" customWidth="1"/>
    <col min="3083" max="3083" width="0" style="1327" hidden="1" customWidth="1"/>
    <col min="3084" max="3084" width="18.140625" style="1327" customWidth="1"/>
    <col min="3085" max="3328" width="9.140625" style="1327"/>
    <col min="3329" max="3329" width="4.85546875" style="1327" customWidth="1"/>
    <col min="3330" max="3330" width="7.5703125" style="1327" customWidth="1"/>
    <col min="3331" max="3331" width="9.42578125" style="1327" customWidth="1"/>
    <col min="3332" max="3332" width="45" style="1327" customWidth="1"/>
    <col min="3333" max="3333" width="10.5703125" style="1327" customWidth="1"/>
    <col min="3334" max="3334" width="20.5703125" style="1327" customWidth="1"/>
    <col min="3335" max="3335" width="19" style="1327" customWidth="1"/>
    <col min="3336" max="3336" width="17.140625" style="1327" customWidth="1"/>
    <col min="3337" max="3337" width="15.140625" style="1327" customWidth="1"/>
    <col min="3338" max="3338" width="15.7109375" style="1327" customWidth="1"/>
    <col min="3339" max="3339" width="0" style="1327" hidden="1" customWidth="1"/>
    <col min="3340" max="3340" width="18.140625" style="1327" customWidth="1"/>
    <col min="3341" max="3584" width="9.140625" style="1327"/>
    <col min="3585" max="3585" width="4.85546875" style="1327" customWidth="1"/>
    <col min="3586" max="3586" width="7.5703125" style="1327" customWidth="1"/>
    <col min="3587" max="3587" width="9.42578125" style="1327" customWidth="1"/>
    <col min="3588" max="3588" width="45" style="1327" customWidth="1"/>
    <col min="3589" max="3589" width="10.5703125" style="1327" customWidth="1"/>
    <col min="3590" max="3590" width="20.5703125" style="1327" customWidth="1"/>
    <col min="3591" max="3591" width="19" style="1327" customWidth="1"/>
    <col min="3592" max="3592" width="17.140625" style="1327" customWidth="1"/>
    <col min="3593" max="3593" width="15.140625" style="1327" customWidth="1"/>
    <col min="3594" max="3594" width="15.7109375" style="1327" customWidth="1"/>
    <col min="3595" max="3595" width="0" style="1327" hidden="1" customWidth="1"/>
    <col min="3596" max="3596" width="18.140625" style="1327" customWidth="1"/>
    <col min="3597" max="3840" width="9.140625" style="1327"/>
    <col min="3841" max="3841" width="4.85546875" style="1327" customWidth="1"/>
    <col min="3842" max="3842" width="7.5703125" style="1327" customWidth="1"/>
    <col min="3843" max="3843" width="9.42578125" style="1327" customWidth="1"/>
    <col min="3844" max="3844" width="45" style="1327" customWidth="1"/>
    <col min="3845" max="3845" width="10.5703125" style="1327" customWidth="1"/>
    <col min="3846" max="3846" width="20.5703125" style="1327" customWidth="1"/>
    <col min="3847" max="3847" width="19" style="1327" customWidth="1"/>
    <col min="3848" max="3848" width="17.140625" style="1327" customWidth="1"/>
    <col min="3849" max="3849" width="15.140625" style="1327" customWidth="1"/>
    <col min="3850" max="3850" width="15.7109375" style="1327" customWidth="1"/>
    <col min="3851" max="3851" width="0" style="1327" hidden="1" customWidth="1"/>
    <col min="3852" max="3852" width="18.140625" style="1327" customWidth="1"/>
    <col min="3853" max="4096" width="9.140625" style="1327"/>
    <col min="4097" max="4097" width="4.85546875" style="1327" customWidth="1"/>
    <col min="4098" max="4098" width="7.5703125" style="1327" customWidth="1"/>
    <col min="4099" max="4099" width="9.42578125" style="1327" customWidth="1"/>
    <col min="4100" max="4100" width="45" style="1327" customWidth="1"/>
    <col min="4101" max="4101" width="10.5703125" style="1327" customWidth="1"/>
    <col min="4102" max="4102" width="20.5703125" style="1327" customWidth="1"/>
    <col min="4103" max="4103" width="19" style="1327" customWidth="1"/>
    <col min="4104" max="4104" width="17.140625" style="1327" customWidth="1"/>
    <col min="4105" max="4105" width="15.140625" style="1327" customWidth="1"/>
    <col min="4106" max="4106" width="15.7109375" style="1327" customWidth="1"/>
    <col min="4107" max="4107" width="0" style="1327" hidden="1" customWidth="1"/>
    <col min="4108" max="4108" width="18.140625" style="1327" customWidth="1"/>
    <col min="4109" max="4352" width="9.140625" style="1327"/>
    <col min="4353" max="4353" width="4.85546875" style="1327" customWidth="1"/>
    <col min="4354" max="4354" width="7.5703125" style="1327" customWidth="1"/>
    <col min="4355" max="4355" width="9.42578125" style="1327" customWidth="1"/>
    <col min="4356" max="4356" width="45" style="1327" customWidth="1"/>
    <col min="4357" max="4357" width="10.5703125" style="1327" customWidth="1"/>
    <col min="4358" max="4358" width="20.5703125" style="1327" customWidth="1"/>
    <col min="4359" max="4359" width="19" style="1327" customWidth="1"/>
    <col min="4360" max="4360" width="17.140625" style="1327" customWidth="1"/>
    <col min="4361" max="4361" width="15.140625" style="1327" customWidth="1"/>
    <col min="4362" max="4362" width="15.7109375" style="1327" customWidth="1"/>
    <col min="4363" max="4363" width="0" style="1327" hidden="1" customWidth="1"/>
    <col min="4364" max="4364" width="18.140625" style="1327" customWidth="1"/>
    <col min="4365" max="4608" width="9.140625" style="1327"/>
    <col min="4609" max="4609" width="4.85546875" style="1327" customWidth="1"/>
    <col min="4610" max="4610" width="7.5703125" style="1327" customWidth="1"/>
    <col min="4611" max="4611" width="9.42578125" style="1327" customWidth="1"/>
    <col min="4612" max="4612" width="45" style="1327" customWidth="1"/>
    <col min="4613" max="4613" width="10.5703125" style="1327" customWidth="1"/>
    <col min="4614" max="4614" width="20.5703125" style="1327" customWidth="1"/>
    <col min="4615" max="4615" width="19" style="1327" customWidth="1"/>
    <col min="4616" max="4616" width="17.140625" style="1327" customWidth="1"/>
    <col min="4617" max="4617" width="15.140625" style="1327" customWidth="1"/>
    <col min="4618" max="4618" width="15.7109375" style="1327" customWidth="1"/>
    <col min="4619" max="4619" width="0" style="1327" hidden="1" customWidth="1"/>
    <col min="4620" max="4620" width="18.140625" style="1327" customWidth="1"/>
    <col min="4621" max="4864" width="9.140625" style="1327"/>
    <col min="4865" max="4865" width="4.85546875" style="1327" customWidth="1"/>
    <col min="4866" max="4866" width="7.5703125" style="1327" customWidth="1"/>
    <col min="4867" max="4867" width="9.42578125" style="1327" customWidth="1"/>
    <col min="4868" max="4868" width="45" style="1327" customWidth="1"/>
    <col min="4869" max="4869" width="10.5703125" style="1327" customWidth="1"/>
    <col min="4870" max="4870" width="20.5703125" style="1327" customWidth="1"/>
    <col min="4871" max="4871" width="19" style="1327" customWidth="1"/>
    <col min="4872" max="4872" width="17.140625" style="1327" customWidth="1"/>
    <col min="4873" max="4873" width="15.140625" style="1327" customWidth="1"/>
    <col min="4874" max="4874" width="15.7109375" style="1327" customWidth="1"/>
    <col min="4875" max="4875" width="0" style="1327" hidden="1" customWidth="1"/>
    <col min="4876" max="4876" width="18.140625" style="1327" customWidth="1"/>
    <col min="4877" max="5120" width="9.140625" style="1327"/>
    <col min="5121" max="5121" width="4.85546875" style="1327" customWidth="1"/>
    <col min="5122" max="5122" width="7.5703125" style="1327" customWidth="1"/>
    <col min="5123" max="5123" width="9.42578125" style="1327" customWidth="1"/>
    <col min="5124" max="5124" width="45" style="1327" customWidth="1"/>
    <col min="5125" max="5125" width="10.5703125" style="1327" customWidth="1"/>
    <col min="5126" max="5126" width="20.5703125" style="1327" customWidth="1"/>
    <col min="5127" max="5127" width="19" style="1327" customWidth="1"/>
    <col min="5128" max="5128" width="17.140625" style="1327" customWidth="1"/>
    <col min="5129" max="5129" width="15.140625" style="1327" customWidth="1"/>
    <col min="5130" max="5130" width="15.7109375" style="1327" customWidth="1"/>
    <col min="5131" max="5131" width="0" style="1327" hidden="1" customWidth="1"/>
    <col min="5132" max="5132" width="18.140625" style="1327" customWidth="1"/>
    <col min="5133" max="5376" width="9.140625" style="1327"/>
    <col min="5377" max="5377" width="4.85546875" style="1327" customWidth="1"/>
    <col min="5378" max="5378" width="7.5703125" style="1327" customWidth="1"/>
    <col min="5379" max="5379" width="9.42578125" style="1327" customWidth="1"/>
    <col min="5380" max="5380" width="45" style="1327" customWidth="1"/>
    <col min="5381" max="5381" width="10.5703125" style="1327" customWidth="1"/>
    <col min="5382" max="5382" width="20.5703125" style="1327" customWidth="1"/>
    <col min="5383" max="5383" width="19" style="1327" customWidth="1"/>
    <col min="5384" max="5384" width="17.140625" style="1327" customWidth="1"/>
    <col min="5385" max="5385" width="15.140625" style="1327" customWidth="1"/>
    <col min="5386" max="5386" width="15.7109375" style="1327" customWidth="1"/>
    <col min="5387" max="5387" width="0" style="1327" hidden="1" customWidth="1"/>
    <col min="5388" max="5388" width="18.140625" style="1327" customWidth="1"/>
    <col min="5389" max="5632" width="9.140625" style="1327"/>
    <col min="5633" max="5633" width="4.85546875" style="1327" customWidth="1"/>
    <col min="5634" max="5634" width="7.5703125" style="1327" customWidth="1"/>
    <col min="5635" max="5635" width="9.42578125" style="1327" customWidth="1"/>
    <col min="5636" max="5636" width="45" style="1327" customWidth="1"/>
    <col min="5637" max="5637" width="10.5703125" style="1327" customWidth="1"/>
    <col min="5638" max="5638" width="20.5703125" style="1327" customWidth="1"/>
    <col min="5639" max="5639" width="19" style="1327" customWidth="1"/>
    <col min="5640" max="5640" width="17.140625" style="1327" customWidth="1"/>
    <col min="5641" max="5641" width="15.140625" style="1327" customWidth="1"/>
    <col min="5642" max="5642" width="15.7109375" style="1327" customWidth="1"/>
    <col min="5643" max="5643" width="0" style="1327" hidden="1" customWidth="1"/>
    <col min="5644" max="5644" width="18.140625" style="1327" customWidth="1"/>
    <col min="5645" max="5888" width="9.140625" style="1327"/>
    <col min="5889" max="5889" width="4.85546875" style="1327" customWidth="1"/>
    <col min="5890" max="5890" width="7.5703125" style="1327" customWidth="1"/>
    <col min="5891" max="5891" width="9.42578125" style="1327" customWidth="1"/>
    <col min="5892" max="5892" width="45" style="1327" customWidth="1"/>
    <col min="5893" max="5893" width="10.5703125" style="1327" customWidth="1"/>
    <col min="5894" max="5894" width="20.5703125" style="1327" customWidth="1"/>
    <col min="5895" max="5895" width="19" style="1327" customWidth="1"/>
    <col min="5896" max="5896" width="17.140625" style="1327" customWidth="1"/>
    <col min="5897" max="5897" width="15.140625" style="1327" customWidth="1"/>
    <col min="5898" max="5898" width="15.7109375" style="1327" customWidth="1"/>
    <col min="5899" max="5899" width="0" style="1327" hidden="1" customWidth="1"/>
    <col min="5900" max="5900" width="18.140625" style="1327" customWidth="1"/>
    <col min="5901" max="6144" width="9.140625" style="1327"/>
    <col min="6145" max="6145" width="4.85546875" style="1327" customWidth="1"/>
    <col min="6146" max="6146" width="7.5703125" style="1327" customWidth="1"/>
    <col min="6147" max="6147" width="9.42578125" style="1327" customWidth="1"/>
    <col min="6148" max="6148" width="45" style="1327" customWidth="1"/>
    <col min="6149" max="6149" width="10.5703125" style="1327" customWidth="1"/>
    <col min="6150" max="6150" width="20.5703125" style="1327" customWidth="1"/>
    <col min="6151" max="6151" width="19" style="1327" customWidth="1"/>
    <col min="6152" max="6152" width="17.140625" style="1327" customWidth="1"/>
    <col min="6153" max="6153" width="15.140625" style="1327" customWidth="1"/>
    <col min="6154" max="6154" width="15.7109375" style="1327" customWidth="1"/>
    <col min="6155" max="6155" width="0" style="1327" hidden="1" customWidth="1"/>
    <col min="6156" max="6156" width="18.140625" style="1327" customWidth="1"/>
    <col min="6157" max="6400" width="9.140625" style="1327"/>
    <col min="6401" max="6401" width="4.85546875" style="1327" customWidth="1"/>
    <col min="6402" max="6402" width="7.5703125" style="1327" customWidth="1"/>
    <col min="6403" max="6403" width="9.42578125" style="1327" customWidth="1"/>
    <col min="6404" max="6404" width="45" style="1327" customWidth="1"/>
    <col min="6405" max="6405" width="10.5703125" style="1327" customWidth="1"/>
    <col min="6406" max="6406" width="20.5703125" style="1327" customWidth="1"/>
    <col min="6407" max="6407" width="19" style="1327" customWidth="1"/>
    <col min="6408" max="6408" width="17.140625" style="1327" customWidth="1"/>
    <col min="6409" max="6409" width="15.140625" style="1327" customWidth="1"/>
    <col min="6410" max="6410" width="15.7109375" style="1327" customWidth="1"/>
    <col min="6411" max="6411" width="0" style="1327" hidden="1" customWidth="1"/>
    <col min="6412" max="6412" width="18.140625" style="1327" customWidth="1"/>
    <col min="6413" max="6656" width="9.140625" style="1327"/>
    <col min="6657" max="6657" width="4.85546875" style="1327" customWidth="1"/>
    <col min="6658" max="6658" width="7.5703125" style="1327" customWidth="1"/>
    <col min="6659" max="6659" width="9.42578125" style="1327" customWidth="1"/>
    <col min="6660" max="6660" width="45" style="1327" customWidth="1"/>
    <col min="6661" max="6661" width="10.5703125" style="1327" customWidth="1"/>
    <col min="6662" max="6662" width="20.5703125" style="1327" customWidth="1"/>
    <col min="6663" max="6663" width="19" style="1327" customWidth="1"/>
    <col min="6664" max="6664" width="17.140625" style="1327" customWidth="1"/>
    <col min="6665" max="6665" width="15.140625" style="1327" customWidth="1"/>
    <col min="6666" max="6666" width="15.7109375" style="1327" customWidth="1"/>
    <col min="6667" max="6667" width="0" style="1327" hidden="1" customWidth="1"/>
    <col min="6668" max="6668" width="18.140625" style="1327" customWidth="1"/>
    <col min="6669" max="6912" width="9.140625" style="1327"/>
    <col min="6913" max="6913" width="4.85546875" style="1327" customWidth="1"/>
    <col min="6914" max="6914" width="7.5703125" style="1327" customWidth="1"/>
    <col min="6915" max="6915" width="9.42578125" style="1327" customWidth="1"/>
    <col min="6916" max="6916" width="45" style="1327" customWidth="1"/>
    <col min="6917" max="6917" width="10.5703125" style="1327" customWidth="1"/>
    <col min="6918" max="6918" width="20.5703125" style="1327" customWidth="1"/>
    <col min="6919" max="6919" width="19" style="1327" customWidth="1"/>
    <col min="6920" max="6920" width="17.140625" style="1327" customWidth="1"/>
    <col min="6921" max="6921" width="15.140625" style="1327" customWidth="1"/>
    <col min="6922" max="6922" width="15.7109375" style="1327" customWidth="1"/>
    <col min="6923" max="6923" width="0" style="1327" hidden="1" customWidth="1"/>
    <col min="6924" max="6924" width="18.140625" style="1327" customWidth="1"/>
    <col min="6925" max="7168" width="9.140625" style="1327"/>
    <col min="7169" max="7169" width="4.85546875" style="1327" customWidth="1"/>
    <col min="7170" max="7170" width="7.5703125" style="1327" customWidth="1"/>
    <col min="7171" max="7171" width="9.42578125" style="1327" customWidth="1"/>
    <col min="7172" max="7172" width="45" style="1327" customWidth="1"/>
    <col min="7173" max="7173" width="10.5703125" style="1327" customWidth="1"/>
    <col min="7174" max="7174" width="20.5703125" style="1327" customWidth="1"/>
    <col min="7175" max="7175" width="19" style="1327" customWidth="1"/>
    <col min="7176" max="7176" width="17.140625" style="1327" customWidth="1"/>
    <col min="7177" max="7177" width="15.140625" style="1327" customWidth="1"/>
    <col min="7178" max="7178" width="15.7109375" style="1327" customWidth="1"/>
    <col min="7179" max="7179" width="0" style="1327" hidden="1" customWidth="1"/>
    <col min="7180" max="7180" width="18.140625" style="1327" customWidth="1"/>
    <col min="7181" max="7424" width="9.140625" style="1327"/>
    <col min="7425" max="7425" width="4.85546875" style="1327" customWidth="1"/>
    <col min="7426" max="7426" width="7.5703125" style="1327" customWidth="1"/>
    <col min="7427" max="7427" width="9.42578125" style="1327" customWidth="1"/>
    <col min="7428" max="7428" width="45" style="1327" customWidth="1"/>
    <col min="7429" max="7429" width="10.5703125" style="1327" customWidth="1"/>
    <col min="7430" max="7430" width="20.5703125" style="1327" customWidth="1"/>
    <col min="7431" max="7431" width="19" style="1327" customWidth="1"/>
    <col min="7432" max="7432" width="17.140625" style="1327" customWidth="1"/>
    <col min="7433" max="7433" width="15.140625" style="1327" customWidth="1"/>
    <col min="7434" max="7434" width="15.7109375" style="1327" customWidth="1"/>
    <col min="7435" max="7435" width="0" style="1327" hidden="1" customWidth="1"/>
    <col min="7436" max="7436" width="18.140625" style="1327" customWidth="1"/>
    <col min="7437" max="7680" width="9.140625" style="1327"/>
    <col min="7681" max="7681" width="4.85546875" style="1327" customWidth="1"/>
    <col min="7682" max="7682" width="7.5703125" style="1327" customWidth="1"/>
    <col min="7683" max="7683" width="9.42578125" style="1327" customWidth="1"/>
    <col min="7684" max="7684" width="45" style="1327" customWidth="1"/>
    <col min="7685" max="7685" width="10.5703125" style="1327" customWidth="1"/>
    <col min="7686" max="7686" width="20.5703125" style="1327" customWidth="1"/>
    <col min="7687" max="7687" width="19" style="1327" customWidth="1"/>
    <col min="7688" max="7688" width="17.140625" style="1327" customWidth="1"/>
    <col min="7689" max="7689" width="15.140625" style="1327" customWidth="1"/>
    <col min="7690" max="7690" width="15.7109375" style="1327" customWidth="1"/>
    <col min="7691" max="7691" width="0" style="1327" hidden="1" customWidth="1"/>
    <col min="7692" max="7692" width="18.140625" style="1327" customWidth="1"/>
    <col min="7693" max="7936" width="9.140625" style="1327"/>
    <col min="7937" max="7937" width="4.85546875" style="1327" customWidth="1"/>
    <col min="7938" max="7938" width="7.5703125" style="1327" customWidth="1"/>
    <col min="7939" max="7939" width="9.42578125" style="1327" customWidth="1"/>
    <col min="7940" max="7940" width="45" style="1327" customWidth="1"/>
    <col min="7941" max="7941" width="10.5703125" style="1327" customWidth="1"/>
    <col min="7942" max="7942" width="20.5703125" style="1327" customWidth="1"/>
    <col min="7943" max="7943" width="19" style="1327" customWidth="1"/>
    <col min="7944" max="7944" width="17.140625" style="1327" customWidth="1"/>
    <col min="7945" max="7945" width="15.140625" style="1327" customWidth="1"/>
    <col min="7946" max="7946" width="15.7109375" style="1327" customWidth="1"/>
    <col min="7947" max="7947" width="0" style="1327" hidden="1" customWidth="1"/>
    <col min="7948" max="7948" width="18.140625" style="1327" customWidth="1"/>
    <col min="7949" max="8192" width="9.140625" style="1327"/>
    <col min="8193" max="8193" width="4.85546875" style="1327" customWidth="1"/>
    <col min="8194" max="8194" width="7.5703125" style="1327" customWidth="1"/>
    <col min="8195" max="8195" width="9.42578125" style="1327" customWidth="1"/>
    <col min="8196" max="8196" width="45" style="1327" customWidth="1"/>
    <col min="8197" max="8197" width="10.5703125" style="1327" customWidth="1"/>
    <col min="8198" max="8198" width="20.5703125" style="1327" customWidth="1"/>
    <col min="8199" max="8199" width="19" style="1327" customWidth="1"/>
    <col min="8200" max="8200" width="17.140625" style="1327" customWidth="1"/>
    <col min="8201" max="8201" width="15.140625" style="1327" customWidth="1"/>
    <col min="8202" max="8202" width="15.7109375" style="1327" customWidth="1"/>
    <col min="8203" max="8203" width="0" style="1327" hidden="1" customWidth="1"/>
    <col min="8204" max="8204" width="18.140625" style="1327" customWidth="1"/>
    <col min="8205" max="8448" width="9.140625" style="1327"/>
    <col min="8449" max="8449" width="4.85546875" style="1327" customWidth="1"/>
    <col min="8450" max="8450" width="7.5703125" style="1327" customWidth="1"/>
    <col min="8451" max="8451" width="9.42578125" style="1327" customWidth="1"/>
    <col min="8452" max="8452" width="45" style="1327" customWidth="1"/>
    <col min="8453" max="8453" width="10.5703125" style="1327" customWidth="1"/>
    <col min="8454" max="8454" width="20.5703125" style="1327" customWidth="1"/>
    <col min="8455" max="8455" width="19" style="1327" customWidth="1"/>
    <col min="8456" max="8456" width="17.140625" style="1327" customWidth="1"/>
    <col min="8457" max="8457" width="15.140625" style="1327" customWidth="1"/>
    <col min="8458" max="8458" width="15.7109375" style="1327" customWidth="1"/>
    <col min="8459" max="8459" width="0" style="1327" hidden="1" customWidth="1"/>
    <col min="8460" max="8460" width="18.140625" style="1327" customWidth="1"/>
    <col min="8461" max="8704" width="9.140625" style="1327"/>
    <col min="8705" max="8705" width="4.85546875" style="1327" customWidth="1"/>
    <col min="8706" max="8706" width="7.5703125" style="1327" customWidth="1"/>
    <col min="8707" max="8707" width="9.42578125" style="1327" customWidth="1"/>
    <col min="8708" max="8708" width="45" style="1327" customWidth="1"/>
    <col min="8709" max="8709" width="10.5703125" style="1327" customWidth="1"/>
    <col min="8710" max="8710" width="20.5703125" style="1327" customWidth="1"/>
    <col min="8711" max="8711" width="19" style="1327" customWidth="1"/>
    <col min="8712" max="8712" width="17.140625" style="1327" customWidth="1"/>
    <col min="8713" max="8713" width="15.140625" style="1327" customWidth="1"/>
    <col min="8714" max="8714" width="15.7109375" style="1327" customWidth="1"/>
    <col min="8715" max="8715" width="0" style="1327" hidden="1" customWidth="1"/>
    <col min="8716" max="8716" width="18.140625" style="1327" customWidth="1"/>
    <col min="8717" max="8960" width="9.140625" style="1327"/>
    <col min="8961" max="8961" width="4.85546875" style="1327" customWidth="1"/>
    <col min="8962" max="8962" width="7.5703125" style="1327" customWidth="1"/>
    <col min="8963" max="8963" width="9.42578125" style="1327" customWidth="1"/>
    <col min="8964" max="8964" width="45" style="1327" customWidth="1"/>
    <col min="8965" max="8965" width="10.5703125" style="1327" customWidth="1"/>
    <col min="8966" max="8966" width="20.5703125" style="1327" customWidth="1"/>
    <col min="8967" max="8967" width="19" style="1327" customWidth="1"/>
    <col min="8968" max="8968" width="17.140625" style="1327" customWidth="1"/>
    <col min="8969" max="8969" width="15.140625" style="1327" customWidth="1"/>
    <col min="8970" max="8970" width="15.7109375" style="1327" customWidth="1"/>
    <col min="8971" max="8971" width="0" style="1327" hidden="1" customWidth="1"/>
    <col min="8972" max="8972" width="18.140625" style="1327" customWidth="1"/>
    <col min="8973" max="9216" width="9.140625" style="1327"/>
    <col min="9217" max="9217" width="4.85546875" style="1327" customWidth="1"/>
    <col min="9218" max="9218" width="7.5703125" style="1327" customWidth="1"/>
    <col min="9219" max="9219" width="9.42578125" style="1327" customWidth="1"/>
    <col min="9220" max="9220" width="45" style="1327" customWidth="1"/>
    <col min="9221" max="9221" width="10.5703125" style="1327" customWidth="1"/>
    <col min="9222" max="9222" width="20.5703125" style="1327" customWidth="1"/>
    <col min="9223" max="9223" width="19" style="1327" customWidth="1"/>
    <col min="9224" max="9224" width="17.140625" style="1327" customWidth="1"/>
    <col min="9225" max="9225" width="15.140625" style="1327" customWidth="1"/>
    <col min="9226" max="9226" width="15.7109375" style="1327" customWidth="1"/>
    <col min="9227" max="9227" width="0" style="1327" hidden="1" customWidth="1"/>
    <col min="9228" max="9228" width="18.140625" style="1327" customWidth="1"/>
    <col min="9229" max="9472" width="9.140625" style="1327"/>
    <col min="9473" max="9473" width="4.85546875" style="1327" customWidth="1"/>
    <col min="9474" max="9474" width="7.5703125" style="1327" customWidth="1"/>
    <col min="9475" max="9475" width="9.42578125" style="1327" customWidth="1"/>
    <col min="9476" max="9476" width="45" style="1327" customWidth="1"/>
    <col min="9477" max="9477" width="10.5703125" style="1327" customWidth="1"/>
    <col min="9478" max="9478" width="20.5703125" style="1327" customWidth="1"/>
    <col min="9479" max="9479" width="19" style="1327" customWidth="1"/>
    <col min="9480" max="9480" width="17.140625" style="1327" customWidth="1"/>
    <col min="9481" max="9481" width="15.140625" style="1327" customWidth="1"/>
    <col min="9482" max="9482" width="15.7109375" style="1327" customWidth="1"/>
    <col min="9483" max="9483" width="0" style="1327" hidden="1" customWidth="1"/>
    <col min="9484" max="9484" width="18.140625" style="1327" customWidth="1"/>
    <col min="9485" max="9728" width="9.140625" style="1327"/>
    <col min="9729" max="9729" width="4.85546875" style="1327" customWidth="1"/>
    <col min="9730" max="9730" width="7.5703125" style="1327" customWidth="1"/>
    <col min="9731" max="9731" width="9.42578125" style="1327" customWidth="1"/>
    <col min="9732" max="9732" width="45" style="1327" customWidth="1"/>
    <col min="9733" max="9733" width="10.5703125" style="1327" customWidth="1"/>
    <col min="9734" max="9734" width="20.5703125" style="1327" customWidth="1"/>
    <col min="9735" max="9735" width="19" style="1327" customWidth="1"/>
    <col min="9736" max="9736" width="17.140625" style="1327" customWidth="1"/>
    <col min="9737" max="9737" width="15.140625" style="1327" customWidth="1"/>
    <col min="9738" max="9738" width="15.7109375" style="1327" customWidth="1"/>
    <col min="9739" max="9739" width="0" style="1327" hidden="1" customWidth="1"/>
    <col min="9740" max="9740" width="18.140625" style="1327" customWidth="1"/>
    <col min="9741" max="9984" width="9.140625" style="1327"/>
    <col min="9985" max="9985" width="4.85546875" style="1327" customWidth="1"/>
    <col min="9986" max="9986" width="7.5703125" style="1327" customWidth="1"/>
    <col min="9987" max="9987" width="9.42578125" style="1327" customWidth="1"/>
    <col min="9988" max="9988" width="45" style="1327" customWidth="1"/>
    <col min="9989" max="9989" width="10.5703125" style="1327" customWidth="1"/>
    <col min="9990" max="9990" width="20.5703125" style="1327" customWidth="1"/>
    <col min="9991" max="9991" width="19" style="1327" customWidth="1"/>
    <col min="9992" max="9992" width="17.140625" style="1327" customWidth="1"/>
    <col min="9993" max="9993" width="15.140625" style="1327" customWidth="1"/>
    <col min="9994" max="9994" width="15.7109375" style="1327" customWidth="1"/>
    <col min="9995" max="9995" width="0" style="1327" hidden="1" customWidth="1"/>
    <col min="9996" max="9996" width="18.140625" style="1327" customWidth="1"/>
    <col min="9997" max="10240" width="9.140625" style="1327"/>
    <col min="10241" max="10241" width="4.85546875" style="1327" customWidth="1"/>
    <col min="10242" max="10242" width="7.5703125" style="1327" customWidth="1"/>
    <col min="10243" max="10243" width="9.42578125" style="1327" customWidth="1"/>
    <col min="10244" max="10244" width="45" style="1327" customWidth="1"/>
    <col min="10245" max="10245" width="10.5703125" style="1327" customWidth="1"/>
    <col min="10246" max="10246" width="20.5703125" style="1327" customWidth="1"/>
    <col min="10247" max="10247" width="19" style="1327" customWidth="1"/>
    <col min="10248" max="10248" width="17.140625" style="1327" customWidth="1"/>
    <col min="10249" max="10249" width="15.140625" style="1327" customWidth="1"/>
    <col min="10250" max="10250" width="15.7109375" style="1327" customWidth="1"/>
    <col min="10251" max="10251" width="0" style="1327" hidden="1" customWidth="1"/>
    <col min="10252" max="10252" width="18.140625" style="1327" customWidth="1"/>
    <col min="10253" max="10496" width="9.140625" style="1327"/>
    <col min="10497" max="10497" width="4.85546875" style="1327" customWidth="1"/>
    <col min="10498" max="10498" width="7.5703125" style="1327" customWidth="1"/>
    <col min="10499" max="10499" width="9.42578125" style="1327" customWidth="1"/>
    <col min="10500" max="10500" width="45" style="1327" customWidth="1"/>
    <col min="10501" max="10501" width="10.5703125" style="1327" customWidth="1"/>
    <col min="10502" max="10502" width="20.5703125" style="1327" customWidth="1"/>
    <col min="10503" max="10503" width="19" style="1327" customWidth="1"/>
    <col min="10504" max="10504" width="17.140625" style="1327" customWidth="1"/>
    <col min="10505" max="10505" width="15.140625" style="1327" customWidth="1"/>
    <col min="10506" max="10506" width="15.7109375" style="1327" customWidth="1"/>
    <col min="10507" max="10507" width="0" style="1327" hidden="1" customWidth="1"/>
    <col min="10508" max="10508" width="18.140625" style="1327" customWidth="1"/>
    <col min="10509" max="10752" width="9.140625" style="1327"/>
    <col min="10753" max="10753" width="4.85546875" style="1327" customWidth="1"/>
    <col min="10754" max="10754" width="7.5703125" style="1327" customWidth="1"/>
    <col min="10755" max="10755" width="9.42578125" style="1327" customWidth="1"/>
    <col min="10756" max="10756" width="45" style="1327" customWidth="1"/>
    <col min="10757" max="10757" width="10.5703125" style="1327" customWidth="1"/>
    <col min="10758" max="10758" width="20.5703125" style="1327" customWidth="1"/>
    <col min="10759" max="10759" width="19" style="1327" customWidth="1"/>
    <col min="10760" max="10760" width="17.140625" style="1327" customWidth="1"/>
    <col min="10761" max="10761" width="15.140625" style="1327" customWidth="1"/>
    <col min="10762" max="10762" width="15.7109375" style="1327" customWidth="1"/>
    <col min="10763" max="10763" width="0" style="1327" hidden="1" customWidth="1"/>
    <col min="10764" max="10764" width="18.140625" style="1327" customWidth="1"/>
    <col min="10765" max="11008" width="9.140625" style="1327"/>
    <col min="11009" max="11009" width="4.85546875" style="1327" customWidth="1"/>
    <col min="11010" max="11010" width="7.5703125" style="1327" customWidth="1"/>
    <col min="11011" max="11011" width="9.42578125" style="1327" customWidth="1"/>
    <col min="11012" max="11012" width="45" style="1327" customWidth="1"/>
    <col min="11013" max="11013" width="10.5703125" style="1327" customWidth="1"/>
    <col min="11014" max="11014" width="20.5703125" style="1327" customWidth="1"/>
    <col min="11015" max="11015" width="19" style="1327" customWidth="1"/>
    <col min="11016" max="11016" width="17.140625" style="1327" customWidth="1"/>
    <col min="11017" max="11017" width="15.140625" style="1327" customWidth="1"/>
    <col min="11018" max="11018" width="15.7109375" style="1327" customWidth="1"/>
    <col min="11019" max="11019" width="0" style="1327" hidden="1" customWidth="1"/>
    <col min="11020" max="11020" width="18.140625" style="1327" customWidth="1"/>
    <col min="11021" max="11264" width="9.140625" style="1327"/>
    <col min="11265" max="11265" width="4.85546875" style="1327" customWidth="1"/>
    <col min="11266" max="11266" width="7.5703125" style="1327" customWidth="1"/>
    <col min="11267" max="11267" width="9.42578125" style="1327" customWidth="1"/>
    <col min="11268" max="11268" width="45" style="1327" customWidth="1"/>
    <col min="11269" max="11269" width="10.5703125" style="1327" customWidth="1"/>
    <col min="11270" max="11270" width="20.5703125" style="1327" customWidth="1"/>
    <col min="11271" max="11271" width="19" style="1327" customWidth="1"/>
    <col min="11272" max="11272" width="17.140625" style="1327" customWidth="1"/>
    <col min="11273" max="11273" width="15.140625" style="1327" customWidth="1"/>
    <col min="11274" max="11274" width="15.7109375" style="1327" customWidth="1"/>
    <col min="11275" max="11275" width="0" style="1327" hidden="1" customWidth="1"/>
    <col min="11276" max="11276" width="18.140625" style="1327" customWidth="1"/>
    <col min="11277" max="11520" width="9.140625" style="1327"/>
    <col min="11521" max="11521" width="4.85546875" style="1327" customWidth="1"/>
    <col min="11522" max="11522" width="7.5703125" style="1327" customWidth="1"/>
    <col min="11523" max="11523" width="9.42578125" style="1327" customWidth="1"/>
    <col min="11524" max="11524" width="45" style="1327" customWidth="1"/>
    <col min="11525" max="11525" width="10.5703125" style="1327" customWidth="1"/>
    <col min="11526" max="11526" width="20.5703125" style="1327" customWidth="1"/>
    <col min="11527" max="11527" width="19" style="1327" customWidth="1"/>
    <col min="11528" max="11528" width="17.140625" style="1327" customWidth="1"/>
    <col min="11529" max="11529" width="15.140625" style="1327" customWidth="1"/>
    <col min="11530" max="11530" width="15.7109375" style="1327" customWidth="1"/>
    <col min="11531" max="11531" width="0" style="1327" hidden="1" customWidth="1"/>
    <col min="11532" max="11532" width="18.140625" style="1327" customWidth="1"/>
    <col min="11533" max="11776" width="9.140625" style="1327"/>
    <col min="11777" max="11777" width="4.85546875" style="1327" customWidth="1"/>
    <col min="11778" max="11778" width="7.5703125" style="1327" customWidth="1"/>
    <col min="11779" max="11779" width="9.42578125" style="1327" customWidth="1"/>
    <col min="11780" max="11780" width="45" style="1327" customWidth="1"/>
    <col min="11781" max="11781" width="10.5703125" style="1327" customWidth="1"/>
    <col min="11782" max="11782" width="20.5703125" style="1327" customWidth="1"/>
    <col min="11783" max="11783" width="19" style="1327" customWidth="1"/>
    <col min="11784" max="11784" width="17.140625" style="1327" customWidth="1"/>
    <col min="11785" max="11785" width="15.140625" style="1327" customWidth="1"/>
    <col min="11786" max="11786" width="15.7109375" style="1327" customWidth="1"/>
    <col min="11787" max="11787" width="0" style="1327" hidden="1" customWidth="1"/>
    <col min="11788" max="11788" width="18.140625" style="1327" customWidth="1"/>
    <col min="11789" max="12032" width="9.140625" style="1327"/>
    <col min="12033" max="12033" width="4.85546875" style="1327" customWidth="1"/>
    <col min="12034" max="12034" width="7.5703125" style="1327" customWidth="1"/>
    <col min="12035" max="12035" width="9.42578125" style="1327" customWidth="1"/>
    <col min="12036" max="12036" width="45" style="1327" customWidth="1"/>
    <col min="12037" max="12037" width="10.5703125" style="1327" customWidth="1"/>
    <col min="12038" max="12038" width="20.5703125" style="1327" customWidth="1"/>
    <col min="12039" max="12039" width="19" style="1327" customWidth="1"/>
    <col min="12040" max="12040" width="17.140625" style="1327" customWidth="1"/>
    <col min="12041" max="12041" width="15.140625" style="1327" customWidth="1"/>
    <col min="12042" max="12042" width="15.7109375" style="1327" customWidth="1"/>
    <col min="12043" max="12043" width="0" style="1327" hidden="1" customWidth="1"/>
    <col min="12044" max="12044" width="18.140625" style="1327" customWidth="1"/>
    <col min="12045" max="12288" width="9.140625" style="1327"/>
    <col min="12289" max="12289" width="4.85546875" style="1327" customWidth="1"/>
    <col min="12290" max="12290" width="7.5703125" style="1327" customWidth="1"/>
    <col min="12291" max="12291" width="9.42578125" style="1327" customWidth="1"/>
    <col min="12292" max="12292" width="45" style="1327" customWidth="1"/>
    <col min="12293" max="12293" width="10.5703125" style="1327" customWidth="1"/>
    <col min="12294" max="12294" width="20.5703125" style="1327" customWidth="1"/>
    <col min="12295" max="12295" width="19" style="1327" customWidth="1"/>
    <col min="12296" max="12296" width="17.140625" style="1327" customWidth="1"/>
    <col min="12297" max="12297" width="15.140625" style="1327" customWidth="1"/>
    <col min="12298" max="12298" width="15.7109375" style="1327" customWidth="1"/>
    <col min="12299" max="12299" width="0" style="1327" hidden="1" customWidth="1"/>
    <col min="12300" max="12300" width="18.140625" style="1327" customWidth="1"/>
    <col min="12301" max="12544" width="9.140625" style="1327"/>
    <col min="12545" max="12545" width="4.85546875" style="1327" customWidth="1"/>
    <col min="12546" max="12546" width="7.5703125" style="1327" customWidth="1"/>
    <col min="12547" max="12547" width="9.42578125" style="1327" customWidth="1"/>
    <col min="12548" max="12548" width="45" style="1327" customWidth="1"/>
    <col min="12549" max="12549" width="10.5703125" style="1327" customWidth="1"/>
    <col min="12550" max="12550" width="20.5703125" style="1327" customWidth="1"/>
    <col min="12551" max="12551" width="19" style="1327" customWidth="1"/>
    <col min="12552" max="12552" width="17.140625" style="1327" customWidth="1"/>
    <col min="12553" max="12553" width="15.140625" style="1327" customWidth="1"/>
    <col min="12554" max="12554" width="15.7109375" style="1327" customWidth="1"/>
    <col min="12555" max="12555" width="0" style="1327" hidden="1" customWidth="1"/>
    <col min="12556" max="12556" width="18.140625" style="1327" customWidth="1"/>
    <col min="12557" max="12800" width="9.140625" style="1327"/>
    <col min="12801" max="12801" width="4.85546875" style="1327" customWidth="1"/>
    <col min="12802" max="12802" width="7.5703125" style="1327" customWidth="1"/>
    <col min="12803" max="12803" width="9.42578125" style="1327" customWidth="1"/>
    <col min="12804" max="12804" width="45" style="1327" customWidth="1"/>
    <col min="12805" max="12805" width="10.5703125" style="1327" customWidth="1"/>
    <col min="12806" max="12806" width="20.5703125" style="1327" customWidth="1"/>
    <col min="12807" max="12807" width="19" style="1327" customWidth="1"/>
    <col min="12808" max="12808" width="17.140625" style="1327" customWidth="1"/>
    <col min="12809" max="12809" width="15.140625" style="1327" customWidth="1"/>
    <col min="12810" max="12810" width="15.7109375" style="1327" customWidth="1"/>
    <col min="12811" max="12811" width="0" style="1327" hidden="1" customWidth="1"/>
    <col min="12812" max="12812" width="18.140625" style="1327" customWidth="1"/>
    <col min="12813" max="13056" width="9.140625" style="1327"/>
    <col min="13057" max="13057" width="4.85546875" style="1327" customWidth="1"/>
    <col min="13058" max="13058" width="7.5703125" style="1327" customWidth="1"/>
    <col min="13059" max="13059" width="9.42578125" style="1327" customWidth="1"/>
    <col min="13060" max="13060" width="45" style="1327" customWidth="1"/>
    <col min="13061" max="13061" width="10.5703125" style="1327" customWidth="1"/>
    <col min="13062" max="13062" width="20.5703125" style="1327" customWidth="1"/>
    <col min="13063" max="13063" width="19" style="1327" customWidth="1"/>
    <col min="13064" max="13064" width="17.140625" style="1327" customWidth="1"/>
    <col min="13065" max="13065" width="15.140625" style="1327" customWidth="1"/>
    <col min="13066" max="13066" width="15.7109375" style="1327" customWidth="1"/>
    <col min="13067" max="13067" width="0" style="1327" hidden="1" customWidth="1"/>
    <col min="13068" max="13068" width="18.140625" style="1327" customWidth="1"/>
    <col min="13069" max="13312" width="9.140625" style="1327"/>
    <col min="13313" max="13313" width="4.85546875" style="1327" customWidth="1"/>
    <col min="13314" max="13314" width="7.5703125" style="1327" customWidth="1"/>
    <col min="13315" max="13315" width="9.42578125" style="1327" customWidth="1"/>
    <col min="13316" max="13316" width="45" style="1327" customWidth="1"/>
    <col min="13317" max="13317" width="10.5703125" style="1327" customWidth="1"/>
    <col min="13318" max="13318" width="20.5703125" style="1327" customWidth="1"/>
    <col min="13319" max="13319" width="19" style="1327" customWidth="1"/>
    <col min="13320" max="13320" width="17.140625" style="1327" customWidth="1"/>
    <col min="13321" max="13321" width="15.140625" style="1327" customWidth="1"/>
    <col min="13322" max="13322" width="15.7109375" style="1327" customWidth="1"/>
    <col min="13323" max="13323" width="0" style="1327" hidden="1" customWidth="1"/>
    <col min="13324" max="13324" width="18.140625" style="1327" customWidth="1"/>
    <col min="13325" max="13568" width="9.140625" style="1327"/>
    <col min="13569" max="13569" width="4.85546875" style="1327" customWidth="1"/>
    <col min="13570" max="13570" width="7.5703125" style="1327" customWidth="1"/>
    <col min="13571" max="13571" width="9.42578125" style="1327" customWidth="1"/>
    <col min="13572" max="13572" width="45" style="1327" customWidth="1"/>
    <col min="13573" max="13573" width="10.5703125" style="1327" customWidth="1"/>
    <col min="13574" max="13574" width="20.5703125" style="1327" customWidth="1"/>
    <col min="13575" max="13575" width="19" style="1327" customWidth="1"/>
    <col min="13576" max="13576" width="17.140625" style="1327" customWidth="1"/>
    <col min="13577" max="13577" width="15.140625" style="1327" customWidth="1"/>
    <col min="13578" max="13578" width="15.7109375" style="1327" customWidth="1"/>
    <col min="13579" max="13579" width="0" style="1327" hidden="1" customWidth="1"/>
    <col min="13580" max="13580" width="18.140625" style="1327" customWidth="1"/>
    <col min="13581" max="13824" width="9.140625" style="1327"/>
    <col min="13825" max="13825" width="4.85546875" style="1327" customWidth="1"/>
    <col min="13826" max="13826" width="7.5703125" style="1327" customWidth="1"/>
    <col min="13827" max="13827" width="9.42578125" style="1327" customWidth="1"/>
    <col min="13828" max="13828" width="45" style="1327" customWidth="1"/>
    <col min="13829" max="13829" width="10.5703125" style="1327" customWidth="1"/>
    <col min="13830" max="13830" width="20.5703125" style="1327" customWidth="1"/>
    <col min="13831" max="13831" width="19" style="1327" customWidth="1"/>
    <col min="13832" max="13832" width="17.140625" style="1327" customWidth="1"/>
    <col min="13833" max="13833" width="15.140625" style="1327" customWidth="1"/>
    <col min="13834" max="13834" width="15.7109375" style="1327" customWidth="1"/>
    <col min="13835" max="13835" width="0" style="1327" hidden="1" customWidth="1"/>
    <col min="13836" max="13836" width="18.140625" style="1327" customWidth="1"/>
    <col min="13837" max="14080" width="9.140625" style="1327"/>
    <col min="14081" max="14081" width="4.85546875" style="1327" customWidth="1"/>
    <col min="14082" max="14082" width="7.5703125" style="1327" customWidth="1"/>
    <col min="14083" max="14083" width="9.42578125" style="1327" customWidth="1"/>
    <col min="14084" max="14084" width="45" style="1327" customWidth="1"/>
    <col min="14085" max="14085" width="10.5703125" style="1327" customWidth="1"/>
    <col min="14086" max="14086" width="20.5703125" style="1327" customWidth="1"/>
    <col min="14087" max="14087" width="19" style="1327" customWidth="1"/>
    <col min="14088" max="14088" width="17.140625" style="1327" customWidth="1"/>
    <col min="14089" max="14089" width="15.140625" style="1327" customWidth="1"/>
    <col min="14090" max="14090" width="15.7109375" style="1327" customWidth="1"/>
    <col min="14091" max="14091" width="0" style="1327" hidden="1" customWidth="1"/>
    <col min="14092" max="14092" width="18.140625" style="1327" customWidth="1"/>
    <col min="14093" max="14336" width="9.140625" style="1327"/>
    <col min="14337" max="14337" width="4.85546875" style="1327" customWidth="1"/>
    <col min="14338" max="14338" width="7.5703125" style="1327" customWidth="1"/>
    <col min="14339" max="14339" width="9.42578125" style="1327" customWidth="1"/>
    <col min="14340" max="14340" width="45" style="1327" customWidth="1"/>
    <col min="14341" max="14341" width="10.5703125" style="1327" customWidth="1"/>
    <col min="14342" max="14342" width="20.5703125" style="1327" customWidth="1"/>
    <col min="14343" max="14343" width="19" style="1327" customWidth="1"/>
    <col min="14344" max="14344" width="17.140625" style="1327" customWidth="1"/>
    <col min="14345" max="14345" width="15.140625" style="1327" customWidth="1"/>
    <col min="14346" max="14346" width="15.7109375" style="1327" customWidth="1"/>
    <col min="14347" max="14347" width="0" style="1327" hidden="1" customWidth="1"/>
    <col min="14348" max="14348" width="18.140625" style="1327" customWidth="1"/>
    <col min="14349" max="14592" width="9.140625" style="1327"/>
    <col min="14593" max="14593" width="4.85546875" style="1327" customWidth="1"/>
    <col min="14594" max="14594" width="7.5703125" style="1327" customWidth="1"/>
    <col min="14595" max="14595" width="9.42578125" style="1327" customWidth="1"/>
    <col min="14596" max="14596" width="45" style="1327" customWidth="1"/>
    <col min="14597" max="14597" width="10.5703125" style="1327" customWidth="1"/>
    <col min="14598" max="14598" width="20.5703125" style="1327" customWidth="1"/>
    <col min="14599" max="14599" width="19" style="1327" customWidth="1"/>
    <col min="14600" max="14600" width="17.140625" style="1327" customWidth="1"/>
    <col min="14601" max="14601" width="15.140625" style="1327" customWidth="1"/>
    <col min="14602" max="14602" width="15.7109375" style="1327" customWidth="1"/>
    <col min="14603" max="14603" width="0" style="1327" hidden="1" customWidth="1"/>
    <col min="14604" max="14604" width="18.140625" style="1327" customWidth="1"/>
    <col min="14605" max="14848" width="9.140625" style="1327"/>
    <col min="14849" max="14849" width="4.85546875" style="1327" customWidth="1"/>
    <col min="14850" max="14850" width="7.5703125" style="1327" customWidth="1"/>
    <col min="14851" max="14851" width="9.42578125" style="1327" customWidth="1"/>
    <col min="14852" max="14852" width="45" style="1327" customWidth="1"/>
    <col min="14853" max="14853" width="10.5703125" style="1327" customWidth="1"/>
    <col min="14854" max="14854" width="20.5703125" style="1327" customWidth="1"/>
    <col min="14855" max="14855" width="19" style="1327" customWidth="1"/>
    <col min="14856" max="14856" width="17.140625" style="1327" customWidth="1"/>
    <col min="14857" max="14857" width="15.140625" style="1327" customWidth="1"/>
    <col min="14858" max="14858" width="15.7109375" style="1327" customWidth="1"/>
    <col min="14859" max="14859" width="0" style="1327" hidden="1" customWidth="1"/>
    <col min="14860" max="14860" width="18.140625" style="1327" customWidth="1"/>
    <col min="14861" max="15104" width="9.140625" style="1327"/>
    <col min="15105" max="15105" width="4.85546875" style="1327" customWidth="1"/>
    <col min="15106" max="15106" width="7.5703125" style="1327" customWidth="1"/>
    <col min="15107" max="15107" width="9.42578125" style="1327" customWidth="1"/>
    <col min="15108" max="15108" width="45" style="1327" customWidth="1"/>
    <col min="15109" max="15109" width="10.5703125" style="1327" customWidth="1"/>
    <col min="15110" max="15110" width="20.5703125" style="1327" customWidth="1"/>
    <col min="15111" max="15111" width="19" style="1327" customWidth="1"/>
    <col min="15112" max="15112" width="17.140625" style="1327" customWidth="1"/>
    <col min="15113" max="15113" width="15.140625" style="1327" customWidth="1"/>
    <col min="15114" max="15114" width="15.7109375" style="1327" customWidth="1"/>
    <col min="15115" max="15115" width="0" style="1327" hidden="1" customWidth="1"/>
    <col min="15116" max="15116" width="18.140625" style="1327" customWidth="1"/>
    <col min="15117" max="15360" width="9.140625" style="1327"/>
    <col min="15361" max="15361" width="4.85546875" style="1327" customWidth="1"/>
    <col min="15362" max="15362" width="7.5703125" style="1327" customWidth="1"/>
    <col min="15363" max="15363" width="9.42578125" style="1327" customWidth="1"/>
    <col min="15364" max="15364" width="45" style="1327" customWidth="1"/>
    <col min="15365" max="15365" width="10.5703125" style="1327" customWidth="1"/>
    <col min="15366" max="15366" width="20.5703125" style="1327" customWidth="1"/>
    <col min="15367" max="15367" width="19" style="1327" customWidth="1"/>
    <col min="15368" max="15368" width="17.140625" style="1327" customWidth="1"/>
    <col min="15369" max="15369" width="15.140625" style="1327" customWidth="1"/>
    <col min="15370" max="15370" width="15.7109375" style="1327" customWidth="1"/>
    <col min="15371" max="15371" width="0" style="1327" hidden="1" customWidth="1"/>
    <col min="15372" max="15372" width="18.140625" style="1327" customWidth="1"/>
    <col min="15373" max="15616" width="9.140625" style="1327"/>
    <col min="15617" max="15617" width="4.85546875" style="1327" customWidth="1"/>
    <col min="15618" max="15618" width="7.5703125" style="1327" customWidth="1"/>
    <col min="15619" max="15619" width="9.42578125" style="1327" customWidth="1"/>
    <col min="15620" max="15620" width="45" style="1327" customWidth="1"/>
    <col min="15621" max="15621" width="10.5703125" style="1327" customWidth="1"/>
    <col min="15622" max="15622" width="20.5703125" style="1327" customWidth="1"/>
    <col min="15623" max="15623" width="19" style="1327" customWidth="1"/>
    <col min="15624" max="15624" width="17.140625" style="1327" customWidth="1"/>
    <col min="15625" max="15625" width="15.140625" style="1327" customWidth="1"/>
    <col min="15626" max="15626" width="15.7109375" style="1327" customWidth="1"/>
    <col min="15627" max="15627" width="0" style="1327" hidden="1" customWidth="1"/>
    <col min="15628" max="15628" width="18.140625" style="1327" customWidth="1"/>
    <col min="15629" max="15872" width="9.140625" style="1327"/>
    <col min="15873" max="15873" width="4.85546875" style="1327" customWidth="1"/>
    <col min="15874" max="15874" width="7.5703125" style="1327" customWidth="1"/>
    <col min="15875" max="15875" width="9.42578125" style="1327" customWidth="1"/>
    <col min="15876" max="15876" width="45" style="1327" customWidth="1"/>
    <col min="15877" max="15877" width="10.5703125" style="1327" customWidth="1"/>
    <col min="15878" max="15878" width="20.5703125" style="1327" customWidth="1"/>
    <col min="15879" max="15879" width="19" style="1327" customWidth="1"/>
    <col min="15880" max="15880" width="17.140625" style="1327" customWidth="1"/>
    <col min="15881" max="15881" width="15.140625" style="1327" customWidth="1"/>
    <col min="15882" max="15882" width="15.7109375" style="1327" customWidth="1"/>
    <col min="15883" max="15883" width="0" style="1327" hidden="1" customWidth="1"/>
    <col min="15884" max="15884" width="18.140625" style="1327" customWidth="1"/>
    <col min="15885" max="16128" width="9.140625" style="1327"/>
    <col min="16129" max="16129" width="4.85546875" style="1327" customWidth="1"/>
    <col min="16130" max="16130" width="7.5703125" style="1327" customWidth="1"/>
    <col min="16131" max="16131" width="9.42578125" style="1327" customWidth="1"/>
    <col min="16132" max="16132" width="45" style="1327" customWidth="1"/>
    <col min="16133" max="16133" width="10.5703125" style="1327" customWidth="1"/>
    <col min="16134" max="16134" width="20.5703125" style="1327" customWidth="1"/>
    <col min="16135" max="16135" width="19" style="1327" customWidth="1"/>
    <col min="16136" max="16136" width="17.140625" style="1327" customWidth="1"/>
    <col min="16137" max="16137" width="15.140625" style="1327" customWidth="1"/>
    <col min="16138" max="16138" width="15.7109375" style="1327" customWidth="1"/>
    <col min="16139" max="16139" width="0" style="1327" hidden="1" customWidth="1"/>
    <col min="16140" max="16140" width="18.140625" style="1327" customWidth="1"/>
    <col min="16141" max="16384" width="9.140625" style="1327"/>
  </cols>
  <sheetData>
    <row r="1" spans="1:11" s="1325" customFormat="1" ht="51.75" customHeight="1" outlineLevel="1" x14ac:dyDescent="0.3">
      <c r="A1" s="1396"/>
      <c r="B1" s="1397" t="s">
        <v>630</v>
      </c>
      <c r="C1" s="1398"/>
      <c r="D1" s="1399"/>
      <c r="E1" s="1400"/>
      <c r="F1" s="1401"/>
      <c r="G1" s="1402"/>
      <c r="H1" s="1403"/>
      <c r="I1" s="1404"/>
      <c r="J1" s="1404"/>
      <c r="K1" s="1396"/>
    </row>
    <row r="2" spans="1:11" s="1326" customFormat="1" ht="17.25" customHeight="1" outlineLevel="1" thickBot="1" x14ac:dyDescent="0.35">
      <c r="A2" s="1405"/>
      <c r="B2" s="1397"/>
      <c r="C2" s="1406"/>
      <c r="D2" s="1407"/>
      <c r="E2" s="1408"/>
      <c r="F2" s="1409"/>
      <c r="G2" s="1410"/>
      <c r="H2" s="1410"/>
      <c r="I2" s="1410"/>
      <c r="J2" s="1410"/>
      <c r="K2" s="1405"/>
    </row>
    <row r="3" spans="1:11" ht="28.5" customHeight="1" x14ac:dyDescent="0.25">
      <c r="A3" s="1411"/>
      <c r="B3" s="1684" t="s">
        <v>6</v>
      </c>
      <c r="C3" s="1412" t="s">
        <v>596</v>
      </c>
      <c r="D3" s="1413"/>
      <c r="E3" s="1414"/>
      <c r="F3" s="1415"/>
      <c r="G3" s="1416"/>
      <c r="H3" s="1687" t="s">
        <v>631</v>
      </c>
      <c r="I3" s="1688"/>
      <c r="J3" s="1689"/>
      <c r="K3" s="1417" t="s">
        <v>607</v>
      </c>
    </row>
    <row r="4" spans="1:11" s="1328" customFormat="1" ht="29.25" customHeight="1" x14ac:dyDescent="0.25">
      <c r="A4" s="1418"/>
      <c r="B4" s="1685"/>
      <c r="C4" s="1419"/>
      <c r="D4" s="1420"/>
      <c r="E4" s="1421"/>
      <c r="F4" s="1422"/>
      <c r="G4" s="1423" t="s">
        <v>34</v>
      </c>
      <c r="H4" s="1424">
        <v>4769</v>
      </c>
      <c r="I4" s="1424">
        <v>4769</v>
      </c>
      <c r="J4" s="1425">
        <v>4746</v>
      </c>
      <c r="K4" s="1426"/>
    </row>
    <row r="5" spans="1:11" s="1329" customFormat="1" ht="63" customHeight="1" thickBot="1" x14ac:dyDescent="0.35">
      <c r="A5" s="1427"/>
      <c r="B5" s="1686"/>
      <c r="C5" s="1428" t="s">
        <v>597</v>
      </c>
      <c r="D5" s="1429" t="s">
        <v>598</v>
      </c>
      <c r="E5" s="1430" t="s">
        <v>599</v>
      </c>
      <c r="F5" s="1431" t="s">
        <v>632</v>
      </c>
      <c r="G5" s="1432" t="s">
        <v>600</v>
      </c>
      <c r="H5" s="1433" t="s">
        <v>601</v>
      </c>
      <c r="I5" s="1434" t="s">
        <v>602</v>
      </c>
      <c r="J5" s="1435" t="s">
        <v>633</v>
      </c>
      <c r="K5" s="1436"/>
    </row>
    <row r="6" spans="1:11" s="1330" customFormat="1" ht="13.5" customHeight="1" x14ac:dyDescent="0.25">
      <c r="A6" s="1437"/>
      <c r="B6" s="1690"/>
      <c r="C6" s="1690"/>
      <c r="D6" s="1690"/>
      <c r="E6" s="1690"/>
      <c r="F6" s="1690"/>
      <c r="G6" s="1690"/>
      <c r="H6" s="1690"/>
      <c r="I6" s="1690"/>
      <c r="J6" s="1690"/>
      <c r="K6" s="1437"/>
    </row>
    <row r="7" spans="1:11" s="1447" customFormat="1" ht="15.75" customHeight="1" x14ac:dyDescent="0.2">
      <c r="A7" s="1438"/>
      <c r="B7" s="1682" t="s">
        <v>7</v>
      </c>
      <c r="C7" s="1439"/>
      <c r="D7" s="1440" t="s">
        <v>634</v>
      </c>
      <c r="E7" s="1441" t="s">
        <v>635</v>
      </c>
      <c r="F7" s="1442">
        <v>350000</v>
      </c>
      <c r="G7" s="1443">
        <v>350000</v>
      </c>
      <c r="H7" s="1444">
        <f>G7</f>
        <v>350000</v>
      </c>
      <c r="I7" s="1445"/>
      <c r="J7" s="1446"/>
      <c r="K7" s="1438"/>
    </row>
    <row r="8" spans="1:11" s="1456" customFormat="1" ht="15" x14ac:dyDescent="0.2">
      <c r="A8" s="1438"/>
      <c r="B8" s="1683"/>
      <c r="C8" s="1448"/>
      <c r="D8" s="1449"/>
      <c r="E8" s="1450"/>
      <c r="F8" s="1451"/>
      <c r="G8" s="1452"/>
      <c r="H8" s="1453"/>
      <c r="I8" s="1454"/>
      <c r="J8" s="1455"/>
      <c r="K8" s="1438"/>
    </row>
    <row r="9" spans="1:11" s="1447" customFormat="1" ht="20.25" customHeight="1" x14ac:dyDescent="0.25">
      <c r="A9" s="1457"/>
      <c r="B9" s="1683"/>
      <c r="C9" s="1458"/>
      <c r="D9" s="1459"/>
      <c r="E9" s="1460"/>
      <c r="F9" s="1461">
        <f>SUM(F7:F8)</f>
        <v>350000</v>
      </c>
      <c r="G9" s="1462">
        <f>SUM(G7:G8)</f>
        <v>350000</v>
      </c>
      <c r="H9" s="1463">
        <f>SUM(H7:H8)</f>
        <v>350000</v>
      </c>
      <c r="I9" s="1464">
        <f>SUM(I7:I8)</f>
        <v>0</v>
      </c>
      <c r="J9" s="1465"/>
      <c r="K9" s="1457"/>
    </row>
    <row r="10" spans="1:11" s="1447" customFormat="1" ht="9" customHeight="1" x14ac:dyDescent="0.2">
      <c r="A10" s="1438"/>
      <c r="B10" s="1466"/>
      <c r="C10" s="1467"/>
      <c r="D10" s="1468"/>
      <c r="E10" s="1469"/>
      <c r="F10" s="1470"/>
      <c r="G10" s="1471"/>
      <c r="H10" s="1472"/>
      <c r="I10" s="1473"/>
      <c r="J10" s="1474"/>
      <c r="K10" s="1475"/>
    </row>
    <row r="11" spans="1:11" s="1456" customFormat="1" ht="36" customHeight="1" x14ac:dyDescent="0.2">
      <c r="A11" s="1438"/>
      <c r="B11" s="1682" t="s">
        <v>14</v>
      </c>
      <c r="C11" s="1476"/>
      <c r="D11" s="1440" t="s">
        <v>636</v>
      </c>
      <c r="E11" s="1441" t="s">
        <v>604</v>
      </c>
      <c r="F11" s="1442">
        <v>840000</v>
      </c>
      <c r="G11" s="1443"/>
      <c r="H11" s="1444"/>
      <c r="I11" s="1477"/>
      <c r="J11" s="1446"/>
      <c r="K11" s="1438"/>
    </row>
    <row r="12" spans="1:11" s="1456" customFormat="1" ht="15" x14ac:dyDescent="0.2">
      <c r="A12" s="1438"/>
      <c r="B12" s="1683"/>
      <c r="C12" s="1478"/>
      <c r="D12" s="1449" t="s">
        <v>637</v>
      </c>
      <c r="E12" s="1450" t="s">
        <v>605</v>
      </c>
      <c r="F12" s="1451">
        <v>350000</v>
      </c>
      <c r="G12" s="1452">
        <v>350000</v>
      </c>
      <c r="H12" s="1453">
        <f>G12</f>
        <v>350000</v>
      </c>
      <c r="I12" s="1479"/>
      <c r="J12" s="1455"/>
      <c r="K12" s="1438"/>
    </row>
    <row r="13" spans="1:11" s="1456" customFormat="1" ht="15" x14ac:dyDescent="0.2">
      <c r="A13" s="1438"/>
      <c r="B13" s="1683"/>
      <c r="C13" s="1478"/>
      <c r="D13" s="1449"/>
      <c r="E13" s="1450"/>
      <c r="F13" s="1451"/>
      <c r="G13" s="1452"/>
      <c r="H13" s="1453"/>
      <c r="I13" s="1479"/>
      <c r="J13" s="1455"/>
      <c r="K13" s="1438"/>
    </row>
    <row r="14" spans="1:11" s="1456" customFormat="1" ht="24" customHeight="1" x14ac:dyDescent="0.25">
      <c r="A14" s="1457"/>
      <c r="B14" s="1683"/>
      <c r="C14" s="1458"/>
      <c r="D14" s="1459"/>
      <c r="E14" s="1460"/>
      <c r="F14" s="1461">
        <f>SUM(F11:F12)</f>
        <v>1190000</v>
      </c>
      <c r="G14" s="1462">
        <f>SUM(G11:G12)</f>
        <v>350000</v>
      </c>
      <c r="H14" s="1463">
        <f>SUM(H11:H12)</f>
        <v>350000</v>
      </c>
      <c r="I14" s="1464">
        <f>SUM(I11:I12)</f>
        <v>0</v>
      </c>
      <c r="J14" s="1465"/>
      <c r="K14" s="1457"/>
    </row>
    <row r="15" spans="1:11" s="1456" customFormat="1" ht="8.25" customHeight="1" x14ac:dyDescent="0.2">
      <c r="A15" s="1438"/>
      <c r="B15" s="1466"/>
      <c r="C15" s="1467"/>
      <c r="D15" s="1468"/>
      <c r="E15" s="1469"/>
      <c r="F15" s="1470"/>
      <c r="G15" s="1480"/>
      <c r="H15" s="1472"/>
      <c r="I15" s="1473"/>
      <c r="J15" s="1474"/>
      <c r="K15" s="1475"/>
    </row>
    <row r="16" spans="1:11" s="1456" customFormat="1" ht="30.75" customHeight="1" x14ac:dyDescent="0.2">
      <c r="A16" s="1438"/>
      <c r="B16" s="1682" t="s">
        <v>13</v>
      </c>
      <c r="C16" s="1439"/>
      <c r="D16" s="1440" t="s">
        <v>638</v>
      </c>
      <c r="E16" s="1481" t="s">
        <v>603</v>
      </c>
      <c r="F16" s="1442">
        <v>500000</v>
      </c>
      <c r="G16" s="1443"/>
      <c r="H16" s="1444"/>
      <c r="I16" s="1477"/>
      <c r="J16" s="1446"/>
      <c r="K16" s="1438"/>
    </row>
    <row r="17" spans="1:12" s="1456" customFormat="1" ht="30" x14ac:dyDescent="0.2">
      <c r="A17" s="1438"/>
      <c r="B17" s="1683"/>
      <c r="C17" s="1478"/>
      <c r="D17" s="1449" t="s">
        <v>639</v>
      </c>
      <c r="E17" s="1450" t="s">
        <v>640</v>
      </c>
      <c r="F17" s="1482">
        <v>3000000</v>
      </c>
      <c r="G17" s="1452"/>
      <c r="H17" s="1453"/>
      <c r="I17" s="1479"/>
      <c r="J17" s="1455"/>
      <c r="K17" s="1438"/>
    </row>
    <row r="18" spans="1:12" s="1456" customFormat="1" ht="15" x14ac:dyDescent="0.2">
      <c r="A18" s="1438"/>
      <c r="B18" s="1683"/>
      <c r="C18" s="1478"/>
      <c r="D18" s="1449"/>
      <c r="E18" s="1450"/>
      <c r="F18" s="1451"/>
      <c r="G18" s="1452"/>
      <c r="H18" s="1453"/>
      <c r="I18" s="1479"/>
      <c r="J18" s="1455"/>
      <c r="K18" s="1438"/>
    </row>
    <row r="19" spans="1:12" s="1483" customFormat="1" ht="24.75" customHeight="1" x14ac:dyDescent="0.25">
      <c r="A19" s="1457"/>
      <c r="B19" s="1683"/>
      <c r="C19" s="1458"/>
      <c r="D19" s="1459"/>
      <c r="E19" s="1460"/>
      <c r="F19" s="1461">
        <f>SUM(F16:F18)</f>
        <v>3500000</v>
      </c>
      <c r="G19" s="1462">
        <f>SUM(G16:G18)</f>
        <v>0</v>
      </c>
      <c r="H19" s="1463">
        <f>SUM(H16:H18)</f>
        <v>0</v>
      </c>
      <c r="I19" s="1464">
        <f>SUM(I16:I18)</f>
        <v>0</v>
      </c>
      <c r="J19" s="1465"/>
      <c r="K19" s="1457"/>
    </row>
    <row r="20" spans="1:12" s="1456" customFormat="1" ht="9" customHeight="1" x14ac:dyDescent="0.2">
      <c r="A20" s="1438"/>
      <c r="B20" s="1484"/>
      <c r="C20" s="1485"/>
      <c r="D20" s="1486"/>
      <c r="E20" s="1487"/>
      <c r="F20" s="1488"/>
      <c r="G20" s="1471"/>
      <c r="H20" s="1489"/>
      <c r="I20" s="1490"/>
      <c r="J20" s="1491"/>
      <c r="K20" s="1438"/>
    </row>
    <row r="21" spans="1:12" s="1447" customFormat="1" ht="16.5" customHeight="1" x14ac:dyDescent="0.2">
      <c r="A21" s="1438"/>
      <c r="B21" s="1682" t="s">
        <v>8</v>
      </c>
      <c r="C21" s="1439"/>
      <c r="D21" s="1440" t="s">
        <v>641</v>
      </c>
      <c r="E21" s="1492" t="s">
        <v>642</v>
      </c>
      <c r="F21" s="1442">
        <v>200000</v>
      </c>
      <c r="G21" s="1493">
        <f>F21</f>
        <v>200000</v>
      </c>
      <c r="H21" s="1494">
        <f>G21</f>
        <v>200000</v>
      </c>
      <c r="I21" s="1477"/>
      <c r="J21" s="1446"/>
      <c r="K21" s="1438"/>
    </row>
    <row r="22" spans="1:12" s="1447" customFormat="1" ht="15" x14ac:dyDescent="0.2">
      <c r="A22" s="1438"/>
      <c r="B22" s="1683"/>
      <c r="C22" s="1478"/>
      <c r="D22" s="1449"/>
      <c r="E22" s="1495"/>
      <c r="F22" s="1451"/>
      <c r="G22" s="1452"/>
      <c r="H22" s="1453"/>
      <c r="I22" s="1454"/>
      <c r="J22" s="1455"/>
      <c r="K22" s="1438"/>
      <c r="L22" s="1438"/>
    </row>
    <row r="23" spans="1:12" s="1447" customFormat="1" ht="24.75" customHeight="1" x14ac:dyDescent="0.25">
      <c r="A23" s="1457"/>
      <c r="B23" s="1683"/>
      <c r="C23" s="1458"/>
      <c r="D23" s="1459"/>
      <c r="E23" s="1460"/>
      <c r="F23" s="1461">
        <f>SUM(F21:F22)</f>
        <v>200000</v>
      </c>
      <c r="G23" s="1462">
        <f>SUM(G21:G22)</f>
        <v>200000</v>
      </c>
      <c r="H23" s="1463">
        <f>SUM(H21:H22)</f>
        <v>200000</v>
      </c>
      <c r="I23" s="1464">
        <f>SUM(I21:I22)</f>
        <v>0</v>
      </c>
      <c r="J23" s="1465"/>
      <c r="K23" s="1457"/>
    </row>
    <row r="24" spans="1:12" s="1447" customFormat="1" ht="9" customHeight="1" x14ac:dyDescent="0.2">
      <c r="A24" s="1438"/>
      <c r="B24" s="1466"/>
      <c r="C24" s="1467"/>
      <c r="D24" s="1468"/>
      <c r="E24" s="1469"/>
      <c r="F24" s="1470"/>
      <c r="G24" s="1471"/>
      <c r="H24" s="1472"/>
      <c r="I24" s="1473"/>
      <c r="J24" s="1474"/>
      <c r="K24" s="1475"/>
    </row>
    <row r="25" spans="1:12" s="1447" customFormat="1" ht="15.75" customHeight="1" x14ac:dyDescent="0.2">
      <c r="A25" s="1438"/>
      <c r="B25" s="1682" t="s">
        <v>15</v>
      </c>
      <c r="C25" s="1496"/>
      <c r="D25" s="1440" t="s">
        <v>643</v>
      </c>
      <c r="E25" s="1492" t="s">
        <v>606</v>
      </c>
      <c r="F25" s="1442">
        <v>183000</v>
      </c>
      <c r="G25" s="1443">
        <f>F25</f>
        <v>183000</v>
      </c>
      <c r="H25" s="1444">
        <f>G25</f>
        <v>183000</v>
      </c>
      <c r="I25" s="1477"/>
      <c r="J25" s="1446"/>
      <c r="K25" s="1438"/>
    </row>
    <row r="26" spans="1:12" s="1447" customFormat="1" ht="15.75" customHeight="1" x14ac:dyDescent="0.2">
      <c r="A26" s="1438"/>
      <c r="B26" s="1683"/>
      <c r="C26" s="1497"/>
      <c r="D26" s="1449"/>
      <c r="E26" s="1495"/>
      <c r="F26" s="1451"/>
      <c r="G26" s="1452"/>
      <c r="H26" s="1453"/>
      <c r="I26" s="1479"/>
      <c r="J26" s="1455"/>
      <c r="K26" s="1438"/>
    </row>
    <row r="27" spans="1:12" s="1505" customFormat="1" ht="27" customHeight="1" x14ac:dyDescent="0.25">
      <c r="A27" s="1498"/>
      <c r="B27" s="1683"/>
      <c r="C27" s="1499"/>
      <c r="D27" s="1500"/>
      <c r="E27" s="1501"/>
      <c r="F27" s="1502">
        <f>F25+F26</f>
        <v>183000</v>
      </c>
      <c r="G27" s="1462">
        <f>G25+G26</f>
        <v>183000</v>
      </c>
      <c r="H27" s="1463">
        <f>SUM(H25:H26)</f>
        <v>183000</v>
      </c>
      <c r="I27" s="1503"/>
      <c r="J27" s="1504"/>
      <c r="K27" s="1498"/>
    </row>
    <row r="28" spans="1:12" s="1447" customFormat="1" ht="9.75" customHeight="1" x14ac:dyDescent="0.2">
      <c r="A28" s="1438"/>
      <c r="B28" s="1506"/>
      <c r="C28" s="1507"/>
      <c r="D28" s="1508"/>
      <c r="E28" s="1509"/>
      <c r="F28" s="1510"/>
      <c r="G28" s="1471"/>
      <c r="H28" s="1511"/>
      <c r="I28" s="1512"/>
      <c r="J28" s="1513"/>
      <c r="K28" s="1438"/>
    </row>
    <row r="29" spans="1:12" s="1447" customFormat="1" ht="15.75" customHeight="1" x14ac:dyDescent="0.2">
      <c r="A29" s="1438"/>
      <c r="B29" s="1682" t="s">
        <v>1</v>
      </c>
      <c r="C29" s="1496"/>
      <c r="D29" s="1440" t="s">
        <v>644</v>
      </c>
      <c r="E29" s="1492" t="s">
        <v>605</v>
      </c>
      <c r="F29" s="1442">
        <v>350000</v>
      </c>
      <c r="G29" s="1443">
        <v>350000</v>
      </c>
      <c r="H29" s="1444">
        <f>G29</f>
        <v>350000</v>
      </c>
      <c r="I29" s="1477"/>
      <c r="J29" s="1446"/>
      <c r="K29" s="1438"/>
    </row>
    <row r="30" spans="1:12" s="1447" customFormat="1" ht="15" x14ac:dyDescent="0.2">
      <c r="A30" s="1438"/>
      <c r="B30" s="1683"/>
      <c r="C30" s="1478"/>
      <c r="D30" s="1449"/>
      <c r="E30" s="1495"/>
      <c r="F30" s="1451"/>
      <c r="G30" s="1452"/>
      <c r="H30" s="1453"/>
      <c r="I30" s="1479"/>
      <c r="J30" s="1455"/>
      <c r="K30" s="1438"/>
    </row>
    <row r="31" spans="1:12" s="1447" customFormat="1" ht="24" customHeight="1" x14ac:dyDescent="0.25">
      <c r="A31" s="1457"/>
      <c r="B31" s="1683"/>
      <c r="C31" s="1458"/>
      <c r="D31" s="1459"/>
      <c r="E31" s="1460"/>
      <c r="F31" s="1461">
        <f>F29+F30</f>
        <v>350000</v>
      </c>
      <c r="G31" s="1462">
        <f>SUM(G29:G30)</f>
        <v>350000</v>
      </c>
      <c r="H31" s="1463">
        <f>SUM(H29:H30)</f>
        <v>350000</v>
      </c>
      <c r="I31" s="1464">
        <f>SUM(I25:I30)</f>
        <v>0</v>
      </c>
      <c r="J31" s="1465"/>
      <c r="K31" s="1457"/>
    </row>
    <row r="32" spans="1:12" s="1456" customFormat="1" ht="8.25" customHeight="1" x14ac:dyDescent="0.2">
      <c r="A32" s="1438"/>
      <c r="B32" s="1466"/>
      <c r="C32" s="1467"/>
      <c r="D32" s="1514"/>
      <c r="E32" s="1469"/>
      <c r="F32" s="1470"/>
      <c r="G32" s="1471"/>
      <c r="H32" s="1472"/>
      <c r="I32" s="1473"/>
      <c r="J32" s="1474"/>
      <c r="K32" s="1475"/>
    </row>
    <row r="33" spans="1:12" s="1456" customFormat="1" ht="15.75" customHeight="1" x14ac:dyDescent="0.2">
      <c r="A33" s="1438"/>
      <c r="B33" s="1682" t="s">
        <v>68</v>
      </c>
      <c r="C33" s="1439"/>
      <c r="D33" s="1440" t="s">
        <v>645</v>
      </c>
      <c r="E33" s="1441" t="s">
        <v>646</v>
      </c>
      <c r="F33" s="1442">
        <v>2500000</v>
      </c>
      <c r="G33" s="1443">
        <v>2500000</v>
      </c>
      <c r="H33" s="1444"/>
      <c r="I33" s="1477"/>
      <c r="J33" s="1446">
        <v>2500000</v>
      </c>
      <c r="K33" s="1438"/>
    </row>
    <row r="34" spans="1:12" s="1456" customFormat="1" ht="15" x14ac:dyDescent="0.2">
      <c r="A34" s="1438"/>
      <c r="B34" s="1683"/>
      <c r="C34" s="1478"/>
      <c r="D34" s="1449" t="s">
        <v>647</v>
      </c>
      <c r="E34" s="1450" t="s">
        <v>648</v>
      </c>
      <c r="F34" s="1451">
        <v>900000</v>
      </c>
      <c r="G34" s="1452"/>
      <c r="H34" s="1453"/>
      <c r="I34" s="1479"/>
      <c r="J34" s="1455"/>
      <c r="K34" s="1438"/>
    </row>
    <row r="35" spans="1:12" s="1456" customFormat="1" ht="15" x14ac:dyDescent="0.2">
      <c r="A35" s="1438"/>
      <c r="B35" s="1683"/>
      <c r="C35" s="1478"/>
      <c r="D35" s="1449" t="s">
        <v>649</v>
      </c>
      <c r="E35" s="1450" t="s">
        <v>650</v>
      </c>
      <c r="F35" s="1451">
        <v>1600000</v>
      </c>
      <c r="G35" s="1452"/>
      <c r="H35" s="1453"/>
      <c r="I35" s="1479"/>
      <c r="J35" s="1455"/>
      <c r="K35" s="1438"/>
    </row>
    <row r="36" spans="1:12" s="1456" customFormat="1" ht="15" x14ac:dyDescent="0.2">
      <c r="A36" s="1438"/>
      <c r="B36" s="1683"/>
      <c r="C36" s="1478"/>
      <c r="D36" s="1449" t="s">
        <v>651</v>
      </c>
      <c r="E36" s="1450" t="s">
        <v>604</v>
      </c>
      <c r="F36" s="1451">
        <v>1200000</v>
      </c>
      <c r="G36" s="1452">
        <v>1200000</v>
      </c>
      <c r="H36" s="1453"/>
      <c r="I36" s="1479"/>
      <c r="J36" s="1455">
        <v>1200000</v>
      </c>
      <c r="K36" s="1438"/>
    </row>
    <row r="37" spans="1:12" s="1456" customFormat="1" ht="15" x14ac:dyDescent="0.2">
      <c r="A37" s="1438"/>
      <c r="B37" s="1683"/>
      <c r="C37" s="1478"/>
      <c r="D37" s="1515"/>
      <c r="E37" s="1516"/>
      <c r="F37" s="1517"/>
      <c r="G37" s="1518"/>
      <c r="H37" s="1519"/>
      <c r="I37" s="1479"/>
      <c r="J37" s="1455"/>
      <c r="K37" s="1438"/>
      <c r="L37" s="1520"/>
    </row>
    <row r="38" spans="1:12" s="1456" customFormat="1" ht="27" customHeight="1" x14ac:dyDescent="0.25">
      <c r="A38" s="1457"/>
      <c r="B38" s="1683"/>
      <c r="C38" s="1458"/>
      <c r="D38" s="1521"/>
      <c r="E38" s="1460"/>
      <c r="F38" s="1461">
        <f>SUM(F33:F37)</f>
        <v>6200000</v>
      </c>
      <c r="G38" s="1462">
        <f>SUM(G33:G37)</f>
        <v>3700000</v>
      </c>
      <c r="H38" s="1462">
        <f>SUM(H33:H37)</f>
        <v>0</v>
      </c>
      <c r="I38" s="1462">
        <f>SUM(I33:I37)</f>
        <v>0</v>
      </c>
      <c r="J38" s="1462">
        <f>SUM(J33:J37)</f>
        <v>3700000</v>
      </c>
      <c r="K38" s="1457"/>
    </row>
    <row r="39" spans="1:12" s="1456" customFormat="1" ht="0.75" customHeight="1" thickBot="1" x14ac:dyDescent="0.25">
      <c r="A39" s="1438"/>
      <c r="B39" s="1466"/>
      <c r="C39" s="1467"/>
      <c r="D39" s="1522"/>
      <c r="E39" s="1523"/>
      <c r="F39" s="1470"/>
      <c r="G39" s="1471"/>
      <c r="H39" s="1524"/>
      <c r="I39" s="1525"/>
      <c r="J39" s="1474"/>
      <c r="K39" s="1475"/>
    </row>
    <row r="40" spans="1:12" s="1534" customFormat="1" ht="33" customHeight="1" thickBot="1" x14ac:dyDescent="0.35">
      <c r="A40" s="1526"/>
      <c r="B40" s="1692"/>
      <c r="C40" s="1693"/>
      <c r="D40" s="1527" t="s">
        <v>652</v>
      </c>
      <c r="E40" s="1528"/>
      <c r="F40" s="1529">
        <v>0</v>
      </c>
      <c r="G40" s="1530">
        <v>1000000</v>
      </c>
      <c r="H40" s="1531">
        <v>1000000</v>
      </c>
      <c r="I40" s="1531"/>
      <c r="J40" s="1532"/>
      <c r="K40" s="1533"/>
    </row>
    <row r="41" spans="1:12" s="1541" customFormat="1" ht="45" customHeight="1" thickBot="1" x14ac:dyDescent="0.35">
      <c r="A41" s="1535"/>
      <c r="B41" s="1694"/>
      <c r="C41" s="1695"/>
      <c r="D41" s="1536" t="s">
        <v>70</v>
      </c>
      <c r="E41" s="1537"/>
      <c r="F41" s="1538">
        <f>F38+F31+F27+F23+F19+F14+F9</f>
        <v>11973000</v>
      </c>
      <c r="G41" s="1539">
        <f>G9+G14+G19+G23+G27+G31+G38+G40</f>
        <v>6133000</v>
      </c>
      <c r="H41" s="1539">
        <f>H9+H14+H19+H23+H27+H31+H38+H40</f>
        <v>2433000</v>
      </c>
      <c r="I41" s="1540">
        <f>I9+I14+I19+I23+I27+I31+I38+I40</f>
        <v>0</v>
      </c>
      <c r="J41" s="1539">
        <f>J9+J14+J19+J23+J27+J31+J38+J40</f>
        <v>3700000</v>
      </c>
      <c r="K41" s="1535"/>
    </row>
    <row r="42" spans="1:12" ht="18" x14ac:dyDescent="0.25">
      <c r="A42" s="1411"/>
      <c r="B42" s="1691" t="s">
        <v>653</v>
      </c>
      <c r="C42" s="1691"/>
      <c r="D42" s="1691"/>
      <c r="E42" s="1542"/>
      <c r="F42" s="1543"/>
      <c r="G42" s="1544"/>
      <c r="H42" s="1543"/>
      <c r="I42" s="1543"/>
      <c r="J42" s="1543"/>
      <c r="K42" s="1411"/>
    </row>
    <row r="43" spans="1:12" x14ac:dyDescent="0.2">
      <c r="E43" s="1546"/>
    </row>
    <row r="44" spans="1:12" x14ac:dyDescent="0.2">
      <c r="E44" s="1546"/>
    </row>
    <row r="45" spans="1:12" x14ac:dyDescent="0.2">
      <c r="D45" s="1335"/>
    </row>
  </sheetData>
  <mergeCells count="13">
    <mergeCell ref="B42:D42"/>
    <mergeCell ref="B21:B23"/>
    <mergeCell ref="B25:B27"/>
    <mergeCell ref="B29:B31"/>
    <mergeCell ref="B33:B38"/>
    <mergeCell ref="B40:C40"/>
    <mergeCell ref="B41:C41"/>
    <mergeCell ref="B16:B19"/>
    <mergeCell ref="B3:B5"/>
    <mergeCell ref="H3:J3"/>
    <mergeCell ref="B6:J6"/>
    <mergeCell ref="B7:B9"/>
    <mergeCell ref="B11:B14"/>
  </mergeCells>
  <pageMargins left="0.25" right="0.25" top="0.75" bottom="0.75" header="0.3" footer="0.3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</vt:i4>
      </vt:variant>
    </vt:vector>
  </HeadingPairs>
  <TitlesOfParts>
    <vt:vector size="15" baseType="lpstr">
      <vt:lpstr>str1</vt:lpstr>
      <vt:lpstr>str2</vt:lpstr>
      <vt:lpstr>str3</vt:lpstr>
      <vt:lpstr>str4</vt:lpstr>
      <vt:lpstr>str5</vt:lpstr>
      <vt:lpstr>rozpis pro rozpocet</vt:lpstr>
      <vt:lpstr> rozpis pro HS</vt:lpstr>
      <vt:lpstr>příl.1 - cp 2020</vt:lpstr>
      <vt:lpstr>příl.2 - Velké opravy 2020</vt:lpstr>
      <vt:lpstr>příl.3 - Osnova NEI rozpočtu</vt:lpstr>
      <vt:lpstr>Rozdělení IRP</vt:lpstr>
      <vt:lpstr>pom1 - Přerozdělení DKRVO</vt:lpstr>
      <vt:lpstr>Plánované náklady z DKRVO</vt:lpstr>
      <vt:lpstr>'příl.1 - cp 2020'!Názvy_tisku</vt:lpstr>
      <vt:lpstr>'příl.1 - cp 2020'!Oblast_tisku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J.Tomanova</dc:creator>
  <cp:lastModifiedBy>Aleš Havránek</cp:lastModifiedBy>
  <cp:lastPrinted>2019-02-25T13:13:33Z</cp:lastPrinted>
  <dcterms:created xsi:type="dcterms:W3CDTF">2002-02-05T08:08:05Z</dcterms:created>
  <dcterms:modified xsi:type="dcterms:W3CDTF">2020-02-25T13:52:02Z</dcterms:modified>
</cp:coreProperties>
</file>