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OEF-FINANCOVANI\ROZPOCTY\ROZPOCET_MU\2021\04_Schváleno AS\Odesláno na AS\"/>
    </mc:Choice>
  </mc:AlternateContent>
  <bookViews>
    <workbookView xWindow="0" yWindow="0" windowWidth="19200" windowHeight="11592" tabRatio="835" activeTab="6"/>
  </bookViews>
  <sheets>
    <sheet name="str1" sheetId="1" r:id="rId1"/>
    <sheet name="str2" sheetId="32" r:id="rId2"/>
    <sheet name="str3" sheetId="39" r:id="rId3"/>
    <sheet name="str4" sheetId="37" r:id="rId4"/>
    <sheet name="str5" sheetId="7" r:id="rId5"/>
    <sheet name="rozpis pro rozpocet" sheetId="3" r:id="rId6"/>
    <sheet name=" rozpis pro HS" sheetId="48" r:id="rId7"/>
    <sheet name="příl.1 - cp 2021" sheetId="33" r:id="rId8"/>
    <sheet name="příl.2 - Velké opravy 2021" sheetId="63" r:id="rId9"/>
    <sheet name="příl.3 - Osnova NEI rozpočtu" sheetId="58" r:id="rId10"/>
    <sheet name="Rozdělení IP" sheetId="61" r:id="rId11"/>
    <sheet name="Přehled interních projektů" sheetId="62" r:id="rId12"/>
    <sheet name="pom - Přerozdělení DKRVO" sheetId="56" r:id="rId13"/>
    <sheet name="Plánované náklady z DKRVO" sheetId="57" r:id="rId14"/>
  </sheets>
  <externalReferences>
    <externalReference r:id="rId15"/>
    <externalReference r:id="rId16"/>
    <externalReference r:id="rId17"/>
    <externalReference r:id="rId18"/>
  </externalReferences>
  <definedNames>
    <definedName name="_xlnm._FilterDatabase" localSheetId="11" hidden="1">'Přehled interních projektů'!$A$2:$G$41</definedName>
    <definedName name="_xlnm._FilterDatabase" localSheetId="7" hidden="1">'příl.1 - cp 2021'!$A$5:$K$157</definedName>
    <definedName name="_xlnm._FilterDatabase" localSheetId="10" hidden="1">'Rozdělení IP'!$A$5:$F$90</definedName>
    <definedName name="aa" localSheetId="8">#REF!</definedName>
    <definedName name="aa">#REF!</definedName>
    <definedName name="bbb" localSheetId="8">#REF!</definedName>
    <definedName name="bbb">#REF!</definedName>
    <definedName name="bcd" localSheetId="8">#REF!</definedName>
    <definedName name="bcd">#REF!</definedName>
    <definedName name="bla" localSheetId="13">#REF!</definedName>
    <definedName name="bla" localSheetId="7">#REF!</definedName>
    <definedName name="bla" localSheetId="8">#REF!</definedName>
    <definedName name="bla" localSheetId="9">#REF!</definedName>
    <definedName name="bla" localSheetId="10">#REF!</definedName>
    <definedName name="bla">#REF!</definedName>
    <definedName name="bnla" localSheetId="8">#REF!</definedName>
    <definedName name="bnla">#REF!</definedName>
    <definedName name="CP">'[1]rozevírací seznamy'!$A$2:$A$6</definedName>
    <definedName name="_xlnm.Database" localSheetId="13">#REF!</definedName>
    <definedName name="_xlnm.Database" localSheetId="7">#REF!</definedName>
    <definedName name="_xlnm.Database" localSheetId="8">#REF!</definedName>
    <definedName name="_xlnm.Database" localSheetId="9">#REF!</definedName>
    <definedName name="_xlnm.Database" localSheetId="10">#REF!</definedName>
    <definedName name="_xlnm.Database">#REF!</definedName>
    <definedName name="DruhPožadavku">[2]List1!$A$2:$A$5</definedName>
    <definedName name="dsvs">[3]List1!$A$2:$A$6</definedName>
    <definedName name="Excel_BuiltIn__FilterDatabase_2" localSheetId="8">#REF!</definedName>
    <definedName name="Excel_BuiltIn__FilterDatabase_2">#REF!</definedName>
    <definedName name="Excel_BuiltIn_Database" localSheetId="8">#REF!</definedName>
    <definedName name="Excel_BuiltIn_Database">#REF!</definedName>
    <definedName name="HS">'[1]rozevírací seznamy'!$A$20:$A$39</definedName>
    <definedName name="_xlnm.Print_Titles" localSheetId="7">'příl.1 - cp 2021'!$4:$5</definedName>
    <definedName name="_xlnm.Print_Area" localSheetId="7">'příl.1 - cp 2021'!$A$1:$L$165</definedName>
    <definedName name="_xlnm.Print_Area" localSheetId="8">'příl.2 - Velké opravy 2021'!$A$1:$I$34</definedName>
    <definedName name="oboryCR">#REF!</definedName>
    <definedName name="Osoba">[2]List1!$A$9:$A$18</definedName>
    <definedName name="progr2013" localSheetId="8">#REF!</definedName>
    <definedName name="progr2013">#REF!</definedName>
    <definedName name="test">[4]List1!$A$2:$A$5</definedName>
    <definedName name="xxx" localSheetId="8">#REF!</definedName>
    <definedName name="xxx">#REF!</definedName>
  </definedNames>
  <calcPr calcId="162913"/>
</workbook>
</file>

<file path=xl/calcChain.xml><?xml version="1.0" encoding="utf-8"?>
<calcChain xmlns="http://schemas.openxmlformats.org/spreadsheetml/2006/main">
  <c r="H50" i="3" l="1"/>
  <c r="N34" i="56" l="1"/>
  <c r="J28" i="56" l="1"/>
  <c r="D28" i="56"/>
  <c r="O7" i="56"/>
  <c r="I7" i="56"/>
  <c r="M7" i="56" s="1"/>
  <c r="H87" i="3" s="1"/>
  <c r="H64" i="3"/>
  <c r="F10" i="7"/>
  <c r="D10" i="7"/>
  <c r="L7" i="56" l="1"/>
  <c r="N7" i="56" s="1"/>
  <c r="C5" i="37"/>
  <c r="D5" i="37"/>
  <c r="E9" i="3" s="1"/>
  <c r="E6" i="39"/>
  <c r="E7" i="39"/>
  <c r="E8" i="39"/>
  <c r="E9" i="39"/>
  <c r="E10" i="39"/>
  <c r="E11" i="39"/>
  <c r="E12" i="39"/>
  <c r="E13" i="39"/>
  <c r="E14" i="39"/>
  <c r="E15" i="39"/>
  <c r="E16" i="39"/>
  <c r="E17" i="39"/>
  <c r="E18" i="39"/>
  <c r="E19" i="39"/>
  <c r="E20" i="39"/>
  <c r="C21" i="39"/>
  <c r="D21" i="39"/>
  <c r="B21" i="39"/>
  <c r="E4" i="39"/>
  <c r="H18" i="1"/>
  <c r="G18" i="1"/>
  <c r="E50" i="3" l="1"/>
  <c r="E7" i="56" s="1"/>
  <c r="E5" i="37"/>
  <c r="E21" i="39"/>
  <c r="P7" i="56" l="1"/>
  <c r="Q7" i="56" s="1"/>
  <c r="E87" i="3" s="1"/>
  <c r="F10" i="1"/>
  <c r="AI6" i="32" l="1"/>
  <c r="AD7" i="32"/>
  <c r="AD8" i="32"/>
  <c r="AD9" i="32"/>
  <c r="AD10" i="32"/>
  <c r="AD11" i="32"/>
  <c r="AD12" i="32"/>
  <c r="AD13" i="32"/>
  <c r="AD14" i="32"/>
  <c r="AD6" i="32"/>
  <c r="AE6" i="32" s="1"/>
  <c r="AA6" i="32"/>
  <c r="AC18" i="32"/>
  <c r="H30" i="63" l="1"/>
  <c r="G30" i="63"/>
  <c r="E30" i="63"/>
  <c r="F29" i="63"/>
  <c r="I29" i="63" s="1"/>
  <c r="I28" i="63"/>
  <c r="F27" i="63"/>
  <c r="F30" i="63" s="1"/>
  <c r="I25" i="63"/>
  <c r="E25" i="63"/>
  <c r="F23" i="63"/>
  <c r="F25" i="63" s="1"/>
  <c r="I21" i="63"/>
  <c r="H21" i="63"/>
  <c r="G21" i="63"/>
  <c r="E21" i="63"/>
  <c r="F19" i="63"/>
  <c r="F21" i="63" s="1"/>
  <c r="I17" i="63"/>
  <c r="H17" i="63"/>
  <c r="E17" i="63"/>
  <c r="F16" i="63"/>
  <c r="G16" i="63" s="1"/>
  <c r="F15" i="63"/>
  <c r="F17" i="63" s="1"/>
  <c r="I13" i="63"/>
  <c r="E13" i="63"/>
  <c r="F11" i="63"/>
  <c r="H11" i="63" s="1"/>
  <c r="H13" i="63" s="1"/>
  <c r="G10" i="63"/>
  <c r="G13" i="63" s="1"/>
  <c r="F10" i="63"/>
  <c r="I8" i="63"/>
  <c r="H8" i="63"/>
  <c r="E8" i="63"/>
  <c r="F7" i="63"/>
  <c r="F8" i="63" s="1"/>
  <c r="F13" i="63" l="1"/>
  <c r="H33" i="63"/>
  <c r="E33" i="63"/>
  <c r="G23" i="63"/>
  <c r="G25" i="63" s="1"/>
  <c r="F33" i="63"/>
  <c r="G7" i="63"/>
  <c r="G8" i="63" s="1"/>
  <c r="G15" i="63"/>
  <c r="G17" i="63" s="1"/>
  <c r="I27" i="63"/>
  <c r="I30" i="63" s="1"/>
  <c r="I33" i="63" s="1"/>
  <c r="G33" i="63" l="1"/>
  <c r="D89" i="61" l="1"/>
  <c r="E75" i="61"/>
  <c r="D73" i="61"/>
  <c r="D90" i="61" s="1"/>
  <c r="D71" i="61"/>
  <c r="D69" i="61"/>
  <c r="D68" i="61"/>
  <c r="D62" i="61"/>
  <c r="D61" i="61"/>
  <c r="E60" i="61"/>
  <c r="D59" i="61" s="1"/>
  <c r="D58" i="61"/>
  <c r="D56" i="61"/>
  <c r="D55" i="61"/>
  <c r="D50" i="61"/>
  <c r="D46" i="61"/>
  <c r="D41" i="61"/>
  <c r="D34" i="61"/>
  <c r="D30" i="61"/>
  <c r="D25" i="61"/>
  <c r="D20" i="61"/>
  <c r="D15" i="61"/>
  <c r="D10" i="61"/>
  <c r="D6" i="61"/>
  <c r="D54" i="61" s="1"/>
  <c r="D57" i="61" l="1"/>
  <c r="D2" i="61" s="1"/>
  <c r="D72" i="61"/>
  <c r="E117" i="33"/>
  <c r="H117" i="33"/>
  <c r="I117" i="33"/>
  <c r="I168" i="33" l="1"/>
  <c r="I85" i="33"/>
  <c r="I169" i="33" l="1"/>
  <c r="I87" i="33"/>
  <c r="A87" i="3"/>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50" i="3"/>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H8" i="1" l="1"/>
  <c r="G8" i="1"/>
  <c r="H169" i="33" l="1"/>
  <c r="H168" i="33"/>
  <c r="H167" i="33"/>
  <c r="H146" i="33"/>
  <c r="H145" i="33"/>
  <c r="H143" i="33"/>
  <c r="H119" i="33"/>
  <c r="H115" i="33"/>
  <c r="H113" i="33"/>
  <c r="H110" i="33"/>
  <c r="H108" i="33"/>
  <c r="H106" i="33"/>
  <c r="H104" i="33"/>
  <c r="H102" i="33"/>
  <c r="H98" i="33"/>
  <c r="H96" i="33"/>
  <c r="H93" i="33"/>
  <c r="H91" i="33"/>
  <c r="H85" i="33"/>
  <c r="H13" i="33"/>
  <c r="H7" i="33"/>
  <c r="H6" i="33" l="1"/>
  <c r="H21" i="33"/>
  <c r="H161" i="33" s="1"/>
  <c r="H170" i="33"/>
  <c r="H159" i="33" l="1"/>
  <c r="H163" i="33"/>
  <c r="D24" i="37" l="1"/>
  <c r="D21" i="37"/>
  <c r="D20" i="37"/>
  <c r="D19" i="37"/>
  <c r="D18" i="37"/>
  <c r="D17" i="37"/>
  <c r="D16" i="37"/>
  <c r="D15" i="37"/>
  <c r="D13" i="37"/>
  <c r="D12" i="37"/>
  <c r="D11" i="37"/>
  <c r="D10" i="37"/>
  <c r="D9" i="37"/>
  <c r="D8" i="37"/>
  <c r="D7" i="37"/>
  <c r="D6" i="37"/>
  <c r="D4" i="37"/>
  <c r="I143" i="33" l="1"/>
  <c r="E143" i="33"/>
  <c r="E85" i="33"/>
  <c r="G169" i="33"/>
  <c r="G168" i="33"/>
  <c r="G167" i="33"/>
  <c r="F167" i="33"/>
  <c r="G163" i="33"/>
  <c r="G161" i="33"/>
  <c r="G159" i="33"/>
  <c r="G170" i="33" l="1"/>
  <c r="H165" i="33"/>
  <c r="H164" i="33"/>
  <c r="O28" i="58" l="1"/>
  <c r="N28" i="58"/>
  <c r="M28" i="58"/>
  <c r="L28" i="58"/>
  <c r="K28" i="58"/>
  <c r="J28" i="58"/>
  <c r="I28" i="58"/>
  <c r="H28" i="58"/>
  <c r="O4" i="58"/>
  <c r="O44" i="58" s="1"/>
  <c r="N4" i="58"/>
  <c r="N3" i="58" s="1"/>
  <c r="M4" i="58"/>
  <c r="L4" i="58"/>
  <c r="L3" i="58" s="1"/>
  <c r="K4" i="58"/>
  <c r="K3" i="58" s="1"/>
  <c r="K45" i="58" s="1"/>
  <c r="J4" i="58"/>
  <c r="J3" i="58" s="1"/>
  <c r="I4" i="58"/>
  <c r="I3" i="58" s="1"/>
  <c r="I45" i="58" s="1"/>
  <c r="H4" i="58"/>
  <c r="H3" i="58" s="1"/>
  <c r="F4" i="58"/>
  <c r="F5" i="58" s="1"/>
  <c r="F6" i="58" s="1"/>
  <c r="F7" i="58" s="1"/>
  <c r="F8" i="58" s="1"/>
  <c r="F9" i="58" s="1"/>
  <c r="F10" i="58" s="1"/>
  <c r="F11" i="58" s="1"/>
  <c r="F12" i="58" s="1"/>
  <c r="F13" i="58" s="1"/>
  <c r="F14" i="58" s="1"/>
  <c r="F15" i="58" s="1"/>
  <c r="F18" i="58" s="1"/>
  <c r="F19" i="58" s="1"/>
  <c r="F20" i="58" s="1"/>
  <c r="F21" i="58" s="1"/>
  <c r="F22" i="58" s="1"/>
  <c r="F23" i="58" s="1"/>
  <c r="F24" i="58" s="1"/>
  <c r="F25" i="58" s="1"/>
  <c r="F26" i="58" s="1"/>
  <c r="F27" i="58" s="1"/>
  <c r="F28" i="58" s="1"/>
  <c r="F29" i="58" s="1"/>
  <c r="F30" i="58" s="1"/>
  <c r="F31" i="58" s="1"/>
  <c r="F32" i="58" s="1"/>
  <c r="F33" i="58" s="1"/>
  <c r="F34" i="58" s="1"/>
  <c r="F35" i="58" s="1"/>
  <c r="F36" i="58" s="1"/>
  <c r="F37" i="58" s="1"/>
  <c r="F38" i="58" s="1"/>
  <c r="F39" i="58" s="1"/>
  <c r="F40" i="58" s="1"/>
  <c r="F41" i="58" s="1"/>
  <c r="F42" i="58" s="1"/>
  <c r="F43" i="58" s="1"/>
  <c r="F44" i="58" s="1"/>
  <c r="F45" i="58" s="1"/>
  <c r="O3" i="58"/>
  <c r="O45" i="58" s="1"/>
  <c r="M3" i="58"/>
  <c r="M45" i="58" s="1"/>
  <c r="H45" i="58" l="1"/>
  <c r="L45" i="58"/>
  <c r="J45" i="58"/>
  <c r="N45" i="58"/>
  <c r="H44" i="58"/>
  <c r="H33" i="48" l="1"/>
  <c r="I33" i="48"/>
  <c r="J33" i="48"/>
  <c r="K33" i="48"/>
  <c r="M110" i="3" l="1"/>
  <c r="M109" i="3"/>
  <c r="L109" i="3"/>
  <c r="N109" i="3"/>
  <c r="N111" i="3" s="1"/>
  <c r="K107" i="3"/>
  <c r="K106" i="3"/>
  <c r="K105" i="3"/>
  <c r="K104" i="3"/>
  <c r="K103" i="3"/>
  <c r="K102" i="3"/>
  <c r="K101" i="3"/>
  <c r="K100" i="3"/>
  <c r="K99" i="3"/>
  <c r="K98" i="3"/>
  <c r="K97" i="3"/>
  <c r="M96" i="3"/>
  <c r="L96" i="3"/>
  <c r="J96" i="3"/>
  <c r="I96" i="3"/>
  <c r="K95" i="3"/>
  <c r="K94" i="3"/>
  <c r="K93" i="3"/>
  <c r="K92" i="3"/>
  <c r="K91" i="3"/>
  <c r="K90" i="3"/>
  <c r="K89" i="3"/>
  <c r="K88" i="3"/>
  <c r="K86" i="3"/>
  <c r="I23" i="56"/>
  <c r="L23" i="56" s="1"/>
  <c r="I19" i="56"/>
  <c r="M19" i="56" s="1"/>
  <c r="H99" i="3" s="1"/>
  <c r="I9" i="56"/>
  <c r="M9" i="56" s="1"/>
  <c r="H89" i="3" s="1"/>
  <c r="I15" i="56"/>
  <c r="I6" i="56"/>
  <c r="M6" i="56" s="1"/>
  <c r="H86" i="3" s="1"/>
  <c r="C19" i="57"/>
  <c r="C11" i="57"/>
  <c r="O34" i="56"/>
  <c r="O31" i="56"/>
  <c r="P31" i="56" s="1"/>
  <c r="O27" i="56"/>
  <c r="O26" i="56"/>
  <c r="O25" i="56"/>
  <c r="J24" i="56"/>
  <c r="D24" i="56"/>
  <c r="O23" i="56"/>
  <c r="O22" i="56"/>
  <c r="O21" i="56"/>
  <c r="O20" i="56"/>
  <c r="O19" i="56"/>
  <c r="J16" i="56"/>
  <c r="D16" i="56"/>
  <c r="D30" i="56" s="1"/>
  <c r="C4" i="57" l="1"/>
  <c r="J29" i="56"/>
  <c r="K17" i="56" s="1"/>
  <c r="O24" i="56"/>
  <c r="L19" i="56"/>
  <c r="N19" i="56" s="1"/>
  <c r="L111" i="3"/>
  <c r="K96" i="3"/>
  <c r="M111" i="3"/>
  <c r="K108" i="3"/>
  <c r="K109" i="3" s="1"/>
  <c r="M23" i="56"/>
  <c r="D29" i="56"/>
  <c r="M15" i="56"/>
  <c r="H95" i="3" s="1"/>
  <c r="O18" i="56"/>
  <c r="O28" i="56"/>
  <c r="J30" i="56"/>
  <c r="J33" i="56" l="1"/>
  <c r="N23" i="56"/>
  <c r="H103" i="3"/>
  <c r="L112" i="3"/>
  <c r="D33" i="56"/>
  <c r="G17" i="56"/>
  <c r="G29" i="56" l="1"/>
  <c r="O8" i="56"/>
  <c r="O15" i="56"/>
  <c r="G16" i="56"/>
  <c r="O11" i="56"/>
  <c r="O10" i="56"/>
  <c r="L9" i="56"/>
  <c r="N9" i="56" s="1"/>
  <c r="O9" i="56"/>
  <c r="O14" i="56"/>
  <c r="K29" i="56"/>
  <c r="O17" i="56"/>
  <c r="K16" i="56"/>
  <c r="L6" i="56"/>
  <c r="O12" i="56"/>
  <c r="O13" i="56"/>
  <c r="O6" i="56"/>
  <c r="G33" i="56" l="1"/>
  <c r="G30" i="56"/>
  <c r="N6" i="56"/>
  <c r="K33" i="56"/>
  <c r="K30" i="56"/>
  <c r="O29" i="56"/>
  <c r="O16" i="56"/>
  <c r="O33" i="56" l="1"/>
  <c r="O30" i="56"/>
  <c r="G35" i="48" l="1"/>
  <c r="G39" i="48" s="1"/>
  <c r="G33" i="48"/>
  <c r="F169" i="33" l="1"/>
  <c r="F168" i="33"/>
  <c r="F163" i="33"/>
  <c r="F161" i="33"/>
  <c r="F159" i="33"/>
  <c r="G164" i="33" l="1"/>
  <c r="G165" i="33"/>
  <c r="F170" i="33"/>
  <c r="G28" i="1" l="1"/>
  <c r="G29" i="1"/>
  <c r="F30" i="1"/>
  <c r="E167" i="33" l="1"/>
  <c r="E168" i="33"/>
  <c r="E169" i="33"/>
  <c r="E146" i="33"/>
  <c r="E145" i="33"/>
  <c r="E119" i="33"/>
  <c r="E115" i="33"/>
  <c r="E113" i="33"/>
  <c r="E110" i="33"/>
  <c r="E108" i="33"/>
  <c r="E106" i="33"/>
  <c r="E104" i="33"/>
  <c r="E102" i="33"/>
  <c r="E98" i="33"/>
  <c r="E96" i="33"/>
  <c r="E93" i="33"/>
  <c r="E91" i="33"/>
  <c r="E170" i="33" l="1"/>
  <c r="E21" i="33"/>
  <c r="E163" i="33" l="1"/>
  <c r="E159" i="33"/>
  <c r="E161" i="33"/>
  <c r="F165" i="33" l="1"/>
  <c r="F164" i="33"/>
  <c r="R1" i="32"/>
  <c r="S18" i="32"/>
  <c r="T7" i="32" l="1"/>
  <c r="T11" i="32"/>
  <c r="T6" i="32"/>
  <c r="T13" i="32"/>
  <c r="T8" i="32"/>
  <c r="T12" i="32"/>
  <c r="T14" i="32"/>
  <c r="T9" i="32"/>
  <c r="T10" i="32"/>
  <c r="E27" i="7" l="1"/>
  <c r="F9" i="7" s="1"/>
  <c r="B27" i="7"/>
  <c r="I33" i="37"/>
  <c r="I31" i="37"/>
  <c r="E33" i="48"/>
  <c r="C5" i="48" s="1"/>
  <c r="H69" i="3"/>
  <c r="I26" i="56" s="1"/>
  <c r="I71" i="3"/>
  <c r="I32" i="56" s="1"/>
  <c r="F34" i="3"/>
  <c r="D34" i="3" s="1"/>
  <c r="F29" i="3"/>
  <c r="D29" i="3" s="1"/>
  <c r="F27" i="3"/>
  <c r="G68" i="3" s="1"/>
  <c r="C25" i="56" s="1"/>
  <c r="H25" i="56" s="1"/>
  <c r="F26" i="3"/>
  <c r="F24" i="3"/>
  <c r="G65" i="3" s="1"/>
  <c r="C22" i="56" s="1"/>
  <c r="H22" i="56" s="1"/>
  <c r="F23" i="3"/>
  <c r="G64" i="3" s="1"/>
  <c r="C21" i="56" s="1"/>
  <c r="G39" i="7"/>
  <c r="O13" i="7"/>
  <c r="O11" i="7"/>
  <c r="I38" i="37"/>
  <c r="F33" i="48"/>
  <c r="C4" i="48" s="1"/>
  <c r="E30" i="1"/>
  <c r="AF18" i="32"/>
  <c r="AG8" i="32" s="1"/>
  <c r="N6" i="32"/>
  <c r="Y18" i="32"/>
  <c r="Z13" i="32" s="1"/>
  <c r="F18" i="32"/>
  <c r="G7" i="32" s="1"/>
  <c r="I18" i="32"/>
  <c r="J9" i="32" s="1"/>
  <c r="C18" i="32"/>
  <c r="D17" i="32" s="1"/>
  <c r="I108" i="33"/>
  <c r="H61" i="3" s="1"/>
  <c r="I18" i="56" s="1"/>
  <c r="I91" i="33"/>
  <c r="H51" i="3" s="1"/>
  <c r="I8" i="56" s="1"/>
  <c r="I7" i="33"/>
  <c r="I30" i="37" s="1"/>
  <c r="I13" i="33"/>
  <c r="O10" i="7" s="1"/>
  <c r="I93" i="33"/>
  <c r="H53" i="3" s="1"/>
  <c r="I96" i="33"/>
  <c r="H54" i="3" s="1"/>
  <c r="I11" i="56" s="1"/>
  <c r="I98" i="33"/>
  <c r="H55" i="3" s="1"/>
  <c r="I102" i="33"/>
  <c r="H56" i="3" s="1"/>
  <c r="I104" i="33"/>
  <c r="I106" i="33"/>
  <c r="H60" i="3" s="1"/>
  <c r="I110" i="33"/>
  <c r="I113" i="33"/>
  <c r="H63" i="3" s="1"/>
  <c r="I20" i="56" s="1"/>
  <c r="I115" i="33"/>
  <c r="H65" i="3"/>
  <c r="I22" i="56" s="1"/>
  <c r="I119" i="33"/>
  <c r="H67" i="3" s="1"/>
  <c r="I24" i="56" s="1"/>
  <c r="I145" i="33"/>
  <c r="H68" i="3"/>
  <c r="I25" i="56" s="1"/>
  <c r="I146" i="33"/>
  <c r="I167" i="33"/>
  <c r="F39" i="48"/>
  <c r="F35" i="48" s="1"/>
  <c r="I22" i="37"/>
  <c r="K61" i="3"/>
  <c r="L157" i="33"/>
  <c r="L155" i="33"/>
  <c r="L152" i="33"/>
  <c r="L151" i="33"/>
  <c r="C38" i="32"/>
  <c r="E38" i="32" s="1"/>
  <c r="C35" i="32"/>
  <c r="E35" i="32" s="1"/>
  <c r="C34" i="32"/>
  <c r="E34" i="32" s="1"/>
  <c r="C28" i="32"/>
  <c r="E28" i="32" s="1"/>
  <c r="D12" i="7"/>
  <c r="C30" i="1"/>
  <c r="E37" i="3"/>
  <c r="F37" i="3"/>
  <c r="G61" i="3"/>
  <c r="C18" i="56" s="1"/>
  <c r="H18" i="56" s="1"/>
  <c r="G62" i="3"/>
  <c r="C19" i="56" s="1"/>
  <c r="H19" i="56" s="1"/>
  <c r="G99" i="3" s="1"/>
  <c r="F99" i="3" s="1"/>
  <c r="G63" i="3"/>
  <c r="C20" i="56" s="1"/>
  <c r="H20" i="56" s="1"/>
  <c r="E70" i="3"/>
  <c r="E27" i="56" s="1"/>
  <c r="P27" i="56" s="1"/>
  <c r="Q27" i="56" s="1"/>
  <c r="E107" i="3" s="1"/>
  <c r="E64" i="3"/>
  <c r="E21" i="56" s="1"/>
  <c r="P21" i="56" s="1"/>
  <c r="Q21" i="56" s="1"/>
  <c r="E101" i="3" s="1"/>
  <c r="E63" i="3"/>
  <c r="E20" i="56" s="1"/>
  <c r="P20" i="56" s="1"/>
  <c r="Q20" i="56" s="1"/>
  <c r="E100" i="3" s="1"/>
  <c r="E62" i="3"/>
  <c r="E19" i="56" s="1"/>
  <c r="P19" i="56" s="1"/>
  <c r="Q19" i="56" s="1"/>
  <c r="E99" i="3" s="1"/>
  <c r="E61" i="3"/>
  <c r="M18" i="32"/>
  <c r="L154" i="33"/>
  <c r="I21" i="56"/>
  <c r="A23" i="33"/>
  <c r="A24" i="33" s="1"/>
  <c r="A25" i="33" s="1"/>
  <c r="A26" i="33" s="1"/>
  <c r="A27" i="33" s="1"/>
  <c r="A28" i="33" s="1"/>
  <c r="A29" i="33" s="1"/>
  <c r="A30" i="33" s="1"/>
  <c r="A31" i="33" s="1"/>
  <c r="A32" i="33" s="1"/>
  <c r="A33" i="33" s="1"/>
  <c r="A34" i="33" s="1"/>
  <c r="A35" i="33" s="1"/>
  <c r="A36" i="33" s="1"/>
  <c r="A37" i="33" s="1"/>
  <c r="A38" i="33" s="1"/>
  <c r="A39" i="33" s="1"/>
  <c r="E39" i="48"/>
  <c r="E35" i="48" s="1"/>
  <c r="B39" i="48"/>
  <c r="B35" i="48" s="1"/>
  <c r="D25" i="7"/>
  <c r="D26" i="7"/>
  <c r="G32" i="7"/>
  <c r="G60" i="3"/>
  <c r="C17" i="56" s="1"/>
  <c r="H17" i="56" s="1"/>
  <c r="F28" i="3"/>
  <c r="G69" i="3" s="1"/>
  <c r="C26" i="56" s="1"/>
  <c r="H26" i="56" s="1"/>
  <c r="G18" i="3"/>
  <c r="G35" i="3"/>
  <c r="E35" i="3"/>
  <c r="I59" i="3"/>
  <c r="J59" i="3"/>
  <c r="N72" i="3"/>
  <c r="N74" i="3" s="1"/>
  <c r="K73" i="3"/>
  <c r="K110" i="3" s="1"/>
  <c r="K111" i="3" s="1"/>
  <c r="K62" i="3"/>
  <c r="K63" i="3"/>
  <c r="K64" i="3"/>
  <c r="K65" i="3"/>
  <c r="K66" i="3"/>
  <c r="K67" i="3"/>
  <c r="K68" i="3"/>
  <c r="K69" i="3"/>
  <c r="K70" i="3"/>
  <c r="K71" i="3"/>
  <c r="K60" i="3"/>
  <c r="K51" i="3"/>
  <c r="K52" i="3"/>
  <c r="K53" i="3"/>
  <c r="K54" i="3"/>
  <c r="K55" i="3"/>
  <c r="K56" i="3"/>
  <c r="K57" i="3"/>
  <c r="K58" i="3"/>
  <c r="K49" i="3"/>
  <c r="M59" i="3"/>
  <c r="M74" i="3" s="1"/>
  <c r="L59" i="3"/>
  <c r="D21" i="3"/>
  <c r="D22" i="3"/>
  <c r="K35" i="3"/>
  <c r="I35" i="3"/>
  <c r="J35" i="3"/>
  <c r="H10" i="3"/>
  <c r="H11" i="3"/>
  <c r="H12" i="3"/>
  <c r="H13" i="3"/>
  <c r="H14" i="3"/>
  <c r="H15" i="3"/>
  <c r="H16" i="3"/>
  <c r="H17" i="3"/>
  <c r="H8" i="3"/>
  <c r="J18" i="3"/>
  <c r="I18" i="3"/>
  <c r="K31" i="3"/>
  <c r="H33" i="3"/>
  <c r="H34" i="3"/>
  <c r="H32" i="3"/>
  <c r="H21" i="3"/>
  <c r="H22" i="3"/>
  <c r="H23" i="3"/>
  <c r="H24" i="3"/>
  <c r="H25" i="3"/>
  <c r="H26" i="3"/>
  <c r="H27" i="3"/>
  <c r="H28" i="3"/>
  <c r="H29" i="3"/>
  <c r="H30" i="3"/>
  <c r="H19" i="3"/>
  <c r="I31" i="3"/>
  <c r="J31" i="3"/>
  <c r="E14" i="37"/>
  <c r="N7" i="32"/>
  <c r="N8" i="32"/>
  <c r="N9" i="32"/>
  <c r="N10" i="32"/>
  <c r="N11" i="32"/>
  <c r="N12" i="32"/>
  <c r="N13" i="32"/>
  <c r="N14" i="32"/>
  <c r="N15" i="32"/>
  <c r="N16" i="32"/>
  <c r="N17" i="32"/>
  <c r="AB18" i="32"/>
  <c r="P18" i="32"/>
  <c r="L18" i="32"/>
  <c r="N1" i="32"/>
  <c r="AE15" i="32" s="1"/>
  <c r="C36" i="32"/>
  <c r="E36" i="32" s="1"/>
  <c r="C37" i="32"/>
  <c r="E37" i="32" s="1"/>
  <c r="J9" i="1"/>
  <c r="J7" i="1"/>
  <c r="I9" i="1"/>
  <c r="J27" i="7"/>
  <c r="C27" i="7"/>
  <c r="D19" i="7"/>
  <c r="D20" i="7"/>
  <c r="D23" i="7"/>
  <c r="L39" i="32"/>
  <c r="H25" i="7"/>
  <c r="H19" i="7"/>
  <c r="H20" i="7"/>
  <c r="C33" i="32"/>
  <c r="E33" i="32" s="1"/>
  <c r="C29" i="32"/>
  <c r="E29" i="32" s="1"/>
  <c r="F25" i="7"/>
  <c r="C32" i="32"/>
  <c r="E32" i="32" s="1"/>
  <c r="C30" i="32"/>
  <c r="E30" i="32" s="1"/>
  <c r="C31" i="32"/>
  <c r="E31" i="32" s="1"/>
  <c r="D21" i="7"/>
  <c r="D18" i="7"/>
  <c r="D17" i="7"/>
  <c r="D22" i="7"/>
  <c r="D13" i="7"/>
  <c r="D15" i="7"/>
  <c r="D11" i="7"/>
  <c r="D16" i="7"/>
  <c r="D14" i="7"/>
  <c r="D24" i="7"/>
  <c r="D9" i="7"/>
  <c r="C27" i="32"/>
  <c r="C39" i="32" s="1"/>
  <c r="H26" i="7"/>
  <c r="F15" i="7"/>
  <c r="Z10" i="32"/>
  <c r="Q7" i="32"/>
  <c r="Q12" i="32"/>
  <c r="Q9" i="32"/>
  <c r="Q8" i="32"/>
  <c r="Q13" i="32"/>
  <c r="Q11" i="32"/>
  <c r="Q16" i="32"/>
  <c r="V18" i="32"/>
  <c r="Q10" i="32"/>
  <c r="Q14" i="32"/>
  <c r="Q15" i="32"/>
  <c r="H57" i="3"/>
  <c r="G19" i="1"/>
  <c r="H19" i="1" s="1"/>
  <c r="C6" i="37" s="1"/>
  <c r="D10" i="32" l="1"/>
  <c r="D14" i="32"/>
  <c r="E14" i="32" s="1"/>
  <c r="D15" i="32"/>
  <c r="D9" i="32"/>
  <c r="D8" i="32"/>
  <c r="D13" i="32"/>
  <c r="E13" i="32" s="1"/>
  <c r="D16" i="32"/>
  <c r="E16" i="32" s="1"/>
  <c r="D11" i="32"/>
  <c r="E11" i="32" s="1"/>
  <c r="D7" i="32"/>
  <c r="C22" i="32"/>
  <c r="D12" i="32"/>
  <c r="D6" i="32"/>
  <c r="E6" i="32" s="1"/>
  <c r="H70" i="3"/>
  <c r="I27" i="56" s="1"/>
  <c r="M27" i="56" s="1"/>
  <c r="H107" i="3" s="1"/>
  <c r="I21" i="33"/>
  <c r="I170" i="33"/>
  <c r="AE10" i="32"/>
  <c r="Z9" i="32"/>
  <c r="AE14" i="32"/>
  <c r="Z8" i="32"/>
  <c r="AA8" i="32" s="1"/>
  <c r="Z14" i="32"/>
  <c r="AA14" i="32" s="1"/>
  <c r="O9" i="7"/>
  <c r="Z11" i="32"/>
  <c r="AA11" i="32" s="1"/>
  <c r="AE12" i="32"/>
  <c r="Z7" i="32"/>
  <c r="AA7" i="32" s="1"/>
  <c r="Z6" i="32"/>
  <c r="AE8" i="32"/>
  <c r="Z12" i="32"/>
  <c r="AA12" i="32" s="1"/>
  <c r="R13" i="32"/>
  <c r="AA9" i="32"/>
  <c r="R9" i="32"/>
  <c r="AE9" i="32"/>
  <c r="AE7" i="32"/>
  <c r="E10" i="32"/>
  <c r="R12" i="32"/>
  <c r="AA10" i="32"/>
  <c r="E7" i="32"/>
  <c r="E9" i="32"/>
  <c r="AH15" i="32"/>
  <c r="R14" i="32"/>
  <c r="AH16" i="32"/>
  <c r="E15" i="32"/>
  <c r="AH17" i="32"/>
  <c r="E12" i="32"/>
  <c r="AE16" i="32"/>
  <c r="AE17" i="32"/>
  <c r="AE13" i="32"/>
  <c r="AE11" i="32"/>
  <c r="E17" i="32"/>
  <c r="R15" i="32"/>
  <c r="R10" i="32"/>
  <c r="R16" i="32"/>
  <c r="R11" i="32"/>
  <c r="R8" i="32"/>
  <c r="R7" i="32"/>
  <c r="K9" i="32"/>
  <c r="AH8" i="32"/>
  <c r="AG13" i="32"/>
  <c r="AH13" i="32" s="1"/>
  <c r="G12" i="32"/>
  <c r="H12" i="32" s="1"/>
  <c r="G11" i="32"/>
  <c r="H11" i="32" s="1"/>
  <c r="F62" i="3"/>
  <c r="D62" i="3" s="1"/>
  <c r="D99" i="3"/>
  <c r="E18" i="56"/>
  <c r="P18" i="56" s="1"/>
  <c r="Q18" i="56" s="1"/>
  <c r="E98" i="3" s="1"/>
  <c r="D23" i="3"/>
  <c r="G70" i="3"/>
  <c r="C27" i="56" s="1"/>
  <c r="H27" i="56" s="1"/>
  <c r="M24" i="56"/>
  <c r="H104" i="3" s="1"/>
  <c r="L24" i="56"/>
  <c r="M8" i="56"/>
  <c r="H88" i="3" s="1"/>
  <c r="L8" i="56"/>
  <c r="M21" i="56"/>
  <c r="H101" i="3" s="1"/>
  <c r="L21" i="56"/>
  <c r="L22" i="56"/>
  <c r="M22" i="56"/>
  <c r="H102" i="3" s="1"/>
  <c r="I17" i="56"/>
  <c r="M11" i="56"/>
  <c r="H91" i="3" s="1"/>
  <c r="L11" i="56"/>
  <c r="L18" i="56"/>
  <c r="M18" i="56"/>
  <c r="H98" i="3" s="1"/>
  <c r="L26" i="56"/>
  <c r="M26" i="56"/>
  <c r="H106" i="3" s="1"/>
  <c r="L32" i="56"/>
  <c r="M32" i="56" s="1"/>
  <c r="I14" i="56"/>
  <c r="M25" i="56"/>
  <c r="H105" i="3" s="1"/>
  <c r="L25" i="56"/>
  <c r="I10" i="56"/>
  <c r="H21" i="56"/>
  <c r="I12" i="56"/>
  <c r="M20" i="56"/>
  <c r="H100" i="3" s="1"/>
  <c r="L20" i="56"/>
  <c r="I13" i="56"/>
  <c r="K36" i="3"/>
  <c r="I72" i="3"/>
  <c r="I74" i="3" s="1"/>
  <c r="A40" i="33"/>
  <c r="A41" i="33" s="1"/>
  <c r="A42" i="33" s="1"/>
  <c r="A43" i="33" s="1"/>
  <c r="A44" i="33" s="1"/>
  <c r="A45" i="33" s="1"/>
  <c r="A46" i="33" s="1"/>
  <c r="A47" i="33" s="1"/>
  <c r="I32" i="37"/>
  <c r="I34" i="37" s="1"/>
  <c r="F11" i="7"/>
  <c r="F12" i="7"/>
  <c r="G33" i="7"/>
  <c r="G34" i="7" s="1"/>
  <c r="AG7" i="32"/>
  <c r="AH7" i="32" s="1"/>
  <c r="F21" i="7"/>
  <c r="F18" i="7"/>
  <c r="F13" i="7"/>
  <c r="H73" i="3"/>
  <c r="AG11" i="32"/>
  <c r="AH11" i="32" s="1"/>
  <c r="AG10" i="32"/>
  <c r="AH10" i="32" s="1"/>
  <c r="AG9" i="32"/>
  <c r="AH9" i="32" s="1"/>
  <c r="F16" i="7"/>
  <c r="F20" i="7"/>
  <c r="F22" i="7"/>
  <c r="F26" i="7"/>
  <c r="F14" i="7"/>
  <c r="W8" i="32"/>
  <c r="X8" i="32" s="1"/>
  <c r="W12" i="32"/>
  <c r="W16" i="32"/>
  <c r="X16" i="32" s="1"/>
  <c r="W15" i="32"/>
  <c r="W9" i="32"/>
  <c r="X9" i="32" s="1"/>
  <c r="W13" i="32"/>
  <c r="X13" i="32" s="1"/>
  <c r="W17" i="32"/>
  <c r="X17" i="32" s="1"/>
  <c r="W7" i="32"/>
  <c r="X7" i="32" s="1"/>
  <c r="W11" i="32"/>
  <c r="X11" i="32" s="1"/>
  <c r="W10" i="32"/>
  <c r="X10" i="32" s="1"/>
  <c r="W14" i="32"/>
  <c r="X14" i="32" s="1"/>
  <c r="W6" i="32"/>
  <c r="X6" i="32" s="1"/>
  <c r="AG6" i="32"/>
  <c r="AH6" i="32" s="1"/>
  <c r="AG12" i="32"/>
  <c r="AH12" i="32" s="1"/>
  <c r="AG14" i="32"/>
  <c r="AH14" i="32" s="1"/>
  <c r="F17" i="7"/>
  <c r="F19" i="7"/>
  <c r="F24" i="7"/>
  <c r="F23" i="7"/>
  <c r="U6" i="32"/>
  <c r="U9" i="32"/>
  <c r="U7" i="32"/>
  <c r="U14" i="32"/>
  <c r="U13" i="32"/>
  <c r="U12" i="32"/>
  <c r="U10" i="32"/>
  <c r="U11" i="32"/>
  <c r="U8" i="32"/>
  <c r="F61" i="3"/>
  <c r="D61" i="3" s="1"/>
  <c r="F60" i="3"/>
  <c r="I6" i="33"/>
  <c r="F32" i="3" s="1"/>
  <c r="D32" i="3" s="1"/>
  <c r="G67" i="3"/>
  <c r="C24" i="56" s="1"/>
  <c r="H24" i="56" s="1"/>
  <c r="O14" i="7"/>
  <c r="I40" i="37"/>
  <c r="H71" i="3"/>
  <c r="I28" i="56" s="1"/>
  <c r="T17" i="32"/>
  <c r="U17" i="32" s="1"/>
  <c r="T16" i="32"/>
  <c r="U16" i="32" s="1"/>
  <c r="T15" i="32"/>
  <c r="N18" i="32"/>
  <c r="O7" i="32" s="1"/>
  <c r="J6" i="32"/>
  <c r="K6" i="32" s="1"/>
  <c r="J13" i="32"/>
  <c r="K13" i="32" s="1"/>
  <c r="J7" i="32"/>
  <c r="K7" i="32" s="1"/>
  <c r="J16" i="32"/>
  <c r="K16" i="32" s="1"/>
  <c r="J10" i="32"/>
  <c r="K10" i="32" s="1"/>
  <c r="J11" i="32"/>
  <c r="K11" i="32" s="1"/>
  <c r="J8" i="32"/>
  <c r="K8" i="32" s="1"/>
  <c r="J17" i="32"/>
  <c r="K17" i="32" s="1"/>
  <c r="J14" i="32"/>
  <c r="K14" i="32" s="1"/>
  <c r="J12" i="32"/>
  <c r="K12" i="32" s="1"/>
  <c r="J15" i="32"/>
  <c r="K15" i="32" s="1"/>
  <c r="X12" i="32"/>
  <c r="AA13" i="32"/>
  <c r="H7" i="32"/>
  <c r="J36" i="3"/>
  <c r="F65" i="3"/>
  <c r="H31" i="3"/>
  <c r="I36" i="3"/>
  <c r="K59" i="3"/>
  <c r="H35" i="3"/>
  <c r="F63" i="3"/>
  <c r="D63" i="3" s="1"/>
  <c r="H18" i="3"/>
  <c r="H22" i="7"/>
  <c r="F69" i="3"/>
  <c r="H59" i="3"/>
  <c r="E27" i="32"/>
  <c r="E39" i="32" s="1"/>
  <c r="K72" i="3"/>
  <c r="L74" i="3"/>
  <c r="L75" i="3" s="1"/>
  <c r="D27" i="7"/>
  <c r="G21" i="1"/>
  <c r="H21" i="1" s="1"/>
  <c r="C8" i="37" s="1"/>
  <c r="J10" i="1"/>
  <c r="E39" i="3"/>
  <c r="Q17" i="32"/>
  <c r="R17" i="32" s="1"/>
  <c r="Q6" i="32"/>
  <c r="L156" i="33"/>
  <c r="D30" i="1"/>
  <c r="F64" i="3"/>
  <c r="F68" i="3"/>
  <c r="L27" i="56" l="1"/>
  <c r="N27" i="56" s="1"/>
  <c r="G107" i="3" s="1"/>
  <c r="F107" i="3" s="1"/>
  <c r="D107" i="3" s="1"/>
  <c r="D18" i="32"/>
  <c r="E8" i="32"/>
  <c r="E18" i="32" s="1"/>
  <c r="Z18" i="32"/>
  <c r="I163" i="33"/>
  <c r="I164" i="33" s="1"/>
  <c r="AD18" i="32"/>
  <c r="G18" i="32"/>
  <c r="H18" i="32"/>
  <c r="AE18" i="32"/>
  <c r="O16" i="32"/>
  <c r="AI16" i="32" s="1"/>
  <c r="D37" i="32" s="1"/>
  <c r="I31" i="56"/>
  <c r="L31" i="56" s="1"/>
  <c r="M31" i="56" s="1"/>
  <c r="N31" i="56" s="1"/>
  <c r="H110" i="3"/>
  <c r="F110" i="3" s="1"/>
  <c r="D110" i="3" s="1"/>
  <c r="N32" i="56"/>
  <c r="I108" i="3"/>
  <c r="I109" i="3" s="1"/>
  <c r="I111" i="3" s="1"/>
  <c r="F70" i="3"/>
  <c r="D70" i="3" s="1"/>
  <c r="N21" i="56"/>
  <c r="G101" i="3" s="1"/>
  <c r="F101" i="3" s="1"/>
  <c r="D101" i="3" s="1"/>
  <c r="N24" i="56"/>
  <c r="G104" i="3" s="1"/>
  <c r="F104" i="3" s="1"/>
  <c r="I16" i="56"/>
  <c r="I30" i="56" s="1"/>
  <c r="N26" i="56"/>
  <c r="G106" i="3" s="1"/>
  <c r="F106" i="3" s="1"/>
  <c r="N22" i="56"/>
  <c r="G102" i="3" s="1"/>
  <c r="F102" i="3" s="1"/>
  <c r="N25" i="56"/>
  <c r="G105" i="3" s="1"/>
  <c r="F105" i="3" s="1"/>
  <c r="M13" i="56"/>
  <c r="H93" i="3" s="1"/>
  <c r="L13" i="56"/>
  <c r="M17" i="56"/>
  <c r="H97" i="3" s="1"/>
  <c r="I29" i="56"/>
  <c r="L17" i="56"/>
  <c r="N18" i="56"/>
  <c r="G98" i="3" s="1"/>
  <c r="F98" i="3" s="1"/>
  <c r="D98" i="3" s="1"/>
  <c r="M28" i="56"/>
  <c r="H108" i="3" s="1"/>
  <c r="C32" i="48" s="1"/>
  <c r="L28" i="56"/>
  <c r="N20" i="56"/>
  <c r="G100" i="3" s="1"/>
  <c r="F100" i="3" s="1"/>
  <c r="D100" i="3" s="1"/>
  <c r="M12" i="56"/>
  <c r="H92" i="3" s="1"/>
  <c r="L12" i="56"/>
  <c r="M10" i="56"/>
  <c r="H90" i="3" s="1"/>
  <c r="L10" i="56"/>
  <c r="M14" i="56"/>
  <c r="H94" i="3" s="1"/>
  <c r="L14" i="56"/>
  <c r="N11" i="56"/>
  <c r="N8" i="56"/>
  <c r="A48" i="33"/>
  <c r="F73" i="3"/>
  <c r="D73" i="3" s="1"/>
  <c r="O11" i="32"/>
  <c r="AI11" i="32" s="1"/>
  <c r="D32" i="32" s="1"/>
  <c r="O8" i="32"/>
  <c r="AI8" i="32" s="1"/>
  <c r="D29" i="32" s="1"/>
  <c r="AG18" i="32"/>
  <c r="E13" i="3"/>
  <c r="E54" i="3" s="1"/>
  <c r="E11" i="56" s="1"/>
  <c r="O17" i="32"/>
  <c r="AI17" i="32" s="1"/>
  <c r="D38" i="32" s="1"/>
  <c r="O10" i="32"/>
  <c r="AI10" i="32" s="1"/>
  <c r="D31" i="32" s="1"/>
  <c r="O14" i="32"/>
  <c r="AI14" i="32" s="1"/>
  <c r="D35" i="32" s="1"/>
  <c r="O13" i="32"/>
  <c r="AI13" i="32" s="1"/>
  <c r="D34" i="32" s="1"/>
  <c r="O9" i="32"/>
  <c r="AI9" i="32" s="1"/>
  <c r="D30" i="32" s="1"/>
  <c r="O15" i="32"/>
  <c r="O6" i="32"/>
  <c r="F27" i="7"/>
  <c r="O12" i="32"/>
  <c r="AI12" i="32" s="1"/>
  <c r="AI7" i="32"/>
  <c r="D28" i="32" s="1"/>
  <c r="F67" i="3"/>
  <c r="H72" i="3"/>
  <c r="O12" i="7"/>
  <c r="O19" i="7" s="1"/>
  <c r="F33" i="3"/>
  <c r="I159" i="33"/>
  <c r="I37" i="37"/>
  <c r="I39" i="37" s="1"/>
  <c r="I41" i="37" s="1"/>
  <c r="I42" i="37" s="1"/>
  <c r="I51" i="37" s="1"/>
  <c r="I161" i="33"/>
  <c r="AA18" i="32"/>
  <c r="U15" i="32"/>
  <c r="U18" i="32" s="1"/>
  <c r="T18" i="32"/>
  <c r="J18" i="32"/>
  <c r="G24" i="1"/>
  <c r="H24" i="1" s="1"/>
  <c r="C11" i="37" s="1"/>
  <c r="AH18" i="32"/>
  <c r="K74" i="3"/>
  <c r="H36" i="3"/>
  <c r="I41" i="3"/>
  <c r="J40" i="3"/>
  <c r="E10" i="3"/>
  <c r="E20" i="37"/>
  <c r="E17" i="3"/>
  <c r="E58" i="3" s="1"/>
  <c r="E15" i="56" s="1"/>
  <c r="E16" i="37"/>
  <c r="E12" i="3"/>
  <c r="E53" i="3" s="1"/>
  <c r="E10" i="56" s="1"/>
  <c r="E19" i="3"/>
  <c r="E60" i="3" s="1"/>
  <c r="E17" i="56" s="1"/>
  <c r="E14" i="3"/>
  <c r="E55" i="3" s="1"/>
  <c r="E12" i="56" s="1"/>
  <c r="E27" i="3"/>
  <c r="D27" i="3" s="1"/>
  <c r="E11" i="3"/>
  <c r="E16" i="3"/>
  <c r="G25" i="1"/>
  <c r="H25" i="1" s="1"/>
  <c r="C12" i="37" s="1"/>
  <c r="H29" i="1"/>
  <c r="C19" i="37" s="1"/>
  <c r="H28" i="1"/>
  <c r="C17" i="37" s="1"/>
  <c r="F25" i="3" s="1"/>
  <c r="G66" i="3" s="1"/>
  <c r="G20" i="1"/>
  <c r="H20" i="1" s="1"/>
  <c r="C7" i="37" s="1"/>
  <c r="G22" i="1"/>
  <c r="H22" i="1" s="1"/>
  <c r="C9" i="37" s="1"/>
  <c r="E9" i="37" s="1"/>
  <c r="G23" i="1"/>
  <c r="H23" i="1" s="1"/>
  <c r="C10" i="37" s="1"/>
  <c r="Q18" i="32"/>
  <c r="R6" i="32"/>
  <c r="R18" i="32" s="1"/>
  <c r="K18" i="32"/>
  <c r="D64" i="3"/>
  <c r="G26" i="1"/>
  <c r="H26" i="1" s="1"/>
  <c r="C13" i="37" s="1"/>
  <c r="X15" i="32"/>
  <c r="X18" i="32" s="1"/>
  <c r="W18" i="32"/>
  <c r="G21" i="7" l="1"/>
  <c r="I21" i="7" s="1"/>
  <c r="K21" i="7" s="1"/>
  <c r="L21" i="7" s="1"/>
  <c r="G10" i="7"/>
  <c r="I165" i="33"/>
  <c r="C33" i="48"/>
  <c r="G18" i="7"/>
  <c r="H18" i="7" s="1"/>
  <c r="G24" i="7"/>
  <c r="H24" i="7" s="1"/>
  <c r="G25" i="7"/>
  <c r="I25" i="7" s="1"/>
  <c r="K25" i="7" s="1"/>
  <c r="L25" i="7" s="1"/>
  <c r="G9" i="7"/>
  <c r="G15" i="7"/>
  <c r="G13" i="7"/>
  <c r="G16" i="7"/>
  <c r="G20" i="7"/>
  <c r="I20" i="7" s="1"/>
  <c r="K20" i="7" s="1"/>
  <c r="L20" i="7" s="1"/>
  <c r="G11" i="7"/>
  <c r="G22" i="7"/>
  <c r="I22" i="7" s="1"/>
  <c r="K22" i="7" s="1"/>
  <c r="L22" i="7" s="1"/>
  <c r="G14" i="7"/>
  <c r="G17" i="7"/>
  <c r="H21" i="7"/>
  <c r="G26" i="7"/>
  <c r="I26" i="7" s="1"/>
  <c r="K26" i="7" s="1"/>
  <c r="L26" i="7" s="1"/>
  <c r="G12" i="7"/>
  <c r="G23" i="7"/>
  <c r="G19" i="7"/>
  <c r="I19" i="7" s="1"/>
  <c r="K19" i="7" s="1"/>
  <c r="L19" i="7" s="1"/>
  <c r="H96" i="3"/>
  <c r="H109" i="3"/>
  <c r="H74" i="3"/>
  <c r="H77" i="3" s="1"/>
  <c r="N10" i="56"/>
  <c r="I33" i="56"/>
  <c r="N14" i="56"/>
  <c r="N12" i="56"/>
  <c r="N13" i="56"/>
  <c r="M16" i="56"/>
  <c r="M30" i="56" s="1"/>
  <c r="N28" i="56"/>
  <c r="P10" i="56"/>
  <c r="P17" i="56"/>
  <c r="P15" i="56"/>
  <c r="Q15" i="56" s="1"/>
  <c r="E95" i="3" s="1"/>
  <c r="P12" i="56"/>
  <c r="Q12" i="56" s="1"/>
  <c r="E92" i="3" s="1"/>
  <c r="N17" i="56"/>
  <c r="G97" i="3" s="1"/>
  <c r="L29" i="56"/>
  <c r="P11" i="56"/>
  <c r="Q11" i="56" s="1"/>
  <c r="E91" i="3" s="1"/>
  <c r="C23" i="56"/>
  <c r="M29" i="56"/>
  <c r="A49" i="33"/>
  <c r="A50" i="33" s="1"/>
  <c r="A51" i="33" s="1"/>
  <c r="D27" i="32"/>
  <c r="E26" i="3"/>
  <c r="E18" i="37"/>
  <c r="O18" i="32"/>
  <c r="F66" i="3"/>
  <c r="AI15" i="32"/>
  <c r="D33" i="3"/>
  <c r="D35" i="3" s="1"/>
  <c r="F38" i="3"/>
  <c r="F35" i="3"/>
  <c r="D33" i="32"/>
  <c r="E10" i="37"/>
  <c r="D19" i="3"/>
  <c r="E13" i="37"/>
  <c r="E28" i="3"/>
  <c r="E51" i="3"/>
  <c r="E68" i="3"/>
  <c r="E25" i="56" s="1"/>
  <c r="P25" i="56" s="1"/>
  <c r="Q25" i="56" s="1"/>
  <c r="E105" i="3" s="1"/>
  <c r="D105" i="3" s="1"/>
  <c r="E52" i="3"/>
  <c r="E9" i="56" s="1"/>
  <c r="E7" i="37"/>
  <c r="E19" i="37"/>
  <c r="E6" i="37"/>
  <c r="E24" i="3"/>
  <c r="E65" i="3" s="1"/>
  <c r="E30" i="3"/>
  <c r="E71" i="3" s="1"/>
  <c r="E28" i="56" s="1"/>
  <c r="P28" i="56" s="1"/>
  <c r="Q28" i="56" s="1"/>
  <c r="E108" i="3" s="1"/>
  <c r="E21" i="37"/>
  <c r="E57" i="3"/>
  <c r="E8" i="37"/>
  <c r="E12" i="37"/>
  <c r="D60" i="3"/>
  <c r="E8" i="3"/>
  <c r="H10" i="7" l="1"/>
  <c r="I10" i="7"/>
  <c r="K10" i="7" s="1"/>
  <c r="L10" i="7" s="1"/>
  <c r="F9" i="3" s="1"/>
  <c r="Q10" i="56"/>
  <c r="E90" i="3" s="1"/>
  <c r="Q17" i="56"/>
  <c r="E97" i="3" s="1"/>
  <c r="I24" i="7"/>
  <c r="K24" i="7" s="1"/>
  <c r="L24" i="7" s="1"/>
  <c r="I18" i="7"/>
  <c r="K18" i="7" s="1"/>
  <c r="L18" i="7" s="1"/>
  <c r="F17" i="3" s="1"/>
  <c r="G58" i="3" s="1"/>
  <c r="C15" i="56" s="1"/>
  <c r="H15" i="56" s="1"/>
  <c r="H12" i="7"/>
  <c r="I12" i="7"/>
  <c r="K12" i="7" s="1"/>
  <c r="L12" i="7" s="1"/>
  <c r="F11" i="3" s="1"/>
  <c r="I17" i="7"/>
  <c r="K17" i="7" s="1"/>
  <c r="L17" i="7" s="1"/>
  <c r="F16" i="3" s="1"/>
  <c r="H17" i="7"/>
  <c r="H15" i="7"/>
  <c r="I15" i="7"/>
  <c r="K15" i="7" s="1"/>
  <c r="L15" i="7" s="1"/>
  <c r="F14" i="3" s="1"/>
  <c r="I23" i="7"/>
  <c r="K23" i="7" s="1"/>
  <c r="L23" i="7" s="1"/>
  <c r="H23" i="7"/>
  <c r="H11" i="7"/>
  <c r="I11" i="7"/>
  <c r="K11" i="7" s="1"/>
  <c r="L11" i="7" s="1"/>
  <c r="F10" i="3" s="1"/>
  <c r="I14" i="7"/>
  <c r="K14" i="7" s="1"/>
  <c r="L14" i="7" s="1"/>
  <c r="F13" i="3" s="1"/>
  <c r="H14" i="7"/>
  <c r="I16" i="7"/>
  <c r="K16" i="7" s="1"/>
  <c r="L16" i="7" s="1"/>
  <c r="F15" i="3" s="1"/>
  <c r="G56" i="3" s="1"/>
  <c r="H16" i="7"/>
  <c r="I9" i="7"/>
  <c r="H9" i="7"/>
  <c r="G27" i="7"/>
  <c r="I13" i="7"/>
  <c r="K13" i="7" s="1"/>
  <c r="L13" i="7" s="1"/>
  <c r="F12" i="3" s="1"/>
  <c r="H13" i="7"/>
  <c r="E15" i="3"/>
  <c r="E18" i="3" s="1"/>
  <c r="E11" i="37"/>
  <c r="H113" i="3"/>
  <c r="I34" i="56"/>
  <c r="F97" i="3"/>
  <c r="H111" i="3"/>
  <c r="M33" i="56"/>
  <c r="N29" i="56"/>
  <c r="E14" i="56"/>
  <c r="E8" i="56"/>
  <c r="D65" i="3"/>
  <c r="E22" i="56"/>
  <c r="P9" i="56"/>
  <c r="Q9" i="56" s="1"/>
  <c r="E89" i="3" s="1"/>
  <c r="H23" i="56"/>
  <c r="G103" i="3" s="1"/>
  <c r="A52" i="33"/>
  <c r="A53" i="33" s="1"/>
  <c r="A54" i="33" s="1"/>
  <c r="A55" i="33" s="1"/>
  <c r="A56" i="33" s="1"/>
  <c r="A57" i="33" s="1"/>
  <c r="A58" i="33" s="1"/>
  <c r="A59" i="33" s="1"/>
  <c r="A60" i="33" s="1"/>
  <c r="A61" i="33" s="1"/>
  <c r="A62" i="33" s="1"/>
  <c r="A63" i="33" s="1"/>
  <c r="A64" i="33" s="1"/>
  <c r="A65" i="33" s="1"/>
  <c r="A66" i="33" s="1"/>
  <c r="A69" i="33" s="1"/>
  <c r="A70" i="33" s="1"/>
  <c r="A71" i="33" s="1"/>
  <c r="A72" i="33" s="1"/>
  <c r="A73" i="33" s="1"/>
  <c r="A74" i="33" s="1"/>
  <c r="A75" i="33" s="1"/>
  <c r="A76" i="33" s="1"/>
  <c r="E25" i="3"/>
  <c r="E17" i="37"/>
  <c r="D22" i="37"/>
  <c r="D36" i="48"/>
  <c r="D39" i="48" s="1"/>
  <c r="D35" i="48" s="1"/>
  <c r="E67" i="3"/>
  <c r="E24" i="56" s="1"/>
  <c r="P24" i="56" s="1"/>
  <c r="Q24" i="56" s="1"/>
  <c r="E104" i="3" s="1"/>
  <c r="D104" i="3" s="1"/>
  <c r="D26" i="3"/>
  <c r="D68" i="3"/>
  <c r="E69" i="3"/>
  <c r="E26" i="56" s="1"/>
  <c r="P26" i="56" s="1"/>
  <c r="Q26" i="56" s="1"/>
  <c r="E106" i="3" s="1"/>
  <c r="D106" i="3" s="1"/>
  <c r="D28" i="3"/>
  <c r="D24" i="3"/>
  <c r="AI18" i="32"/>
  <c r="G27" i="1"/>
  <c r="H27" i="1" s="1"/>
  <c r="C15" i="37" s="1"/>
  <c r="E15" i="37" s="1"/>
  <c r="D36" i="32"/>
  <c r="D39" i="32" s="1"/>
  <c r="G17" i="1"/>
  <c r="E49" i="3"/>
  <c r="E6" i="56" s="1"/>
  <c r="G50" i="3" l="1"/>
  <c r="D9" i="3"/>
  <c r="G57" i="3"/>
  <c r="C14" i="56" s="1"/>
  <c r="H14" i="56" s="1"/>
  <c r="G94" i="3" s="1"/>
  <c r="F94" i="3" s="1"/>
  <c r="D58" i="3"/>
  <c r="D17" i="3"/>
  <c r="F58" i="3"/>
  <c r="H27" i="7"/>
  <c r="G37" i="7"/>
  <c r="C13" i="56"/>
  <c r="H13" i="56" s="1"/>
  <c r="G93" i="3" s="1"/>
  <c r="F93" i="3" s="1"/>
  <c r="F56" i="3"/>
  <c r="G51" i="3"/>
  <c r="D10" i="3"/>
  <c r="G55" i="3"/>
  <c r="D14" i="3"/>
  <c r="G52" i="3"/>
  <c r="D11" i="3"/>
  <c r="G53" i="3"/>
  <c r="D12" i="3"/>
  <c r="D16" i="3"/>
  <c r="K9" i="7"/>
  <c r="I27" i="7"/>
  <c r="G54" i="3"/>
  <c r="D13" i="3"/>
  <c r="E56" i="3"/>
  <c r="D15" i="3"/>
  <c r="F103" i="3"/>
  <c r="D97" i="3"/>
  <c r="P8" i="56"/>
  <c r="Q8" i="56" s="1"/>
  <c r="P22" i="56"/>
  <c r="P14" i="56"/>
  <c r="Q14" i="56" s="1"/>
  <c r="E94" i="3" s="1"/>
  <c r="P6" i="56"/>
  <c r="D67" i="3"/>
  <c r="D25" i="3"/>
  <c r="E66" i="3"/>
  <c r="E31" i="3"/>
  <c r="E36" i="3" s="1"/>
  <c r="A77" i="33"/>
  <c r="A78" i="33" s="1"/>
  <c r="A79" i="33" s="1"/>
  <c r="A80" i="33" s="1"/>
  <c r="D69" i="3"/>
  <c r="H17" i="1"/>
  <c r="G30" i="1"/>
  <c r="E59" i="3"/>
  <c r="F57" i="3" l="1"/>
  <c r="D57" i="3"/>
  <c r="C7" i="56"/>
  <c r="H7" i="56" s="1"/>
  <c r="G87" i="3" s="1"/>
  <c r="F87" i="3" s="1"/>
  <c r="D87" i="3" s="1"/>
  <c r="D50" i="3"/>
  <c r="F50" i="3"/>
  <c r="E88" i="3"/>
  <c r="D94" i="3"/>
  <c r="C11" i="56"/>
  <c r="H11" i="56" s="1"/>
  <c r="G91" i="3" s="1"/>
  <c r="F91" i="3" s="1"/>
  <c r="D91" i="3" s="1"/>
  <c r="F54" i="3"/>
  <c r="D54" i="3"/>
  <c r="D53" i="3"/>
  <c r="F53" i="3"/>
  <c r="C10" i="56"/>
  <c r="H10" i="56" s="1"/>
  <c r="G90" i="3" s="1"/>
  <c r="F90" i="3" s="1"/>
  <c r="D90" i="3" s="1"/>
  <c r="C12" i="56"/>
  <c r="H12" i="56" s="1"/>
  <c r="G92" i="3" s="1"/>
  <c r="F92" i="3" s="1"/>
  <c r="D92" i="3" s="1"/>
  <c r="F55" i="3"/>
  <c r="D55" i="3"/>
  <c r="L9" i="7"/>
  <c r="G35" i="7" s="1"/>
  <c r="K27" i="7"/>
  <c r="C9" i="56"/>
  <c r="H9" i="56" s="1"/>
  <c r="G89" i="3" s="1"/>
  <c r="F89" i="3" s="1"/>
  <c r="D89" i="3" s="1"/>
  <c r="F52" i="3"/>
  <c r="D52" i="3"/>
  <c r="C8" i="56"/>
  <c r="H8" i="56" s="1"/>
  <c r="G88" i="3" s="1"/>
  <c r="F88" i="3" s="1"/>
  <c r="D88" i="3" s="1"/>
  <c r="F51" i="3"/>
  <c r="D51" i="3"/>
  <c r="E13" i="56"/>
  <c r="F7" i="56" s="1"/>
  <c r="D56" i="3"/>
  <c r="Q6" i="56"/>
  <c r="Q22" i="56"/>
  <c r="E102" i="3" s="1"/>
  <c r="E23" i="56"/>
  <c r="D66" i="3"/>
  <c r="E72" i="3"/>
  <c r="E74" i="3" s="1"/>
  <c r="E34" i="56" s="1"/>
  <c r="P34" i="56" s="1"/>
  <c r="A67" i="33"/>
  <c r="A68" i="33" s="1"/>
  <c r="H30" i="1"/>
  <c r="C4" i="37"/>
  <c r="G36" i="7" l="1"/>
  <c r="G38" i="7" s="1"/>
  <c r="L27" i="7"/>
  <c r="F8" i="3"/>
  <c r="P13" i="56"/>
  <c r="F6" i="56"/>
  <c r="F17" i="56"/>
  <c r="F29" i="56" s="1"/>
  <c r="F8" i="56"/>
  <c r="F9" i="56"/>
  <c r="F14" i="56"/>
  <c r="F15" i="56"/>
  <c r="L15" i="56" s="1"/>
  <c r="F10" i="56"/>
  <c r="F13" i="56"/>
  <c r="F12" i="56"/>
  <c r="E16" i="56"/>
  <c r="E30" i="56" s="1"/>
  <c r="F11" i="56"/>
  <c r="A83" i="33"/>
  <c r="A84" i="33" s="1"/>
  <c r="A90" i="33" s="1"/>
  <c r="A92" i="33" s="1"/>
  <c r="A94" i="33" s="1"/>
  <c r="A95" i="33" s="1"/>
  <c r="A97" i="33" s="1"/>
  <c r="A99" i="33" s="1"/>
  <c r="A100" i="33" s="1"/>
  <c r="A101" i="33" s="1"/>
  <c r="A103" i="33" s="1"/>
  <c r="A105" i="33" s="1"/>
  <c r="A107" i="33" s="1"/>
  <c r="A109" i="33" s="1"/>
  <c r="A111" i="33" s="1"/>
  <c r="A112" i="33" s="1"/>
  <c r="A114" i="33" s="1"/>
  <c r="A81" i="33"/>
  <c r="A82" i="33" s="1"/>
  <c r="E86" i="3"/>
  <c r="D102" i="3"/>
  <c r="P23" i="56"/>
  <c r="E29" i="56"/>
  <c r="C22" i="37"/>
  <c r="E4" i="37"/>
  <c r="E22" i="37" s="1"/>
  <c r="A116" i="33" l="1"/>
  <c r="A118" i="33" s="1"/>
  <c r="A120" i="33" s="1"/>
  <c r="A121" i="33" s="1"/>
  <c r="A122" i="33" s="1"/>
  <c r="A123" i="33" s="1"/>
  <c r="A124" i="33" s="1"/>
  <c r="A125" i="33" s="1"/>
  <c r="A126" i="33" s="1"/>
  <c r="A127" i="33" s="1"/>
  <c r="A128" i="33" s="1"/>
  <c r="A129" i="33" s="1"/>
  <c r="A130" i="33" s="1"/>
  <c r="A131" i="33" s="1"/>
  <c r="A132" i="33" s="1"/>
  <c r="A133" i="33" s="1"/>
  <c r="A134" i="33" s="1"/>
  <c r="A135" i="33" s="1"/>
  <c r="A136" i="33" s="1"/>
  <c r="L16" i="56"/>
  <c r="N15" i="56"/>
  <c r="D8" i="3"/>
  <c r="D18" i="3" s="1"/>
  <c r="F18" i="3"/>
  <c r="G49" i="3"/>
  <c r="G41" i="7"/>
  <c r="G40" i="7"/>
  <c r="F16" i="56"/>
  <c r="E33" i="56"/>
  <c r="Q13" i="56"/>
  <c r="P16" i="56"/>
  <c r="P30" i="56" s="1"/>
  <c r="Q23" i="56"/>
  <c r="P29" i="56"/>
  <c r="C39" i="48"/>
  <c r="C35" i="48" s="1"/>
  <c r="A147" i="33" l="1"/>
  <c r="A148" i="33" s="1"/>
  <c r="A149" i="33" s="1"/>
  <c r="A150" i="33" s="1"/>
  <c r="A151" i="33" s="1"/>
  <c r="A152" i="33" s="1"/>
  <c r="A153" i="33" s="1"/>
  <c r="A154" i="33" s="1"/>
  <c r="A155" i="33" s="1"/>
  <c r="A156" i="33" s="1"/>
  <c r="A157" i="33" s="1"/>
  <c r="A137" i="33"/>
  <c r="A138" i="33" s="1"/>
  <c r="A139" i="33" s="1"/>
  <c r="N16" i="56"/>
  <c r="N33" i="56" s="1"/>
  <c r="G95" i="3"/>
  <c r="F95" i="3" s="1"/>
  <c r="D95" i="3" s="1"/>
  <c r="L33" i="56"/>
  <c r="L30" i="56"/>
  <c r="N30" i="56" s="1"/>
  <c r="G30" i="3"/>
  <c r="F30" i="3"/>
  <c r="C6" i="56"/>
  <c r="G59" i="3"/>
  <c r="D49" i="3"/>
  <c r="D59" i="3" s="1"/>
  <c r="F49" i="3"/>
  <c r="F59" i="3" s="1"/>
  <c r="E93" i="3"/>
  <c r="Q16" i="56"/>
  <c r="Q30" i="56" s="1"/>
  <c r="P33" i="56"/>
  <c r="F30" i="56"/>
  <c r="F33" i="56"/>
  <c r="Q29" i="56"/>
  <c r="E103" i="3"/>
  <c r="D12" i="48" s="1"/>
  <c r="A140" i="33" l="1"/>
  <c r="Q33" i="56"/>
  <c r="D33" i="48"/>
  <c r="C6" i="48" s="1"/>
  <c r="C16" i="56"/>
  <c r="C30" i="56" s="1"/>
  <c r="H6" i="56"/>
  <c r="F31" i="3"/>
  <c r="F36" i="3" s="1"/>
  <c r="G71" i="3"/>
  <c r="D30" i="3"/>
  <c r="D31" i="3" s="1"/>
  <c r="D36" i="3" s="1"/>
  <c r="G31" i="3"/>
  <c r="G36" i="3" s="1"/>
  <c r="J71" i="3"/>
  <c r="D93" i="3"/>
  <c r="E96" i="3"/>
  <c r="D103" i="3"/>
  <c r="E109" i="3"/>
  <c r="C28" i="56" l="1"/>
  <c r="F71" i="3"/>
  <c r="G72" i="3"/>
  <c r="G74" i="3" s="1"/>
  <c r="J108" i="3"/>
  <c r="J109" i="3" s="1"/>
  <c r="J111" i="3" s="1"/>
  <c r="J72" i="3"/>
  <c r="J74" i="3" s="1"/>
  <c r="H16" i="56"/>
  <c r="H30" i="56" s="1"/>
  <c r="G86" i="3"/>
  <c r="B12" i="48" s="1"/>
  <c r="B33" i="48" s="1"/>
  <c r="E41" i="3"/>
  <c r="G41" i="3" s="1"/>
  <c r="F40" i="3"/>
  <c r="E111" i="3"/>
  <c r="C1" i="48" l="1"/>
  <c r="F86" i="3"/>
  <c r="G96" i="3"/>
  <c r="D71" i="3"/>
  <c r="D72" i="3" s="1"/>
  <c r="D74" i="3" s="1"/>
  <c r="D76" i="3" s="1"/>
  <c r="F72" i="3"/>
  <c r="F74" i="3" s="1"/>
  <c r="E75" i="3" s="1"/>
  <c r="C34" i="56"/>
  <c r="I35" i="56" s="1"/>
  <c r="G75" i="3"/>
  <c r="E76" i="3"/>
  <c r="H28" i="56"/>
  <c r="C29" i="56"/>
  <c r="C33" i="56" s="1"/>
  <c r="F96" i="3" l="1"/>
  <c r="D86" i="3"/>
  <c r="D96" i="3" s="1"/>
  <c r="G108" i="3"/>
  <c r="H29" i="56"/>
  <c r="H33" i="56" s="1"/>
  <c r="G109" i="3" l="1"/>
  <c r="F108" i="3"/>
  <c r="D108" i="3" l="1"/>
  <c r="D109" i="3" s="1"/>
  <c r="D111" i="3" s="1"/>
  <c r="F109" i="3"/>
  <c r="I113" i="3"/>
  <c r="J113" i="3" s="1"/>
  <c r="G111" i="3"/>
  <c r="G112" i="3" l="1"/>
  <c r="F111" i="3"/>
  <c r="E112" i="3" s="1"/>
</calcChain>
</file>

<file path=xl/comments1.xml><?xml version="1.0" encoding="utf-8"?>
<comments xmlns="http://schemas.openxmlformats.org/spreadsheetml/2006/main">
  <authors>
    <author>Věra Benžová</author>
  </authors>
  <commentList>
    <comment ref="G4" authorId="0" shapeId="0">
      <text>
        <r>
          <rPr>
            <b/>
            <sz val="9"/>
            <color indexed="81"/>
            <rFont val="Tahoma"/>
            <family val="2"/>
            <charset val="238"/>
          </rPr>
          <t>Věra Benžová:</t>
        </r>
        <r>
          <rPr>
            <sz val="9"/>
            <color indexed="81"/>
            <rFont val="Tahoma"/>
            <family val="2"/>
            <charset val="238"/>
          </rPr>
          <t xml:space="preserve">
činnost bude upřesněna
do 2018 - 1112, 2019 - 4769, 
2020-?</t>
        </r>
      </text>
    </comment>
  </commentList>
</comments>
</file>

<file path=xl/sharedStrings.xml><?xml version="1.0" encoding="utf-8"?>
<sst xmlns="http://schemas.openxmlformats.org/spreadsheetml/2006/main" count="1640" uniqueCount="867">
  <si>
    <t>Příspěvek celkem</t>
  </si>
  <si>
    <t>SUKB</t>
  </si>
  <si>
    <t>index</t>
  </si>
  <si>
    <t>ř.</t>
  </si>
  <si>
    <t xml:space="preserve">   Činnost</t>
  </si>
  <si>
    <t xml:space="preserve">   C e l k e m</t>
  </si>
  <si>
    <t>Fakulta</t>
  </si>
  <si>
    <t>LF</t>
  </si>
  <si>
    <t>FF</t>
  </si>
  <si>
    <t>PrF</t>
  </si>
  <si>
    <t>FSS</t>
  </si>
  <si>
    <t>PřF</t>
  </si>
  <si>
    <t>FI</t>
  </si>
  <si>
    <t>PdF</t>
  </si>
  <si>
    <t>FSpS</t>
  </si>
  <si>
    <t>ESF</t>
  </si>
  <si>
    <t>celkem</t>
  </si>
  <si>
    <t>ÚVT</t>
  </si>
  <si>
    <t>RMU</t>
  </si>
  <si>
    <t>vzděl.č.</t>
  </si>
  <si>
    <t>ostatní</t>
  </si>
  <si>
    <t>podíl</t>
  </si>
  <si>
    <t>odpisy</t>
  </si>
  <si>
    <t>CJV</t>
  </si>
  <si>
    <t>CZS</t>
  </si>
  <si>
    <t>plán</t>
  </si>
  <si>
    <t>č.</t>
  </si>
  <si>
    <t>akce</t>
  </si>
  <si>
    <t xml:space="preserve"> celkem účtováno přes rektorát</t>
  </si>
  <si>
    <t xml:space="preserve"> celkem účtováno přes FI</t>
  </si>
  <si>
    <t>z toho</t>
  </si>
  <si>
    <t>bez CA</t>
  </si>
  <si>
    <t>RR</t>
  </si>
  <si>
    <t>č.ř.</t>
  </si>
  <si>
    <t>činnost</t>
  </si>
  <si>
    <t xml:space="preserve">Hospodářské </t>
  </si>
  <si>
    <t>středisko</t>
  </si>
  <si>
    <t>fakulty celkem</t>
  </si>
  <si>
    <t>Seznam příloh:</t>
  </si>
  <si>
    <t xml:space="preserve">příloha 1 - </t>
  </si>
  <si>
    <t>Plán</t>
  </si>
  <si>
    <t>Skutečnost</t>
  </si>
  <si>
    <t xml:space="preserve">   z toho:</t>
  </si>
  <si>
    <t xml:space="preserve">v tom - </t>
  </si>
  <si>
    <t>mzdy</t>
  </si>
  <si>
    <t>OON</t>
  </si>
  <si>
    <t>energie</t>
  </si>
  <si>
    <t>opravy, údržba</t>
  </si>
  <si>
    <t>materiál</t>
  </si>
  <si>
    <t>služby</t>
  </si>
  <si>
    <t>cestovné</t>
  </si>
  <si>
    <t>stipendia</t>
  </si>
  <si>
    <t>C-doktorská stipendia</t>
  </si>
  <si>
    <t>112*</t>
  </si>
  <si>
    <t>D-zahr.st.,CEEPUS,AKTION,Socrates</t>
  </si>
  <si>
    <t>113*</t>
  </si>
  <si>
    <t>F-vzdělávací projekty, I-rozvojové programy, J,M,H,E</t>
  </si>
  <si>
    <t>Ostatní dotace ze SR a od úz.celků bez VaV</t>
  </si>
  <si>
    <t>151*,161*</t>
  </si>
  <si>
    <t>Projekty VaV ze SR a od úz.celků</t>
  </si>
  <si>
    <t>Doplňková činnost</t>
  </si>
  <si>
    <t>8*</t>
  </si>
  <si>
    <t>111*</t>
  </si>
  <si>
    <t>Čerpání fondů</t>
  </si>
  <si>
    <t>na vzděl.č.</t>
  </si>
  <si>
    <t>z toho vzdělávací č.</t>
  </si>
  <si>
    <t>Cesnet - poplatky</t>
  </si>
  <si>
    <t>Celkem MU</t>
  </si>
  <si>
    <t>SKM</t>
  </si>
  <si>
    <t xml:space="preserve">příloha 3 -  </t>
  </si>
  <si>
    <t>Celkem</t>
  </si>
  <si>
    <t>RS</t>
  </si>
  <si>
    <t>Schváleno v AS fakulty dne:</t>
  </si>
  <si>
    <t>Podpis:</t>
  </si>
  <si>
    <t>energetický management</t>
  </si>
  <si>
    <t>audit vč.účet. a daň.poradenství, služby INTRASTAT</t>
  </si>
  <si>
    <t xml:space="preserve"> celkem nové náklady - účtováno přes ÚVT</t>
  </si>
  <si>
    <t>bez</t>
  </si>
  <si>
    <t>SPSSN</t>
  </si>
  <si>
    <t>UCT</t>
  </si>
  <si>
    <t xml:space="preserve">   financování nedotačních odpisů režijních pracovišť</t>
  </si>
  <si>
    <t xml:space="preserve">RMU </t>
  </si>
  <si>
    <t xml:space="preserve">pojištění zahr.cest </t>
  </si>
  <si>
    <t>pojištění majetku MU a studentů</t>
  </si>
  <si>
    <t>interní vzdělávání</t>
  </si>
  <si>
    <t>právní poradenství</t>
  </si>
  <si>
    <t>ediční činnost</t>
  </si>
  <si>
    <t>daň z nemovitostí</t>
  </si>
  <si>
    <t xml:space="preserve"> celkem účtováno přes FSpS</t>
  </si>
  <si>
    <t xml:space="preserve">  na Program</t>
  </si>
  <si>
    <t xml:space="preserve">Financování nedotačních odpisů fakult </t>
  </si>
  <si>
    <t xml:space="preserve">U3V </t>
  </si>
  <si>
    <t xml:space="preserve">Poradenské centrum </t>
  </si>
  <si>
    <t>studentské projekty (program rektora)</t>
  </si>
  <si>
    <t xml:space="preserve"> celkem účtováno přes SPSSN</t>
  </si>
  <si>
    <t>IBA</t>
  </si>
  <si>
    <t>časopis muni.cz vč.fotobanky</t>
  </si>
  <si>
    <t>Převody z fondů/použití fondů</t>
  </si>
  <si>
    <t>fondů</t>
  </si>
  <si>
    <t>FPP</t>
  </si>
  <si>
    <t>FÚUP</t>
  </si>
  <si>
    <t>FO</t>
  </si>
  <si>
    <t>Fstip</t>
  </si>
  <si>
    <t xml:space="preserve"> A-vzděl.č.,specif.VaV,SKM,vlastní,fondy:</t>
  </si>
  <si>
    <t>13* bez 139*,14*</t>
  </si>
  <si>
    <t>119*, 139*</t>
  </si>
  <si>
    <t xml:space="preserve">Účelové příspěvky  na VaV </t>
  </si>
  <si>
    <t>251*</t>
  </si>
  <si>
    <t>A-příspěvek na vzdělávací činnost</t>
  </si>
  <si>
    <t>Dotace na SKM, přísp.na ubytovací a soc.stip.</t>
  </si>
  <si>
    <t>Účelové příspěvky bez VaV</t>
  </si>
  <si>
    <t>VaV - ze SR a od úz.celků</t>
  </si>
  <si>
    <t>Vlastní zdroje (hl.č.za úplatu)</t>
  </si>
  <si>
    <t>Komentář:</t>
  </si>
  <si>
    <t>Výměnu NEI příspěvku za příspěvek na kapitálové výdaje plánujte v nákladech do ř.13 a plánovanou částku uveďte zde:</t>
  </si>
  <si>
    <t xml:space="preserve">Příspěvek do centralizovaných zdrojů celkem </t>
  </si>
  <si>
    <t xml:space="preserve">Účelové příspěvky bez VaV </t>
  </si>
  <si>
    <t xml:space="preserve">Účelové příspěvky na VaV </t>
  </si>
  <si>
    <t>odvody</t>
  </si>
  <si>
    <t>Centrum pro radiační,chem.a biol.bezpečnost</t>
  </si>
  <si>
    <t>výroční zprávy</t>
  </si>
  <si>
    <t>Mendel muzeum</t>
  </si>
  <si>
    <t>CTT</t>
  </si>
  <si>
    <t>celkem účtováno přes CTT</t>
  </si>
  <si>
    <t>Schválil:</t>
  </si>
  <si>
    <t>Příkazce operace:</t>
  </si>
  <si>
    <t>Správce rozpočtu:</t>
  </si>
  <si>
    <t>datum a podpis</t>
  </si>
  <si>
    <t>přidělené</t>
  </si>
  <si>
    <t>prostředky</t>
  </si>
  <si>
    <t>Fsoc</t>
  </si>
  <si>
    <t>velké opravy a údržba</t>
  </si>
  <si>
    <t>veletrhy (Gaudeamus a zahr.)</t>
  </si>
  <si>
    <t xml:space="preserve">provoz auly </t>
  </si>
  <si>
    <t>1a</t>
  </si>
  <si>
    <t>1b</t>
  </si>
  <si>
    <t>organizační zajištění projektů RMU</t>
  </si>
  <si>
    <t xml:space="preserve">akademické soutěže studentů </t>
  </si>
  <si>
    <t xml:space="preserve">výměna NIV/INV </t>
  </si>
  <si>
    <t>1c</t>
  </si>
  <si>
    <t>1d</t>
  </si>
  <si>
    <t>VaV - institucionální podpora</t>
  </si>
  <si>
    <t>z toho vnitro - ú.549 ?</t>
  </si>
  <si>
    <t>Botanická zahrada</t>
  </si>
  <si>
    <t>4* bez FÚUP z dotací</t>
  </si>
  <si>
    <t>Příspěvek 1. Mandatorní výdaje</t>
  </si>
  <si>
    <t>Příspěvek 2. Celouniverzitní aktivity a celouniverzitní součásti</t>
  </si>
  <si>
    <t xml:space="preserve">   režijní pracoviště bez instit.podpory (CP 2)</t>
  </si>
  <si>
    <t xml:space="preserve">   součet CA (CP1)</t>
  </si>
  <si>
    <t>MV Finanční činnosti (ř. 1+2+3+4)</t>
  </si>
  <si>
    <t>CA bez RR</t>
  </si>
  <si>
    <t xml:space="preserve">   centralizované aktivity bez RR</t>
  </si>
  <si>
    <t xml:space="preserve">   rezerva rektora - RR </t>
  </si>
  <si>
    <t>% z přínosu</t>
  </si>
  <si>
    <t xml:space="preserve">Plán financování centralizovaných oprav </t>
  </si>
  <si>
    <t>celkem účtováno přes PdF</t>
  </si>
  <si>
    <t>celkem účtováno přes PřF</t>
  </si>
  <si>
    <t xml:space="preserve">            SPN (režie) - ú.547*</t>
  </si>
  <si>
    <t>propagační akce VaV (Festival vědy, …)</t>
  </si>
  <si>
    <t>I. Normativní prostředky z MŠMT v tis. Kč</t>
  </si>
  <si>
    <t>NIV pro INV akce</t>
  </si>
  <si>
    <t>z toho rozpis ze SR</t>
  </si>
  <si>
    <t>z toho ze SR</t>
  </si>
  <si>
    <t>Projekty VaV z dotací ze zahr. a OP VaV</t>
  </si>
  <si>
    <t>152*,153*,157*,159*,167*,169*,19*,257*,259*,267*,269*</t>
  </si>
  <si>
    <t>Příspěvek 2. Celkem (CP1+CP2)</t>
  </si>
  <si>
    <t xml:space="preserve">příloha 2 - </t>
  </si>
  <si>
    <t xml:space="preserve">CP1 + CP2 </t>
  </si>
  <si>
    <t>MV + CP1 + CP2</t>
  </si>
  <si>
    <t>Náklady na tvorbu sociálního fondu ve výši 1 % z mezd (z ř.3) plánujte na ř. 5, tj. plán celkových odvodů bude 34+1=35 % resp. u dotačních projektů na řádky odpovídající příslušnému zdroji financování</t>
  </si>
  <si>
    <t xml:space="preserve">   Přínos na vzdělavací č. a instit.podpora celkem (ř.3)</t>
  </si>
  <si>
    <t xml:space="preserve">   Příspěvek. Celkem (ř.8+ř.13)</t>
  </si>
  <si>
    <t xml:space="preserve">   NEI související s INV </t>
  </si>
  <si>
    <t>CUS</t>
  </si>
  <si>
    <t>UKAZATEL</t>
  </si>
  <si>
    <t>Index</t>
  </si>
  <si>
    <t>CELKEM</t>
  </si>
  <si>
    <t>A+K</t>
  </si>
  <si>
    <t>Ceitec</t>
  </si>
  <si>
    <t>Snížené</t>
  </si>
  <si>
    <t>NEI</t>
  </si>
  <si>
    <t>z</t>
  </si>
  <si>
    <t>%</t>
  </si>
  <si>
    <t>výnosů</t>
  </si>
  <si>
    <t>výnosy*</t>
  </si>
  <si>
    <t>A + K</t>
  </si>
  <si>
    <t xml:space="preserve">  za INV příspěvek na centraliz.akce (zejm.stavby)</t>
  </si>
  <si>
    <t>ProvO</t>
  </si>
  <si>
    <t>IO</t>
  </si>
  <si>
    <t>OVVM</t>
  </si>
  <si>
    <t>NMU</t>
  </si>
  <si>
    <t>x</t>
  </si>
  <si>
    <t>MM</t>
  </si>
  <si>
    <t xml:space="preserve">Komenského nám. </t>
  </si>
  <si>
    <t xml:space="preserve"> celkem účtováno přes UCT</t>
  </si>
  <si>
    <t xml:space="preserve">   Institucionální podpora pro Ceitec, ÚVT a IBA</t>
  </si>
  <si>
    <t xml:space="preserve">dokrytí </t>
  </si>
  <si>
    <t>Přiděleno po výměně</t>
  </si>
  <si>
    <t>k.č.</t>
  </si>
  <si>
    <t>FSpS vč. CUS</t>
  </si>
  <si>
    <t>č.činosti</t>
  </si>
  <si>
    <t>Financování odpisů režijních součástí (nedotačních) č.činnosti 1112</t>
  </si>
  <si>
    <t>NIV pro INV č.činnosti 1112</t>
  </si>
  <si>
    <t>Celkem fak.</t>
  </si>
  <si>
    <t>po zaokr.</t>
  </si>
  <si>
    <t>Prof. prům. přep. stav</t>
  </si>
  <si>
    <t>Doc. prům. přep. stav</t>
  </si>
  <si>
    <t>1</t>
  </si>
  <si>
    <t>2</t>
  </si>
  <si>
    <t>3</t>
  </si>
  <si>
    <t>4</t>
  </si>
  <si>
    <t>5</t>
  </si>
  <si>
    <t>6</t>
  </si>
  <si>
    <t>7</t>
  </si>
  <si>
    <t>8</t>
  </si>
  <si>
    <t>K (VKM)</t>
  </si>
  <si>
    <t>Příspěvek 1 + 2 (MV+CP)</t>
  </si>
  <si>
    <t>MV + CP</t>
  </si>
  <si>
    <t>CELKEM MV + CP</t>
  </si>
  <si>
    <t>Rekapitulace:</t>
  </si>
  <si>
    <t>z toho RMU 1111 v CP</t>
  </si>
  <si>
    <t>zbývá na CP (ř.3-4)</t>
  </si>
  <si>
    <t>rozdíl = chybí (ř.5-6)</t>
  </si>
  <si>
    <t>dofinancovat RMU z FPP (ř.8-9=ř.7)</t>
  </si>
  <si>
    <t>MV</t>
  </si>
  <si>
    <t>CP1 bez RR</t>
  </si>
  <si>
    <t>Nedot.odpisy rež.souč.</t>
  </si>
  <si>
    <t>A</t>
  </si>
  <si>
    <t>dokrytí</t>
  </si>
  <si>
    <t xml:space="preserve">FPP </t>
  </si>
  <si>
    <t>z centraliz.</t>
  </si>
  <si>
    <t>celkem + FPP</t>
  </si>
  <si>
    <t>Kooper.kredity</t>
  </si>
  <si>
    <t>Výkon podle</t>
  </si>
  <si>
    <t>koop.kreditů</t>
  </si>
  <si>
    <t>Příspěvek</t>
  </si>
  <si>
    <t>RMU*</t>
  </si>
  <si>
    <t>* podle pravidel pro sestavování rozpočtu</t>
  </si>
  <si>
    <t>CEITEC</t>
  </si>
  <si>
    <t>Ceitec CŘS</t>
  </si>
  <si>
    <t>CP2</t>
  </si>
  <si>
    <t xml:space="preserve">  splátky NFV</t>
  </si>
  <si>
    <t>Kariérní centrum</t>
  </si>
  <si>
    <t>organizační zajištění projektů RMU - OVaV</t>
  </si>
  <si>
    <t>kino Scala</t>
  </si>
  <si>
    <t>Antiviry - celouniverzitní licence</t>
  </si>
  <si>
    <t>VMWare roční podpora (virtuální servery)</t>
  </si>
  <si>
    <t>SPSS univerzitní licence</t>
  </si>
  <si>
    <t>obnova PC vybavení CPS/UPC - nákup cca 150 ks PC</t>
  </si>
  <si>
    <t>Elektronické informační zdroje, knihovní systém Aleph</t>
  </si>
  <si>
    <t>roční podpora EIS Magion, INET, Oracle</t>
  </si>
  <si>
    <t>pozáruční servis hlasové sítě</t>
  </si>
  <si>
    <t>CPS - provoz, energie, opravy, údržba, úklid, ostraha</t>
  </si>
  <si>
    <t>servisní podpora zařízení páteřní sítě (Cisco)</t>
  </si>
  <si>
    <t>licence ESRI, budovy/BMS, GIS, Archibus</t>
  </si>
  <si>
    <t>inteligentní budovy,BMS,podpora dostavby UKB, technol.pasport apod.</t>
  </si>
  <si>
    <t xml:space="preserve"> celkem účtováno přes SUKB</t>
  </si>
  <si>
    <t>Přiděleno 1</t>
  </si>
  <si>
    <t>3 = 1 + 2</t>
  </si>
  <si>
    <t>Přiděleno 2</t>
  </si>
  <si>
    <t>pův.</t>
  </si>
  <si>
    <t>navýšení příspěvku</t>
  </si>
  <si>
    <t>snížení příspěvku</t>
  </si>
  <si>
    <t>CP1</t>
  </si>
  <si>
    <t>pův</t>
  </si>
  <si>
    <t>výměny NEI / INV</t>
  </si>
  <si>
    <t>poměr</t>
  </si>
  <si>
    <t>6= 1+2+5</t>
  </si>
  <si>
    <t>10 = 7+8+9</t>
  </si>
  <si>
    <t>11= -2 -5 -8 -9</t>
  </si>
  <si>
    <t>č.1112</t>
  </si>
  <si>
    <t>10a</t>
  </si>
  <si>
    <t>10b</t>
  </si>
  <si>
    <r>
      <t>IV. Výpočet přínosu - normativní prostředky celkem</t>
    </r>
    <r>
      <rPr>
        <sz val="12"/>
        <rFont val="Calibri"/>
        <family val="2"/>
        <charset val="238"/>
      </rPr>
      <t xml:space="preserve"> </t>
    </r>
  </si>
  <si>
    <r>
      <t xml:space="preserve">V. Financování celouniverzitních aktivit a režijních pracovišť </t>
    </r>
    <r>
      <rPr>
        <sz val="10"/>
        <rFont val="Calibri"/>
        <family val="2"/>
      </rPr>
      <t>(v tis. Kč)</t>
    </r>
  </si>
  <si>
    <r>
      <t xml:space="preserve">   </t>
    </r>
    <r>
      <rPr>
        <sz val="8"/>
        <rFont val="Calibri"/>
        <family val="2"/>
      </rPr>
      <t>výměna NEI příspěvku za příspěvek na kapitálové výdaje+spoluf. OP VaVpI PO4</t>
    </r>
  </si>
  <si>
    <r>
      <t xml:space="preserve">   financování nedotačních odpisů fakult </t>
    </r>
    <r>
      <rPr>
        <sz val="9"/>
        <rFont val="Calibri"/>
        <family val="2"/>
      </rPr>
      <t>(odpisy majetku, který nebyl pořízen z dotace)</t>
    </r>
  </si>
  <si>
    <r>
      <t xml:space="preserve">Příspěvek 1. Celkem  MV1 </t>
    </r>
    <r>
      <rPr>
        <sz val="10"/>
        <rFont val="Calibri"/>
        <family val="2"/>
      </rPr>
      <t>(Příloha 1)</t>
    </r>
  </si>
  <si>
    <r>
      <t xml:space="preserve">   K rozdělení fakultám včetně CUS + CJV</t>
    </r>
    <r>
      <rPr>
        <sz val="10"/>
        <rFont val="Calibri"/>
        <family val="2"/>
      </rPr>
      <t>(ř.14-ř.15-ř.16)</t>
    </r>
  </si>
  <si>
    <r>
      <t xml:space="preserve">CA </t>
    </r>
    <r>
      <rPr>
        <i/>
        <vertAlign val="superscript"/>
        <sz val="10"/>
        <rFont val="Calibri"/>
        <family val="2"/>
      </rPr>
      <t>*)</t>
    </r>
  </si>
  <si>
    <t>zaokr.</t>
  </si>
  <si>
    <t>Prof. + doc. v tis. Kč</t>
  </si>
  <si>
    <t>10</t>
  </si>
  <si>
    <t>č. 1111</t>
  </si>
  <si>
    <t>č.1111</t>
  </si>
  <si>
    <t>*včetně nedot.odpisů</t>
  </si>
  <si>
    <t>Fakulty celkem</t>
  </si>
  <si>
    <t>Režijní prac.</t>
  </si>
  <si>
    <r>
      <t xml:space="preserve">rež.prac. </t>
    </r>
    <r>
      <rPr>
        <i/>
        <sz val="10"/>
        <rFont val="Calibri"/>
        <family val="2"/>
      </rPr>
      <t>bez CA (CP2)</t>
    </r>
  </si>
  <si>
    <t>kontrola:</t>
  </si>
  <si>
    <t>K          celkem  v tis. Kč (sl.1+2+3+4+5+6+7+8+9+10)</t>
  </si>
  <si>
    <t>nájem FF (Údolní 53)</t>
  </si>
  <si>
    <t>studie, oceňování nemovitostí</t>
  </si>
  <si>
    <t>ASPI + Občanský zákoník</t>
  </si>
  <si>
    <t>ochrana duševního vlastnictví (vč.udržovacích popl.)</t>
  </si>
  <si>
    <t>galerijní pedagogika</t>
  </si>
  <si>
    <t>podpora dostavby UKB a souvis. Náklady</t>
  </si>
  <si>
    <t xml:space="preserve"> celkem účtováno přes CEITEC CŘS</t>
  </si>
  <si>
    <t>kurzy češtiny</t>
  </si>
  <si>
    <t xml:space="preserve"> celkem účtováno přes CZS</t>
  </si>
  <si>
    <t xml:space="preserve"> celkem účtováno přes FF</t>
  </si>
  <si>
    <t>rozdělovaná částka</t>
  </si>
  <si>
    <t xml:space="preserve"> Ceitec CŘS</t>
  </si>
  <si>
    <t>MV - výměna NEI na INV a dotaci na OP VaVpI</t>
  </si>
  <si>
    <t>PŘÍSPĚVEK CELKEM</t>
  </si>
  <si>
    <t>č.č. 1111</t>
  </si>
  <si>
    <t>č.č. 1182</t>
  </si>
  <si>
    <t>č.č. 1112</t>
  </si>
  <si>
    <t>č.č. 2112</t>
  </si>
  <si>
    <t>z toho RMU</t>
  </si>
  <si>
    <t>3e</t>
  </si>
  <si>
    <t>3f</t>
  </si>
  <si>
    <t>3h</t>
  </si>
  <si>
    <t>3i</t>
  </si>
  <si>
    <t>3j</t>
  </si>
  <si>
    <t>3l</t>
  </si>
  <si>
    <t>FAKULTY CELKEM</t>
  </si>
  <si>
    <t>FR MU (odbor rozvoje)</t>
  </si>
  <si>
    <t>Příspěvek 111*</t>
  </si>
  <si>
    <t>1008</t>
  </si>
  <si>
    <t>1009</t>
  </si>
  <si>
    <t>1012</t>
  </si>
  <si>
    <t>1014</t>
  </si>
  <si>
    <t>1015</t>
  </si>
  <si>
    <t>1016</t>
  </si>
  <si>
    <t>1017</t>
  </si>
  <si>
    <t>1019</t>
  </si>
  <si>
    <t>1020</t>
  </si>
  <si>
    <t>1021</t>
  </si>
  <si>
    <t>1023</t>
  </si>
  <si>
    <t>1024</t>
  </si>
  <si>
    <t>1026</t>
  </si>
  <si>
    <t>1028</t>
  </si>
  <si>
    <t>1027</t>
  </si>
  <si>
    <t>1029</t>
  </si>
  <si>
    <t>1037</t>
  </si>
  <si>
    <t>1040</t>
  </si>
  <si>
    <t>1052</t>
  </si>
  <si>
    <t>1053</t>
  </si>
  <si>
    <t>1060</t>
  </si>
  <si>
    <t>1061</t>
  </si>
  <si>
    <t>1063</t>
  </si>
  <si>
    <t>1064</t>
  </si>
  <si>
    <t>1074</t>
  </si>
  <si>
    <t>1075</t>
  </si>
  <si>
    <t>1078</t>
  </si>
  <si>
    <t>1081</t>
  </si>
  <si>
    <t>1084</t>
  </si>
  <si>
    <t>1085</t>
  </si>
  <si>
    <t>1086</t>
  </si>
  <si>
    <t>1088</t>
  </si>
  <si>
    <t>1105</t>
  </si>
  <si>
    <t>1403</t>
  </si>
  <si>
    <t>1054</t>
  </si>
  <si>
    <t xml:space="preserve"> celkem účtováno přes FSS</t>
  </si>
  <si>
    <t>poplatek INTERGRAM - Rádio R</t>
  </si>
  <si>
    <t>ERA CHAIR</t>
  </si>
  <si>
    <t xml:space="preserve"> celkem účtováno přes SKM</t>
  </si>
  <si>
    <t>114*, 115*, 118*,</t>
  </si>
  <si>
    <t>114*, 115*, 118*</t>
  </si>
  <si>
    <t>117*, 12*</t>
  </si>
  <si>
    <t>zakázka</t>
  </si>
  <si>
    <t>KQ</t>
  </si>
  <si>
    <t>StudO</t>
  </si>
  <si>
    <t>OPR</t>
  </si>
  <si>
    <t>OAZ</t>
  </si>
  <si>
    <t>personální poradenství (překlady, inzerce, poradenství apod.)</t>
  </si>
  <si>
    <t>TO</t>
  </si>
  <si>
    <t>Odbor</t>
  </si>
  <si>
    <t>meziroční srovnání</t>
  </si>
  <si>
    <t>Typ</t>
  </si>
  <si>
    <t>HS</t>
  </si>
  <si>
    <t>99 RMU</t>
  </si>
  <si>
    <t>∑</t>
  </si>
  <si>
    <t>71 CEITEC</t>
  </si>
  <si>
    <t>81 SKM</t>
  </si>
  <si>
    <t>83 UCT</t>
  </si>
  <si>
    <t>84 SPSSN</t>
  </si>
  <si>
    <t>85 IBA</t>
  </si>
  <si>
    <t>87 CTT</t>
  </si>
  <si>
    <t>92 ÚVT</t>
  </si>
  <si>
    <t>96 CJV</t>
  </si>
  <si>
    <t>97 CZS</t>
  </si>
  <si>
    <t>79 CŘS</t>
  </si>
  <si>
    <t>82 SUKB</t>
  </si>
  <si>
    <t>41 PdF</t>
  </si>
  <si>
    <t>23 FSS</t>
  </si>
  <si>
    <t>31 PřF</t>
  </si>
  <si>
    <t>33 FI</t>
  </si>
  <si>
    <t>51 FSpS</t>
  </si>
  <si>
    <t>21 FF</t>
  </si>
  <si>
    <t xml:space="preserve">Financování odpisů </t>
  </si>
  <si>
    <t>provoz UCT</t>
  </si>
  <si>
    <t>provoz CEITEC CŘS</t>
  </si>
  <si>
    <t>provoz SKM</t>
  </si>
  <si>
    <t>provoz SUKB</t>
  </si>
  <si>
    <t>provoz SPSSN</t>
  </si>
  <si>
    <t>provoz IBA</t>
  </si>
  <si>
    <t>provoz CTT</t>
  </si>
  <si>
    <t>provoz ÚVT</t>
  </si>
  <si>
    <t>provoz CZS</t>
  </si>
  <si>
    <t>provoz RMU</t>
  </si>
  <si>
    <t>mezisoučet CP1</t>
  </si>
  <si>
    <t>mezisoučet CP2</t>
  </si>
  <si>
    <t>mezisoučet MV</t>
  </si>
  <si>
    <r>
      <t xml:space="preserve">Hosp.středisko: </t>
    </r>
    <r>
      <rPr>
        <sz val="10"/>
        <color indexed="12"/>
        <rFont val="Calibri"/>
        <family val="2"/>
      </rPr>
      <t/>
    </r>
  </si>
  <si>
    <t>Náklady celkem (ř.2+14až23)</t>
  </si>
  <si>
    <t>13a</t>
  </si>
  <si>
    <t>13b</t>
  </si>
  <si>
    <t>Strukturální fondy aj.proj.spoluf.EU</t>
  </si>
  <si>
    <t>Výnosy celkem (ř.25 až 39)</t>
  </si>
  <si>
    <t>Hospodářský výsledek dílčí (ř.25+29+33+37+38+39-2-23)</t>
  </si>
  <si>
    <t>Hospodářský výsledek (ř.24-1)</t>
  </si>
  <si>
    <t>Příspěvek na nedotační odpisy plánujte ve výnosech na ř. 25 (výnos je součástí rozpisu rozdělení příspěvku na HS, č.č.1112), náklad je součástí celkových nákladů na účetní odpisy na ř.11)</t>
  </si>
  <si>
    <t>Náklady na dotační odpisy plánujte na ř. 11, odpovídající částku účtovanou dle vyhl.504 do výnosů plánujte na ř. 37.</t>
  </si>
  <si>
    <t>Prostředky získané ze SR jako spolupříjemci (partneři) dotačních projektů plánujte - projekty VaV na ř. 22 a 36, ostatní na ř. 19 a 32.</t>
  </si>
  <si>
    <t>mezisoučet MV+CP1+CP2</t>
  </si>
  <si>
    <t>mezisoučty pro podrobnosti pracovišť</t>
  </si>
  <si>
    <t xml:space="preserve">               RMU - odvod</t>
  </si>
  <si>
    <t>1087</t>
  </si>
  <si>
    <t>1091</t>
  </si>
  <si>
    <t>tis. Kč</t>
  </si>
  <si>
    <t>součet ř.24  až 26</t>
  </si>
  <si>
    <t>režijní prac.(ř.39 až 50)</t>
  </si>
  <si>
    <t>režijní prac.(ř.64 až 75)</t>
  </si>
  <si>
    <t>1005</t>
  </si>
  <si>
    <t>1006</t>
  </si>
  <si>
    <t xml:space="preserve">MV + CP1 </t>
  </si>
  <si>
    <t>přiděleno</t>
  </si>
  <si>
    <t>přiděleno bez CP1</t>
  </si>
  <si>
    <t xml:space="preserve">nové </t>
  </si>
  <si>
    <t xml:space="preserve"> nové</t>
  </si>
  <si>
    <t xml:space="preserve"> CP1 *</t>
  </si>
  <si>
    <t>CP1*</t>
  </si>
  <si>
    <t>12 = 3 + 11</t>
  </si>
  <si>
    <t>ÚSTAVY CELKEM</t>
  </si>
  <si>
    <t>č.č. 4769</t>
  </si>
  <si>
    <t>RR (rezerva rektora)</t>
  </si>
  <si>
    <r>
      <t>CP1</t>
    </r>
    <r>
      <rPr>
        <sz val="8"/>
        <color indexed="9"/>
        <rFont val="Calibri"/>
        <family val="2"/>
        <charset val="238"/>
      </rPr>
      <t xml:space="preserve"> (č.č.1112)</t>
    </r>
  </si>
  <si>
    <r>
      <t xml:space="preserve">CP2 Centralizovaná střediska </t>
    </r>
    <r>
      <rPr>
        <sz val="8"/>
        <color indexed="9"/>
        <rFont val="Calibri"/>
        <family val="2"/>
        <charset val="238"/>
      </rPr>
      <t>(č.č. 1111)</t>
    </r>
  </si>
  <si>
    <t>zajištění udržitelnosti projektu COV</t>
  </si>
  <si>
    <t>výměna NEI/INV+ program</t>
  </si>
  <si>
    <t>11</t>
  </si>
  <si>
    <t>1065</t>
  </si>
  <si>
    <t>1096</t>
  </si>
  <si>
    <t>1089</t>
  </si>
  <si>
    <t>Ceny rektora (dřive součástí GA MU)</t>
  </si>
  <si>
    <t>1123</t>
  </si>
  <si>
    <t>94 ÚVT</t>
  </si>
  <si>
    <t>95 ÚVT</t>
  </si>
  <si>
    <t>96 ÚVT</t>
  </si>
  <si>
    <t>maple upgrade</t>
  </si>
  <si>
    <t>rozšiřování pokrytí bezdrátové sítě</t>
  </si>
  <si>
    <t>Odvod dle výnosů</t>
  </si>
  <si>
    <t>Odvod dle
 výnosů</t>
  </si>
  <si>
    <t>Podpora zájmové činnosti dětí</t>
  </si>
  <si>
    <t xml:space="preserve">Nájem FF Gorkého </t>
  </si>
  <si>
    <t>Symfonický orchestr</t>
  </si>
  <si>
    <t>Provozní náklady - dofinancování NPÚ II</t>
  </si>
  <si>
    <t>věcná břemena / od roku 2017 pronájem kolektorů</t>
  </si>
  <si>
    <t>&lt;doplnit č.HS a název&gt;</t>
  </si>
  <si>
    <t>2195, 2196, 261*</t>
  </si>
  <si>
    <t>RVH MU</t>
  </si>
  <si>
    <t>Externí příjmy</t>
  </si>
  <si>
    <t>Započítané body RUV v tis. Kč</t>
  </si>
  <si>
    <t xml:space="preserve"> body RUV</t>
  </si>
  <si>
    <t>Cizojazyčné práce</t>
  </si>
  <si>
    <t>Externí příjmy v tis. Kč</t>
  </si>
  <si>
    <t>Cizojazyčné práce v tis. Kč</t>
  </si>
  <si>
    <t>Vyslaní a přijatí studentodní</t>
  </si>
  <si>
    <t>Vyslaní a přijatí v rámci mobilitních programů v tis. Kč</t>
  </si>
  <si>
    <t>Koordinace strategických projektů</t>
  </si>
  <si>
    <t>fixní část</t>
  </si>
  <si>
    <t>výkonová část</t>
  </si>
  <si>
    <t>Fixní část</t>
  </si>
  <si>
    <t>Výkonová část</t>
  </si>
  <si>
    <t>K dokrytí z CP FPP</t>
  </si>
  <si>
    <t xml:space="preserve"> </t>
  </si>
  <si>
    <t>Cizinci zaměstnanci počet</t>
  </si>
  <si>
    <t>Cizinci studenti počet</t>
  </si>
  <si>
    <t>Cizinci studenti v tis. Kč</t>
  </si>
  <si>
    <t>Cizinci zaměstnanci v tis. Kč</t>
  </si>
  <si>
    <t>9</t>
  </si>
  <si>
    <t xml:space="preserve">Ukazatel K </t>
  </si>
  <si>
    <t>AS</t>
  </si>
  <si>
    <t>1098</t>
  </si>
  <si>
    <t>OpK</t>
  </si>
  <si>
    <t>1097</t>
  </si>
  <si>
    <t>1066</t>
  </si>
  <si>
    <t>SPOLUFIN OP VVV</t>
  </si>
  <si>
    <t>OV</t>
  </si>
  <si>
    <t>Dofinancování MUNI 4.0</t>
  </si>
  <si>
    <t>1661</t>
  </si>
  <si>
    <t>SPOLUFIN strategický projekt MUNI 4.0</t>
  </si>
  <si>
    <t>1196</t>
  </si>
  <si>
    <t>Implementace GDPR</t>
  </si>
  <si>
    <t>PO</t>
  </si>
  <si>
    <t>Údržba pozemků UKB</t>
  </si>
  <si>
    <t>Pasportizace nemovistostí</t>
  </si>
  <si>
    <t>1122</t>
  </si>
  <si>
    <t>Odměny senátorům</t>
  </si>
  <si>
    <t>Stipendia studentské komory</t>
  </si>
  <si>
    <t>EO</t>
  </si>
  <si>
    <t>OPŘ</t>
  </si>
  <si>
    <t>Přiděleno fak. + CJV+CUS+IBA</t>
  </si>
  <si>
    <t>(v souladu s podmínkami poskytnutí dotace, dle Pravidel sestavování rozpočtu - čl. 7, odst. 5)</t>
  </si>
  <si>
    <t>Celkem:</t>
  </si>
  <si>
    <t>Částka v tis. Kč</t>
  </si>
  <si>
    <t>KR</t>
  </si>
  <si>
    <t>Činnost</t>
  </si>
  <si>
    <t>CP FPP</t>
  </si>
  <si>
    <t>Přínos podle počtu kredito-studentů</t>
  </si>
  <si>
    <t xml:space="preserve"> celkem účtováno přes CEITEC</t>
  </si>
  <si>
    <t>provoz CEITEC</t>
  </si>
  <si>
    <t>Fakulty + Ceitec</t>
  </si>
  <si>
    <t>podíl na celku</t>
  </si>
  <si>
    <r>
      <t xml:space="preserve">Celkem </t>
    </r>
    <r>
      <rPr>
        <i/>
        <sz val="10"/>
        <rFont val="Calibri"/>
        <family val="2"/>
      </rPr>
      <t>(ř.10+23+27)</t>
    </r>
  </si>
  <si>
    <t>periodické prohlídky zaměstnanců</t>
  </si>
  <si>
    <t>poplatky, spojené s členstvím univerzity v zahr.org.+RVŠ</t>
  </si>
  <si>
    <t>www stránky univerzity (překlady,digitalizace ...)</t>
  </si>
  <si>
    <t xml:space="preserve">Nájem pozemky </t>
  </si>
  <si>
    <t>zapojení publikací univerzity do světové distrib.sítě</t>
  </si>
  <si>
    <t xml:space="preserve">Služby CrossRef, koordinace DOI </t>
  </si>
  <si>
    <t>odborná školení (BOZP)</t>
  </si>
  <si>
    <t>Energetické audity</t>
  </si>
  <si>
    <t>Management Masarykovy univerzity</t>
  </si>
  <si>
    <t>Dokument ČT o Masarykově univerzitě</t>
  </si>
  <si>
    <t>100 let dějin Masarykovy univerzity</t>
  </si>
  <si>
    <t>Jazyková příprava zahraničích studentů</t>
  </si>
  <si>
    <t xml:space="preserve">IS Masarykovy univerzity (inf.systém) </t>
  </si>
  <si>
    <t>pěvecký sbor</t>
  </si>
  <si>
    <t>závazek vůči FMN - tvorba fondu na opravy (1% z FMN ročně)-Telč</t>
  </si>
  <si>
    <t>obnova staré generace AP v budovách</t>
  </si>
  <si>
    <t>pronájem licence EES</t>
  </si>
  <si>
    <r>
      <t xml:space="preserve">111*,117*,12*,152*,153*,157*,159*,167*,169*,19*,211* (bez 2114, </t>
    </r>
    <r>
      <rPr>
        <sz val="8"/>
        <rFont val="Calibri"/>
        <family val="2"/>
        <charset val="238"/>
        <scheme val="minor"/>
      </rPr>
      <t>2115, 2116, 2117)</t>
    </r>
    <r>
      <rPr>
        <sz val="8"/>
        <rFont val="Calibri"/>
        <family val="2"/>
        <charset val="238"/>
      </rPr>
      <t>,</t>
    </r>
    <r>
      <rPr>
        <sz val="8"/>
        <rFont val="Calibri"/>
        <family val="2"/>
      </rPr>
      <t xml:space="preserve"> 257*, 259*,267*,269*,4*</t>
    </r>
  </si>
  <si>
    <t>8 = 3 - 6</t>
  </si>
  <si>
    <t>10 = 8 + 9</t>
  </si>
  <si>
    <t>potřeba CP bez výměny (odvod sl.6 - ř.2)</t>
  </si>
  <si>
    <t>Číslo</t>
  </si>
  <si>
    <t>zak/ podzak</t>
  </si>
  <si>
    <t xml:space="preserve">Název akce </t>
  </si>
  <si>
    <t>Místo</t>
  </si>
  <si>
    <t>Akceptace</t>
  </si>
  <si>
    <t>Neinvestice RMU</t>
  </si>
  <si>
    <t>Dofinancování fakultami a středisky</t>
  </si>
  <si>
    <t>Vinařská</t>
  </si>
  <si>
    <t>UKB</t>
  </si>
  <si>
    <t>Prostavěno</t>
  </si>
  <si>
    <t>1071</t>
  </si>
  <si>
    <t>1072</t>
  </si>
  <si>
    <t>1041</t>
  </si>
  <si>
    <t>1042</t>
  </si>
  <si>
    <t>Bioskop, středoškolská činnost</t>
  </si>
  <si>
    <t>výměna NEI/INV</t>
  </si>
  <si>
    <t>CA *)</t>
  </si>
  <si>
    <t>FRIM</t>
  </si>
  <si>
    <t>Podíl na centralizovaných inv. akcích a opravách **</t>
  </si>
  <si>
    <t xml:space="preserve">**stanovení zdroje pro úhradu podílu na centrálně zajišťovaných investičních akcích a opravách dle článku 9, ods.3 pravidel sestavování rozpočtu </t>
  </si>
  <si>
    <t>Sloupec č.</t>
  </si>
  <si>
    <t>PVČ</t>
  </si>
  <si>
    <t>Ostatní:…..…..***</t>
  </si>
  <si>
    <t>*** ostatní zdroje pouze se souhlasem kvestora, konkrétní zdroj uveďte do záhlaví sloupce L</t>
  </si>
  <si>
    <t>2114, 2115, 2116, 2117, 2125, 2126, 213*, 214*, 2151, 22*,2397, 24*</t>
  </si>
  <si>
    <r>
      <t xml:space="preserve">2114, 2115, 2116, 2117, </t>
    </r>
    <r>
      <rPr>
        <sz val="8"/>
        <rFont val="Calibri"/>
        <family val="2"/>
      </rPr>
      <t>2125, 2126, 213*, 214*, 2151, 22*,2397 , 24*</t>
    </r>
  </si>
  <si>
    <t>Přidělení zdroje financování</t>
  </si>
  <si>
    <t>Požadavek HS</t>
  </si>
  <si>
    <t>FRIM RMU</t>
  </si>
  <si>
    <t>oprava venk. dlažby před vstupem</t>
  </si>
  <si>
    <t>rezerva</t>
  </si>
  <si>
    <t>Kalkulace plánovaných nákladů, které mohou být uhrazeny z DKRVO</t>
  </si>
  <si>
    <t>Cerpek</t>
  </si>
  <si>
    <t>1106</t>
  </si>
  <si>
    <t>provoz Cerpek</t>
  </si>
  <si>
    <t>nový vizuál INETu (JVS)</t>
  </si>
  <si>
    <t>Vyhledávací služba EIZ discovery</t>
  </si>
  <si>
    <t>Opravy klimatizačních jednotek</t>
  </si>
  <si>
    <t>Stěhování Bo68a-Šumavská</t>
  </si>
  <si>
    <t>rok 2020</t>
  </si>
  <si>
    <t>Fixní složka</t>
  </si>
  <si>
    <t>Výkonová složka</t>
  </si>
  <si>
    <t>Motivační složka</t>
  </si>
  <si>
    <t>MU celkem</t>
  </si>
  <si>
    <t>DKRVO</t>
  </si>
  <si>
    <t>r o k   2 0 20</t>
  </si>
  <si>
    <t>k výměně za DKRVO</t>
  </si>
  <si>
    <t xml:space="preserve"> = snížení DKRVO</t>
  </si>
  <si>
    <t>změny DKRVO</t>
  </si>
  <si>
    <t>nové</t>
  </si>
  <si>
    <t>původní</t>
  </si>
  <si>
    <t>bez Centralizace DKRVO, FR MU a RR</t>
  </si>
  <si>
    <t>Centralizace DKRVO (OV)</t>
  </si>
  <si>
    <t>*DKRVO - centralizace</t>
  </si>
  <si>
    <t xml:space="preserve">VII. Rozpis příspěvku a podpory na DKRVO na jednotlivá hospodářská střediska </t>
  </si>
  <si>
    <r>
      <t xml:space="preserve">a) Rozpis příspěvku a podpory na DKRVO na příslušná hosp.střediska (HS) </t>
    </r>
    <r>
      <rPr>
        <sz val="10"/>
        <rFont val="Calibri"/>
        <family val="2"/>
      </rPr>
      <t>- bez rozpisu centralizovaných prostředků (CP)</t>
    </r>
  </si>
  <si>
    <r>
      <t xml:space="preserve">b) Rozpis příspěvku a podpory na DKRVO - </t>
    </r>
    <r>
      <rPr>
        <sz val="10"/>
        <rFont val="Calibri"/>
        <family val="2"/>
      </rPr>
      <t>včetně rozpisu centralizovaných prostředků na příslušná HS</t>
    </r>
  </si>
  <si>
    <r>
      <t>(</t>
    </r>
    <r>
      <rPr>
        <sz val="10"/>
        <rFont val="Calibri"/>
        <family val="2"/>
        <charset val="238"/>
      </rPr>
      <t>z příspěvku MŠMT na ukazatel A+K a z podpory na DKRVO) - v tis. Kč</t>
    </r>
  </si>
  <si>
    <t>Přínos po úpravě</t>
  </si>
  <si>
    <t>Převod
CJV + CUS</t>
  </si>
  <si>
    <r>
      <t>Rozdělení příspěvku</t>
    </r>
    <r>
      <rPr>
        <b/>
        <vertAlign val="superscript"/>
        <sz val="18"/>
        <rFont val="Calibri"/>
        <family val="2"/>
      </rPr>
      <t xml:space="preserve"> </t>
    </r>
    <r>
      <rPr>
        <b/>
        <sz val="18"/>
        <rFont val="Calibri"/>
        <family val="2"/>
      </rPr>
      <t xml:space="preserve"> MŠMT a podpory na DKRVO na rok 2021 v rámci Masarykovy univerzity</t>
    </r>
  </si>
  <si>
    <t>rok 2021</t>
  </si>
  <si>
    <t>2021/20</t>
  </si>
  <si>
    <t>II. Výpočet přínosu fakult na výši příspěvku MŠMT na vzdělávací činnost pro Masarykovu univerzitu na rok 2021</t>
  </si>
  <si>
    <t>Pom. tab.1  - Výpočet výkonové části na rok 2021</t>
  </si>
  <si>
    <t>III. Výpočet přínosu na DKRVO pro Masarykovu univerzitu na rok 2021</t>
  </si>
  <si>
    <t>r o k   2 0 21</t>
  </si>
  <si>
    <t>VI. Příspěvek fakult do centralizovaných zdrojů pro účetní období kalendářního roku 2021</t>
  </si>
  <si>
    <t>Přínos 2021</t>
  </si>
  <si>
    <t>Osnova rozpočtu na rok 2021</t>
  </si>
  <si>
    <t>Mandatorní výdaje a financování celouniverzitních aktivit v roce 2021</t>
  </si>
  <si>
    <r>
      <t>Rozpočet 2021</t>
    </r>
    <r>
      <rPr>
        <b/>
        <sz val="12"/>
        <color indexed="10"/>
        <rFont val="Calibri"/>
        <family val="2"/>
      </rPr>
      <t xml:space="preserve"> (v tis.Kč)</t>
    </r>
  </si>
  <si>
    <t xml:space="preserve">   příspěvek na vzdělávací činnost bez FaF</t>
  </si>
  <si>
    <t xml:space="preserve">   příspěvek na vzdělávací činnost MU celkem</t>
  </si>
  <si>
    <r>
      <t>Způsob rozdělení vychází z Pravidel sestavování rozpočtu Masarykovy univerzity pro rok 2021 (Směrnice Masarykovy univerzity č.</t>
    </r>
    <r>
      <rPr>
        <sz val="10"/>
        <rFont val="Calibri"/>
        <family val="2"/>
      </rPr>
      <t xml:space="preserve"> 4/2020)</t>
    </r>
  </si>
  <si>
    <t>FaF</t>
  </si>
  <si>
    <t>V Brně 24. 2. 2021</t>
  </si>
  <si>
    <t>1055 podpora univerzitního sportu</t>
  </si>
  <si>
    <t>1055</t>
  </si>
  <si>
    <t>1099</t>
  </si>
  <si>
    <t>16 FaF</t>
  </si>
  <si>
    <t>Nájem VFU</t>
  </si>
  <si>
    <t xml:space="preserve"> celkem účtováno přes FaF</t>
  </si>
  <si>
    <t>Podpora bezpečnostní sondy a kolektory</t>
  </si>
  <si>
    <t>Atlassian Confluence maintenance</t>
  </si>
  <si>
    <t>1002</t>
  </si>
  <si>
    <t>Akademický senát, provoz, odměny, stipendia</t>
  </si>
  <si>
    <t>nájem ÚVT Šumavská (do roku 2018 nájem FF Veveří)</t>
  </si>
  <si>
    <t>nájem Archiv (JMK)</t>
  </si>
  <si>
    <t>Akademické záležitosti</t>
  </si>
  <si>
    <t>správa budov -  Tvrdého 14, Rybkova, Šlapanice</t>
  </si>
  <si>
    <t>Nakladatelství provoz</t>
  </si>
  <si>
    <t xml:space="preserve">rezerva rektora </t>
  </si>
  <si>
    <t>Konsorcium Ceitec - podíl MU</t>
  </si>
  <si>
    <t>rezerva kvestora</t>
  </si>
  <si>
    <t>akce MUNI</t>
  </si>
  <si>
    <t>Teiresias</t>
  </si>
  <si>
    <t>1004</t>
  </si>
  <si>
    <t xml:space="preserve">  na spolufin. OP</t>
  </si>
  <si>
    <t>CŘS (nově na RMU)</t>
  </si>
  <si>
    <t>ochrana DV</t>
  </si>
  <si>
    <t>provoz CP</t>
  </si>
  <si>
    <t>Položka</t>
  </si>
  <si>
    <t>Kč</t>
  </si>
  <si>
    <t>Hospodářské středisko</t>
  </si>
  <si>
    <t>IP 2021</t>
  </si>
  <si>
    <t xml:space="preserve">č.č. 1182 </t>
  </si>
  <si>
    <t xml:space="preserve">CELKEM                 </t>
  </si>
  <si>
    <t>v Kč</t>
  </si>
  <si>
    <t>Interní projekt</t>
  </si>
  <si>
    <t>1/A</t>
  </si>
  <si>
    <t>2/A</t>
  </si>
  <si>
    <t>2/D</t>
  </si>
  <si>
    <t>3/A</t>
  </si>
  <si>
    <t>4/A</t>
  </si>
  <si>
    <t>2/C</t>
  </si>
  <si>
    <t>7/D</t>
  </si>
  <si>
    <t>1/A (IS)</t>
  </si>
  <si>
    <t>2/A (IS)</t>
  </si>
  <si>
    <t>4/C (IS)</t>
  </si>
  <si>
    <t>1/E</t>
  </si>
  <si>
    <t>6/B</t>
  </si>
  <si>
    <t>1/D</t>
  </si>
  <si>
    <t>7/E</t>
  </si>
  <si>
    <t>5/A</t>
  </si>
  <si>
    <t>5/B</t>
  </si>
  <si>
    <t>5/C</t>
  </si>
  <si>
    <t>5/D</t>
  </si>
  <si>
    <t>2/B</t>
  </si>
  <si>
    <t>vnitřní soutěž - bude na HS rozděleno dodatečně</t>
  </si>
  <si>
    <t>KC</t>
  </si>
  <si>
    <t>6/A</t>
  </si>
  <si>
    <t>CERPEK</t>
  </si>
  <si>
    <t>1/B</t>
  </si>
  <si>
    <t>Archiv</t>
  </si>
  <si>
    <t>2/E</t>
  </si>
  <si>
    <t>JINÁ PRACOVIŠTĚ CELKEM</t>
  </si>
  <si>
    <t>Rektorát</t>
  </si>
  <si>
    <t>1/F</t>
  </si>
  <si>
    <t>3/B</t>
  </si>
  <si>
    <t>3/C</t>
  </si>
  <si>
    <t>4/B</t>
  </si>
  <si>
    <t>4/C</t>
  </si>
  <si>
    <t>4/D</t>
  </si>
  <si>
    <t>4/E</t>
  </si>
  <si>
    <t>6/C</t>
  </si>
  <si>
    <t>7/A</t>
  </si>
  <si>
    <t>7/B</t>
  </si>
  <si>
    <t>7/C</t>
  </si>
  <si>
    <t>1/C</t>
  </si>
  <si>
    <t>REKTORÁT CELKEM</t>
  </si>
  <si>
    <t>Přehled opatření a interních projektů Institucionálního plánu MU pro rok 2021</t>
  </si>
  <si>
    <t>Název Opatření (každé opatření se dělí na interní projekty)</t>
  </si>
  <si>
    <t>Anotace projektu</t>
  </si>
  <si>
    <t xml:space="preserve">Způsob využití finančních prostředků </t>
  </si>
  <si>
    <t xml:space="preserve">Hlavní řešitel </t>
  </si>
  <si>
    <t>Kontaktní osoba</t>
  </si>
  <si>
    <t>Kontaktní osoba za OPR</t>
  </si>
  <si>
    <t>Relevance studia a kompetence pro uplatnitelnost</t>
  </si>
  <si>
    <t>prorektor Bulant</t>
  </si>
  <si>
    <t>Rozvoj vnitřního systému zajišťování kvality</t>
  </si>
  <si>
    <t xml:space="preserve">MU do roku 2020 vybudovala významnou část svého vnitřního systému zajišťování kvality, v souladu s cíli SZ MŠMT však považuje za nutné tento systém dále rozvíjet, uvádět jeho jednotlivé části do plného provozu a vzájemně je propojovat, a to jak na celouniverzitní úrovni, tak ve specifických podmínkách jednotlivých fakult (zde zejména prostřednictvím sítě fakultních koordinátorů pro kvalitu a specifickou podporou průběžného vnitřního hodnocení studijních programů). </t>
  </si>
  <si>
    <t>Prostředky určeny na rozvoj vnitřního systému zajišťování kvality - nejméně 50 studijních pogramů projde vnitřním hodnocením, úprava informačního systému, celouniverzitní tematické hodnocení, síť koordinátorů pro kvalitu na všech fakultách.</t>
  </si>
  <si>
    <t>Mgr. Petr Černikovský</t>
  </si>
  <si>
    <t>Mgr. Ing. Kateřina Švestková, Ph.D.</t>
  </si>
  <si>
    <t>Ing. Soňa Janíková
(Ing. Renata Danielová)</t>
  </si>
  <si>
    <t>Rozvoj kompetencí akademických pracovníků</t>
  </si>
  <si>
    <t>Cílem projektu je rozvoj pedagogických kompetencí akademických pracovníků MU např. s tematickým zaměřením na distanční metody vzdělávání či se zaměřením na cílovou skupinu začínajících pedagogů.</t>
  </si>
  <si>
    <t xml:space="preserve">Projekt realizován na CERPEK. Prostředky určeny na vzdělávání akademických pracovníků a doktorandů (finanční prostředky pokryjí mzdové náklady lektorů připravujících jednotlivé vzdělávací kurzy, nákupy materiálu, techniky, pronájem apod.). </t>
  </si>
  <si>
    <t>prorektor Hanuš</t>
  </si>
  <si>
    <t>Jeffrey Alan Vanderziel, B.A.</t>
  </si>
  <si>
    <t>Zavedení společného celouniverzitního základu</t>
  </si>
  <si>
    <t xml:space="preserve">Cílem projektu je zavedení předmětů společného univerzitního základu, které budou studentům bakalářských studijních programů poskytovat širší kompetenční základ nad rámec jednoho konkrétního studijního zaměření. </t>
  </si>
  <si>
    <t>Prostředky určeny na přípravu předmětů společného celouniverzitního základu - cca 20 nových předmětů a pilotní předmět Kariérní start. V průběhu února rozhodnutí o zapojených HS (pror. Bulant).</t>
  </si>
  <si>
    <t>Vzdělávání v praktických podnikatelských dovednostech a motivace k podnikavosti studentů</t>
  </si>
  <si>
    <t xml:space="preserve">Cílem opatření je realizace souboru kurzů zaměřených na praktické podnikatelské dovednosti pro studenty všech fakult MU. Smyslem opatření je formou dovednostních kursů a motivačních aktivit podpořit zájem studentů o podnikání jako jednu z možností jejich kariérního uplatnění a vybavit studenty instrumentáriem znalostí a dovedností potřebných k realizaci vlastní podnikatelské aktivity. </t>
  </si>
  <si>
    <t>Projekt realizován na CTT. Prostředky určeny na vytvoření a pilotní realizaci inovovaného souboru kurzů/seminářů vedoucích ke zvýšení zájmu o podnikavost studentů, tematické semináře a soutěž studentských projektů.</t>
  </si>
  <si>
    <t>RNDr. Eva Janouškovcová, Ph.D., LL.M.</t>
  </si>
  <si>
    <t xml:space="preserve">RNDr. Eva Janouškovcová, Ph.D., LL.M. </t>
  </si>
  <si>
    <t>Rozvoj pedagogických praxí</t>
  </si>
  <si>
    <t>Opatření doplňuje aktivity projektu OP VVV Zkvalitnění a Inovace Přípravy budoucích učitelů na MU (ZIP MUNI), v rámci kterého je podporován rozvoj učitelské přípravy v rámci "neučitelských fakult" MU. Smyslem tohoto opatření je komplementárně podpořit další rozvoj učitelské přípravy formou praxí studentů Pedagogické fakulty MU.</t>
  </si>
  <si>
    <t>Projekt realizován čistě na PdF. Finanční prostředky určeny na podporu pedagogických praxí na PdF (mzdové náklady na 2,0 úvazku koordinátora praxí a odměny školám, které budou praxe umožňovat). Ostatní fakulty mají hrazeno z projektu OP VVV - ZIP Muni.</t>
  </si>
  <si>
    <t>Mgr. Veronika Najvarová, Ph.D.</t>
  </si>
  <si>
    <t>Bc. David Erbes</t>
  </si>
  <si>
    <t>Adaptivní verze Testu studijních předpokladů – fáze 4</t>
  </si>
  <si>
    <t>Cílem opatření je zvýšit flexibilitu v přijímacím řízení i v ověřování znalostí při vlastním studiu implementací adaptivního principu do testování.Fakulty MU s novým modelem adaptivního testování získají možnost pružně stanovovat váhu jednotlivých součástí testu.</t>
  </si>
  <si>
    <t>Přípravu adaptivního testu studijních předpokladů na RMU - odměny pro placené respondenty, administrátory, oponenty, konzultace odborníků + tisk testových sešitů a souvisejících materiálů, odpovědní archy atd.</t>
  </si>
  <si>
    <t>PhDr. Petr Květon, Ph.D.</t>
  </si>
  <si>
    <t>Ing. Soňa Janíková
(Mgr. Marcela Vrchotová)</t>
  </si>
  <si>
    <t>Flexibilní formy i nové možnosti vzdělávání</t>
  </si>
  <si>
    <t>Podpora online vzdělávání napříč všemi fakultami Masarykovy univerzity</t>
  </si>
  <si>
    <t>Cílem projektu je systematická podpora přípravy online materiálů na všech fakultách MU formou konkrétních dílčích podpor směřovaných na jednotlivé fakulty/programy zvyšující úroveň využívání distančních nástrojů ve výuce  s preferencí hromadných přednášek a s důrazem na dlouhodobou využitelnost.</t>
  </si>
  <si>
    <t xml:space="preserve">Prostředky na podporu online výuky napříč všemi fakultami MU + CERPEK a CJV (finanční prostředky bude možné využít na mzdové prostředky pro týmy připravující online vzdělávání, nákup podpůrné techniky apod.), část mzdových prostředů pro FaF bude hrazeno přímo z RMU, zbývající prostředky na RMU určeny na zavedení systémové podpory pro zápůjčky HW a SW nejpotřebnějším studentům. </t>
  </si>
  <si>
    <t>Příprava nových online přemětů a blended kurzů v cizím jazyce</t>
  </si>
  <si>
    <t>Cílem  opatření je komplexní podpora tvorby online předmětů a blended learning kurzů v cizím jazyce na všech fakultách MU.</t>
  </si>
  <si>
    <t>Příprava metodiky a zajištění technické a metodické podpory pro vyučující, kteří budou piřpravovat kurzy a podpora krátkodobé mobility je vyjíždějící i přijíždějící studenty a vyučující - rozdělení formou vnitřní soutěže dle zvyklostí CZS.</t>
  </si>
  <si>
    <t>prorektor Dančák</t>
  </si>
  <si>
    <t>Ing. Violeta Osouchová</t>
  </si>
  <si>
    <t>Podpora přípravy atypických studijních programů (krátké, distanční, profesní)</t>
  </si>
  <si>
    <t>Cílem opatření je vytvořit na univerzitě systémové podmínky pro rozvoj nových forem studijních programů, které cíli zejména, nikoli však výhradně na "netradiční" skupiny uchazečů o studium.</t>
  </si>
  <si>
    <t>Prostředky určeny na přípravu atypických studijních programů. Konkrétní předměty jsou vybrány na PrF, FF a CEITEC (finanční prostředky budou primárně využity na úhradu mzdových nákladů). Částka na RMU určena na přípravu metodik/analýzy.</t>
  </si>
  <si>
    <t>Podpora a rozvoj celoživotního vzdělávání</t>
  </si>
  <si>
    <t xml:space="preserve">Cílem je rozvoj podpora a propagace  celoživotního vzdělávání absolventů a dalších cílových skupin s ohledem na aktuální poptávku společnosti (spolupráce s úřady práce a dalšími relevantními institucemi), rozvoj tzv. U2V forem  vzdělávání. Rozvoj nových forem celoživotního vzdělávání s cílem získání dovedností  potřebných pro  rozšíření kvalifikace, zajistění kvalifikace, rozvoje dovedností s cílem opatření zaměstnání a osobního rozvoje. </t>
  </si>
  <si>
    <t>Prostředky určeny na přípravu online kurzů a videokurzů CŽV na všech fakultách v českém i anglickém jazyce (150 tis. Kč pro každou fakultu na mzdové výdaje, materiál a služby související s přípravou kurzů).</t>
  </si>
  <si>
    <t>Bc. Ing. Barbora Hašková</t>
  </si>
  <si>
    <t>Bc. Ing. Barbora Hašková/ Mgr. Svatava Kalná</t>
  </si>
  <si>
    <t>Digitalizace velkoformátových historických dokumentů a jejich využití v distanční výuce</t>
  </si>
  <si>
    <t>Cílem opatření je digitalizovat velkoformátové historické dokumenty a archiválie spravované MU za účelem jejich využití v distanční výuce. Opatření řeší omezení možnosti využití knihovních a archivních fondů ve výuce dané jejich fyzickou dostupností a technickým stavem.</t>
  </si>
  <si>
    <t>Projekt realizuje Archiv MU. Prostředky budou použity na nákup velkoformátového scanneru (INV 1.700 tis. Kč) a pořizování velkoformátových archiválií v Archivu MU a mzdové výdaje (část hrazeno pro ÚVT).</t>
  </si>
  <si>
    <t>prorektor Polčák</t>
  </si>
  <si>
    <t>Mgr. Luděk Navrátil</t>
  </si>
  <si>
    <t>Doktorské studium s vyššími požadavky a motivačními nástroji</t>
  </si>
  <si>
    <t>prorektorka Pospíšilová</t>
  </si>
  <si>
    <t>Posílit mezinárodní prvky v doktorském studiu i požadavky na doktorandy v kontextu internacionalizace</t>
  </si>
  <si>
    <t>Cílem tohoto projektu je zvyšování podílu mezinárodní spolupráce v rámci doktorského studia na MU. Aktivity budou zaměřeny především na zvýšení počtu doktorských studentů se zkušeností s mezinárodní mobilitou různého charakteru. Důraz bude kladen také na rozvoj mezinárodní spolupráce přímo na půdě MU.</t>
  </si>
  <si>
    <t>Stipendijní programy na úhradu výdajů spojených s povinnými zahraničními výjezdy či dalšími mezinárodními mobilitami; podpora doktorátů s dvojím vedením nebo kolaborativních doktorátů; zapojení zahraničních odborníků jako oponentů,  členů komise při obhajobách.</t>
  </si>
  <si>
    <t>Ing. Lukáš Palko</t>
  </si>
  <si>
    <t>Mgr. Markéta Burešová</t>
  </si>
  <si>
    <t>Ing. Soňa Janíková
(Bc. Kristina Dvořáková)</t>
  </si>
  <si>
    <t>Rozvoj konceptu PhD Academia a celouniverzitních aktivit</t>
  </si>
  <si>
    <t>Cílem tohoto projektu je rozvoj celouniverzitních aktivit pro doktorské studenty.
Tyto aktivity jsou zaměřeny především na vzdělávání a rozvoj doktorandů a na jejich motivaci k mezioborové spolupráci (v přírodovědných, společenskovědních a humanitních vědních oborech), některé z nich však rozvíjejí také školitele doktorandů a mohou obohacovat i další členy akademické obce.</t>
  </si>
  <si>
    <t>Výdaje spojené s realizací vzdělávacích aktivit doktorských studentů a školitelů (workshopy pro školitele, letní školy, Ph.D. dny, kariérní eventy atp.).</t>
  </si>
  <si>
    <t>Posílení oceňování excelentních studijních výsledků doktorandů</t>
  </si>
  <si>
    <t xml:space="preserve">Cílem tohoto projektu je zvýšení počtu doktorandů, kteří studium ukončí ve standardní době studia s excelentními výsledky zpracovanými ve své disertační práci. Cena prorektorky udílená za excelentní výsledky v doktorském studiu by měla motivovat studenty i jejich školitele jednak k úspěšnému ukončení studia v co nejkratší době a jednak k přípravě a zpracování excelentního výzkumu a disertační práce. </t>
  </si>
  <si>
    <t>Vyplacení odměn školitelům a úspěšným absolventům (při splnění podmínek pro udělení ceny prorektorky).</t>
  </si>
  <si>
    <t>Řízení instituce a podpora personálních, provozních a rozhodovacích procesů</t>
  </si>
  <si>
    <t>kvestorka Valešová/ prorektor Hanuš/ prorektor Polčák</t>
  </si>
  <si>
    <t>Implementace principů HR Award a systém rozvoje a vzdělávání zaměstnanců MU</t>
  </si>
  <si>
    <t>Realizace opatření přispěje ke kvalitativní změně v personální politice univerzity, která se svou otevřeností, transparentností a péčí o lidské zdroje posune na úroveň předních evropských univerzit. Jedná se o opatření celouniverzitní, počítá se se zapojením všech fakult, VŠÚ a dalších HS. Opatření se skládá z části HR Award a systému rozvoje a vzdělávání zaměstnanců.</t>
  </si>
  <si>
    <t>Pokrytí 0,5 úvazku na pozici HR Award manažer na FaF v částce 404 400 Kč. Ostatní prostředky jsou určeny  na zpracování celouniverzitních strategií a koncepcí pro plnění principů HR Award, vytvoření nabídky vzdělávacích aktivit a realizaci vzdělávacích a rozvojových aktivit napříč MU.</t>
  </si>
  <si>
    <t>Mgr. Petr Pokorný</t>
  </si>
  <si>
    <t>Mgr. Richard Hubl, Ph.D.</t>
  </si>
  <si>
    <t>Ing. Soňa Janíková
(Ing. Tereza Šrámková)</t>
  </si>
  <si>
    <t>Agilní řízení IT MU a využití dat pro potřeby strategického řízení MU</t>
  </si>
  <si>
    <t xml:space="preserve">Výstupem opatření bude implementace jednotné architektury IT MU, datové kultury MU (včetně vytvoření odpovídající personální struktury na úrovni strategického řízení MU) a implementace pokročilých nástrojů pro datové analýzy do procesů strategického řízení MU a monitoringu strategických priorit MU. </t>
  </si>
  <si>
    <t>Na úrovni vedení MU bude vytvořena pozice koordinátora IT s odpovídajícím aparátem a dojde k rozšíření Odboru pro strategii o datového analytika.  Dojde k pořízení nástroje pro pokročilé datové analýzy k podpoře strategických rozhodovacích procesů na MU.</t>
  </si>
  <si>
    <t>Mgr. Jan Mysliveček, Ph.D.</t>
  </si>
  <si>
    <t>Digitalizace a redesign agend procesů správy Masarykovy univerzity</t>
  </si>
  <si>
    <t>Cílem opatření je pokračující digitalizací a redesignem určitých vybraných agend procesů správy MU přispět ke snížení administrativní zátěže pracovníků, kteří se tak budou moci více věnovat svému poslání a poskytovat lepší servis akademikům, příp. se věnovat strategickému rozvoji univerzity. V prvním roce se zaměříme zejména na analýzu současného stavu, identifikaci potřeb uživatelů, návrh konkrétních technických řešení a v určitých agendách i samotnou implementaci řešení.</t>
  </si>
  <si>
    <t>Obsahuje 5 podprojektů:
Digitalizace a redesign vybraných agend (personalistika, ekonomika, právní oblast).
Kompletní digitalizace studijního spisu (simultánní digitalizace).
Dálková účast na jednání kolektivních orgánů MU (zapojení IS MU - převod částky 1,8 mil. Kč).
Analýza IT architektury prodeje produktů a služeb MU.
E-learning – dojde k rozšíření specializovaných e learningových kurzů pro studenty a zaměstnance.</t>
  </si>
  <si>
    <t>Mgr. Richard Hubl, Ph.D./ Mgr. Luděk Navrátil/    doc. Ing. Michal Brandejs, CSc.</t>
  </si>
  <si>
    <t>CAFM (Computer-Aided Facility Management) systém</t>
  </si>
  <si>
    <t>Cílem opatření je vytvoření jednoho elektronického nástroje/softwaru, který by sloužil jako prostor pro strukturované informace o jednotlivých budovách a službách Masarykovy univerzity. Tyto informace by byly primárně určené pro využití technickými pracovníky (typicky pracovníci správy budov, pracovníci BOZP a PO ad.), kterým by umožnily snadnější a přehlednější orientaci v jednotlivých, mnohdy legislativně velmi složitých ustanoveních, kterými se musí řídit.</t>
  </si>
  <si>
    <t>Vytvoření elektronického nástroje/SW, který bude sloužit pro strukturované informace o jednotlivých budovách a službách MU,  doplnění modulů CAFM systému - DNM (externí nájmy, rezervace místností), přidávání funkcionalit CAFM systému, úhrada pozice facility manažer CAFM.</t>
  </si>
  <si>
    <t>Ing. Tomáš Říha</t>
  </si>
  <si>
    <t>Energetické hospodářství</t>
  </si>
  <si>
    <t>V rámci aktivního energetického managementu jsou činnosti zaměřeny na oblast efektivního provozu energetického hospodářství budov a jednotlivých zařízení.  Na základě této činnosti jsou zaváděny neinvestiční optimalizační úpravy s cílem dosažení úspor energií a nákladů s následným vyhodnocením.</t>
  </si>
  <si>
    <t>Zpracování návrhu investičních opatření vedoucích ke zlepšení hospodaření s dešťovou vodou v UKB, zavedení aktivního energetického managementu v areálu UKB.</t>
  </si>
  <si>
    <t>Internacionalizace ve studiu, prostředí i poskytovanému servisu</t>
  </si>
  <si>
    <t>Internacionalizace studijních programů</t>
  </si>
  <si>
    <t xml:space="preserve">Cílem tohoto projektu je rozšíření nabídky předmětů a studijních programů v cizím jazyce, a to prostřednictvím podpory přípravy a realizace cizojazyčných kurzů. Dále podpora působení zahraničních profesorů na MU vedoucí k prohloubení mezinárodního prostředí uvnitř univerzity. </t>
  </si>
  <si>
    <t>Finanční podpora přípravy nových předmětů a programů v cizím jazyce. Podpora působení špičkových akademických pracovníků na MU. Metodická a finanční podpora pro zaměstnance připravující společné studijní programy.</t>
  </si>
  <si>
    <t>PhDr. Jan Pavlík</t>
  </si>
  <si>
    <t>Zvýšení prestiže a atraktivity MU v zahraničí a Práce se zahraničními studenty a absolventy</t>
  </si>
  <si>
    <t>Cílem tohoto projektu je zaměření se na marketingové a propagační aktivity vedoucí ke zvýšení prestiže a atraktivity MU v zahraničí, a to zejména s cílem získávání kvalitních zahraničních studentů do studijních programů vyučovaných v angličtině na všech třech úrovních. Dále zkvalitnění služeb nabízených zahraničním studentům a zaměstnancům a nastavení systému spolupráce se zahraničními studenty a absolventy.</t>
  </si>
  <si>
    <t>V případě HS - úhrada stipendií zahraničním studentům z rozvojových zemí. 
CZS - marketingové a propagační aktivity MU, modernizace služeb poskytovaných zahraničním studentům a pracovníkům, spolupráce se zahraničními absolventy.</t>
  </si>
  <si>
    <t>Podpora mezinárodní spolupráce strategických partnerství</t>
  </si>
  <si>
    <t>Cílem tohoto projektu je podpora spolupráce univerzity v rámci strategických partnerství a členství v mezinárodních sítích.
V současné chvíli jsou administrativní procesy v rámci konsorcia EDUC zmapovány. Z důvodu epidemiologické situace se důležité aktivity přesunuly na rok 2021, kdy se musí začít implementovat změny na univerzitách tak, aby nabízené služby pro studenty, zaměstnance a veřejnost měly stejné standardy.</t>
  </si>
  <si>
    <t xml:space="preserve">CZS - harmonizace administrativních procesů v rámci programu EDUC, podpora spolupráce v jiných mezinárodních sítích. </t>
  </si>
  <si>
    <t>Mezinárodní mobilita – moderní přístup a vysoká kvalita</t>
  </si>
  <si>
    <t xml:space="preserve">Cílem tohoto projektu je modernizace administrace mobilit, jejich přístupnost všem studentům a zaměstnancům a nastavení opatření pro monitoring jejich kvality. Dále se v rámci tohoto projektu MU připojí ke všem povinným aktivitám projektu Erasmus Without Paper (EWP) a zajistí vysoký standard podpory pro studenty a zaměstnance včetně velkého výběru mobilitních možností. </t>
  </si>
  <si>
    <t>HS - vyplácení stipendií studentům účastnících se mobilit, úhrada výdajů zaměstnanců projektu spojených se zahraniční mobilitou.
CZS - zavedení systému monitoringu kvality mobilit, postupné zapojení do všech aktivit projektu EWP a ESC.</t>
  </si>
  <si>
    <t>Podpora a specifické služby směrem k uchazečům, studentům a osobám se specifickými nároky</t>
  </si>
  <si>
    <t>prorektor Kvizda/ prorektorka Koryčánková</t>
  </si>
  <si>
    <t>Inovace kariérních služeb ve vztahu k uchazečům a studentům MU</t>
  </si>
  <si>
    <t>Projekt se zaměřuje na kariérní poradenství uchazečům a studentům jak v původní fyzické verzi, tak nově i v online podobě. Systematický rozvoj a zlepšování poradenských služeb MU pro studenty směřující k podpoře jejich adaptace na vysokoškolské studium, studijní úspěšnosti a následně výběru vhodné kariéry.</t>
  </si>
  <si>
    <t>Projekt se zaměřuje na kariérní poradenství uchazečům a studentům. Finance půjdou na zabezpečení Prvákovin i v online verzi, individuální konzultace kariérního poradenství, organizaci webinářů a kurzů, 3. vydání kariérního magazínu a nákup 2 notebooku.</t>
  </si>
  <si>
    <t>Mgr. Monika Mikulová</t>
  </si>
  <si>
    <t>Podpora a rozvoj služeb pro studenty se specifickými nároky</t>
  </si>
  <si>
    <t>Projekt řeší systematický rozvoj a koncentraci poradenství a služeb pro osoby se specifickými nároky, jejich prezentaci a standardizaci a podporu celouniverzitního přístupu v oblasti zajištění inkluzivního prostředí bez ohledu na zdroj uznaných specifických nároků.</t>
  </si>
  <si>
    <t>Finance půjdou na rozvoj a koncentraci poradenství a služeb pro osoby se specifickými potřebami, konkrétně pro uchazeče i jejich rodiče, účastníky CŽV, tvorbu vlastních online kurzů apod.</t>
  </si>
  <si>
    <t>PhDr. Petr Peňáz</t>
  </si>
  <si>
    <t>Ing. Boris Janča</t>
  </si>
  <si>
    <t>Rozvoj a podpora univerzitní komunity MU</t>
  </si>
  <si>
    <t xml:space="preserve">Projekt řeší zavedení jednotné strategie komunikace na všech úrovních studia, zintenzivněním spolupráce se SŠ a budování společné platformy pro uchazeče i studenty. </t>
  </si>
  <si>
    <t>Projekt financuje jednotnou strategii komunikace na všech úrovních studia a je realizovaný OKVV RMU v rámci zintenzivnění spolupráce s SŠ. Jeho výstupy budou mimo jiné celouniverzitní akce pro uchazeče o studium, setkání a ocenění absolventů nebo výjezdy na SŠ.</t>
  </si>
  <si>
    <t>Mgr. Jiří Uher</t>
  </si>
  <si>
    <t>Naplňování společenské role univerzity</t>
  </si>
  <si>
    <t>Inovace Univerzity třetího věku a další rozvoj popularizace vědy prostřednictvím dětské univerzity</t>
  </si>
  <si>
    <t xml:space="preserve">Jedním z cílů opatření  je inovace vzdělávacích programů U3V, které budou rozšířeny o vzdělávání online formou či smíšenou. Památováno bude také na posílení kvalitního zapojení zdravotně znevýhodněných seniorů do aktivit U3V. Výsledky své tvůrčí činnosti jsou rovněž prezentováný formou dětské univerzity, tzv. MjUNI, jejíž cílem je popularizovat vědu směrem k mladým studentům, jejich rodinám i široké veřejnosti.  </t>
  </si>
  <si>
    <t>Částka 750 000 Kč je určená na přímou úhradu výdajů 10 fakult, ÚVT a CEITEC na úhradu lektorů, materiálu, zajištění seminářů apod. ve vztahu k poskytování vzdělávání U3V a Mjuni. Výdaje budou hrazeny spolupracujícím HS přímo ze zakázky na RMU. Rozpisem převáděny nebudou. Částka 900 000 Kč bude využita také na organizaci U3V a Mjuni, na část zabezpečovanou za pracoviště U3V a OKVV RMU. Finance půjdou na osobní výdaje, nákup materiálu a služeb.</t>
  </si>
  <si>
    <t>Bc. Ing. Barbora Hašková/ Mgr. Jiří Uher</t>
  </si>
  <si>
    <t>Rozvoj studentské komunitní platformy na MU</t>
  </si>
  <si>
    <t>Projekt bude rozvíjet studentské aktivity s cílem budovat společensky užitečnou sudentskou platformu. Tím bude aktivně podporovat rozvoj studentů a upevňovat celoživotní vztah k univerzitě. Součástí projektu je i vybudování nebo renovace spolkového komunitního centra.</t>
  </si>
  <si>
    <t>Financování podpory studentských aktivit, spolkových aktivit a budování trvalého vztahu studentů k univerzitě.</t>
  </si>
  <si>
    <t>Posílení studentské komunity prostřednictvím dobrovolnických aktivit</t>
  </si>
  <si>
    <t>Projekt se zabývá vybudováním dobrovolnické platformy MUNI pomáhá, ukotvením organizační platformy a nastavvení komunikačních kanálů.</t>
  </si>
  <si>
    <t>Finance budou použity na vybudování dobrovolnické platformy MUNI pomáhá.</t>
  </si>
  <si>
    <t>Popularizace a medializace výsledků vědy a výzkumu MU</t>
  </si>
  <si>
    <t>Projekt se zabývá problematikou popularizace výsledků vědy a výzkumu na MU a vytvořením dlouhodobé strategie komunikace v této oblasti. Ve své další části řeší mediální trénink pro vědecké pracovníky a doktorandy, posilení mediální gramotnosti a prezentace vědeckých výsledků veřejnosti.</t>
  </si>
  <si>
    <t>Finance zaslané rozpisem na FSS ve výši 501 650 Kč jsou určeny na zabezpečení vzdělávacích akcí pro akademiky všech HS v oblasti mediálního tréninku. Výdaje financované ze zakázky ve výši 948 350 Kč pro OKVV RMU budou použity na akce související s realizací vědeckopopularizačnch aktivit.</t>
  </si>
  <si>
    <t>Mgr. Jiří Uher/               Mgr. Tereza Fojtová</t>
  </si>
  <si>
    <t>Rozvoj spolupráce s aplikační sférou</t>
  </si>
  <si>
    <t>Projekt se zabývá vytvořením prostředí pro komunikaci, informování o aktuálním dění nejen v oblasti VaV, sdílení zkušeností a příležitostí, ale také možnostech efektivního využívání univerzitních znalostí a služeb ve prospěch univerzitních spin-off. Další částí projektu je spolupráce akademických pracovišť s aplikační sférou.</t>
  </si>
  <si>
    <t>Na základě vyhodnocení zásluh o zvýšení relevance výzkumu na MU budou ohodnoceny osobnosti na HS finanční odměnou v celkové výši 1 800 000 Kč. Za finance ve výši 1 300 000 Kč zůstávájící na CTT bude zabezpečeno vytvoření platformy pro komunikace mezi spin-off a výzkumníky, workshopy se sdílením dobré praxe apod.</t>
  </si>
  <si>
    <t>IP* v KČ!!</t>
  </si>
  <si>
    <t>Přerozdělení IP (dříve IRP) v Kč</t>
  </si>
  <si>
    <t>* viz list "Rozdělení IP", částky uvedeny v Kč</t>
  </si>
  <si>
    <t>Přehled neinvestičních požadavků  - tzv. velkých oprav - pro rok 2021</t>
  </si>
  <si>
    <t>1112- 4769</t>
  </si>
  <si>
    <t>oprava plyn.kotle výměna</t>
  </si>
  <si>
    <t>Vinohrady 100</t>
  </si>
  <si>
    <t>oprava výměnou tlakových hadiček k vodovod. bateriím</t>
  </si>
  <si>
    <t>reitalizace zahrady</t>
  </si>
  <si>
    <t>Tvrdého 7</t>
  </si>
  <si>
    <t>oprava sousoší nad vchodem - cartouche</t>
  </si>
  <si>
    <t>KN 2</t>
  </si>
  <si>
    <t>oprava mobilního stánku MUNI shop</t>
  </si>
  <si>
    <t>výměna požárních čidel</t>
  </si>
  <si>
    <t>Vinařská 41a</t>
  </si>
  <si>
    <t>oprava páteřních rozvodů vody</t>
  </si>
  <si>
    <t xml:space="preserve">oprava fasády  a výměna oken  - objekt C </t>
  </si>
  <si>
    <t>oprava ležatých rozvodů ZTI v 2.PP</t>
  </si>
  <si>
    <t>Právnická</t>
  </si>
  <si>
    <t>IO RMU -20.10.2020</t>
  </si>
  <si>
    <t>Vav</t>
  </si>
  <si>
    <t>GR B+M+N</t>
  </si>
  <si>
    <t>FSS+MPÚ</t>
  </si>
  <si>
    <t>VaV v tis. Kč</t>
  </si>
  <si>
    <t>Graduation rate PhD.</t>
  </si>
  <si>
    <t>TOP 300</t>
  </si>
  <si>
    <t>GR B+M+N v tis. Kč</t>
  </si>
  <si>
    <t>Graduation rate PhD. v tis. Kč</t>
  </si>
  <si>
    <t xml:space="preserve">   institucionální podpora VaV (včetně FaF)</t>
  </si>
  <si>
    <r>
      <t xml:space="preserve">c) Rozpis příspěvku a podpory na DKRVO </t>
    </r>
    <r>
      <rPr>
        <b/>
        <sz val="10"/>
        <color rgb="FFFF0000"/>
        <rFont val="Calibri"/>
        <family val="2"/>
        <charset val="238"/>
        <scheme val="minor"/>
      </rPr>
      <t>konečný</t>
    </r>
    <r>
      <rPr>
        <b/>
        <sz val="10"/>
        <rFont val="Calibri"/>
        <family val="2"/>
        <scheme val="minor"/>
      </rPr>
      <t xml:space="preserve"> - po přerozdělení mezi Ceitec a součástmi CTT a RMU</t>
    </r>
  </si>
  <si>
    <r>
      <t>č.</t>
    </r>
    <r>
      <rPr>
        <b/>
        <sz val="9"/>
        <color indexed="10"/>
        <rFont val="Calibri"/>
        <family val="2"/>
        <charset val="238"/>
      </rPr>
      <t xml:space="preserve">1112 </t>
    </r>
    <r>
      <rPr>
        <b/>
        <sz val="9"/>
        <rFont val="Calibri"/>
        <family val="2"/>
        <charset val="238"/>
      </rPr>
      <t>/ 1111</t>
    </r>
  </si>
  <si>
    <t>Pom.tab.3 - Podklady pro přerozdělení DKRVO a příspěvku mezi Ceitec a součástmi CTT a RMU</t>
  </si>
  <si>
    <t>Pom. tab. 2: Přerozdělení části IP 2021 na fakulty a ostatní pracoviště</t>
  </si>
  <si>
    <t>dle pom. tab.3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</si>
</sst>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K_č_-;\-* #,##0.00\ _K_č_-;_-* &quot;-&quot;??\ _K_č_-;_-@_-"/>
    <numFmt numFmtId="165" formatCode="#,##0.0"/>
    <numFmt numFmtId="166" formatCode="0.000"/>
    <numFmt numFmtId="167" formatCode="#,##0.000"/>
    <numFmt numFmtId="168" formatCode="0.0%"/>
    <numFmt numFmtId="169" formatCode="0.00000"/>
    <numFmt numFmtId="170" formatCode="_-* #,##0\ _K_č_-;\-* #,##0\ _K_č_-;_-* &quot;-&quot;??\ _K_č_-;_-@_-"/>
  </numFmts>
  <fonts count="241" x14ac:knownFonts="1">
    <font>
      <sz val="10"/>
      <name val="Arial CE"/>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font>
    <font>
      <sz val="8"/>
      <name val="Arial CE"/>
      <family val="2"/>
    </font>
    <font>
      <sz val="10"/>
      <name val="Arial"/>
      <family val="2"/>
    </font>
    <font>
      <sz val="10"/>
      <name val="Arial"/>
      <family val="2"/>
    </font>
    <font>
      <sz val="10"/>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sz val="8"/>
      <name val="Calibri"/>
      <family val="2"/>
    </font>
    <font>
      <i/>
      <sz val="10"/>
      <name val="Calibri"/>
      <family val="2"/>
    </font>
    <font>
      <sz val="9"/>
      <name val="Calibri"/>
      <family val="2"/>
    </font>
    <font>
      <b/>
      <sz val="12"/>
      <name val="Calibri"/>
      <family val="2"/>
      <charset val="238"/>
    </font>
    <font>
      <b/>
      <sz val="18"/>
      <name val="Calibri"/>
      <family val="2"/>
    </font>
    <font>
      <b/>
      <vertAlign val="superscript"/>
      <sz val="18"/>
      <name val="Calibri"/>
      <family val="2"/>
    </font>
    <font>
      <sz val="12"/>
      <name val="Calibri"/>
      <family val="2"/>
      <charset val="238"/>
    </font>
    <font>
      <sz val="10"/>
      <color indexed="12"/>
      <name val="Calibri"/>
      <family val="2"/>
    </font>
    <font>
      <i/>
      <vertAlign val="superscript"/>
      <sz val="10"/>
      <name val="Calibri"/>
      <family val="2"/>
    </font>
    <font>
      <b/>
      <sz val="10"/>
      <name val="Arial CE"/>
      <charset val="238"/>
    </font>
    <font>
      <b/>
      <sz val="8"/>
      <name val="Arial CE"/>
    </font>
    <font>
      <sz val="8"/>
      <name val="Arial CE"/>
    </font>
    <font>
      <i/>
      <sz val="8"/>
      <name val="Arial CE"/>
      <charset val="238"/>
    </font>
    <font>
      <i/>
      <sz val="10"/>
      <name val="Arial CE"/>
    </font>
    <font>
      <sz val="9"/>
      <color indexed="81"/>
      <name val="Tahoma"/>
      <family val="2"/>
      <charset val="238"/>
    </font>
    <font>
      <b/>
      <sz val="9"/>
      <color indexed="81"/>
      <name val="Tahoma"/>
      <family val="2"/>
      <charset val="238"/>
    </font>
    <font>
      <sz val="8"/>
      <name val="Calibri"/>
      <family val="2"/>
      <charset val="238"/>
    </font>
    <font>
      <sz val="8"/>
      <name val="Arial"/>
      <family val="2"/>
      <charset val="238"/>
    </font>
    <font>
      <b/>
      <sz val="10"/>
      <color indexed="12"/>
      <name val="Arial CE"/>
      <family val="2"/>
    </font>
    <font>
      <sz val="10"/>
      <color indexed="12"/>
      <name val="Arial CE"/>
      <family val="2"/>
    </font>
    <font>
      <b/>
      <sz val="10"/>
      <name val="Arial"/>
      <family val="2"/>
      <charset val="238"/>
    </font>
    <font>
      <sz val="10"/>
      <name val="Calibri"/>
      <family val="2"/>
      <charset val="238"/>
    </font>
    <font>
      <sz val="8"/>
      <color indexed="9"/>
      <name val="Calibri"/>
      <family val="2"/>
      <charset val="238"/>
    </font>
    <font>
      <b/>
      <sz val="12"/>
      <color indexed="10"/>
      <name val="Calibri"/>
      <family val="2"/>
    </font>
    <font>
      <sz val="8"/>
      <color rgb="FFFF0000"/>
      <name val="Calibri"/>
      <family val="2"/>
      <scheme val="minor"/>
    </font>
    <font>
      <sz val="10"/>
      <name val="Calibri"/>
      <family val="2"/>
      <scheme val="minor"/>
    </font>
    <font>
      <sz val="8"/>
      <name val="Calibri"/>
      <family val="2"/>
      <scheme val="minor"/>
    </font>
    <font>
      <sz val="9"/>
      <name val="Calibri"/>
      <family val="2"/>
      <scheme val="minor"/>
    </font>
    <font>
      <b/>
      <sz val="9"/>
      <name val="Calibri"/>
      <family val="2"/>
      <scheme val="minor"/>
    </font>
    <font>
      <i/>
      <sz val="9"/>
      <name val="Calibri"/>
      <family val="2"/>
      <scheme val="minor"/>
    </font>
    <font>
      <b/>
      <sz val="12"/>
      <name val="Calibri"/>
      <family val="2"/>
      <charset val="238"/>
      <scheme val="minor"/>
    </font>
    <font>
      <b/>
      <sz val="10"/>
      <name val="Calibri"/>
      <family val="2"/>
      <scheme val="minor"/>
    </font>
    <font>
      <b/>
      <sz val="11"/>
      <name val="Calibri"/>
      <family val="2"/>
      <scheme val="minor"/>
    </font>
    <font>
      <sz val="11"/>
      <name val="Calibri"/>
      <family val="2"/>
      <scheme val="minor"/>
    </font>
    <font>
      <b/>
      <sz val="18"/>
      <name val="Calibri"/>
      <family val="2"/>
      <scheme val="minor"/>
    </font>
    <font>
      <sz val="18"/>
      <name val="Calibri"/>
      <family val="2"/>
      <scheme val="minor"/>
    </font>
    <font>
      <sz val="8"/>
      <color indexed="9"/>
      <name val="Calibri"/>
      <family val="2"/>
      <scheme val="minor"/>
    </font>
    <font>
      <sz val="10"/>
      <color indexed="10"/>
      <name val="Calibri"/>
      <family val="2"/>
      <scheme val="minor"/>
    </font>
    <font>
      <i/>
      <sz val="10"/>
      <name val="Calibri"/>
      <family val="2"/>
      <scheme val="minor"/>
    </font>
    <font>
      <sz val="12"/>
      <name val="Calibri"/>
      <family val="2"/>
      <charset val="238"/>
      <scheme val="minor"/>
    </font>
    <font>
      <b/>
      <sz val="8"/>
      <name val="Calibri"/>
      <family val="2"/>
      <scheme val="minor"/>
    </font>
    <font>
      <sz val="8"/>
      <color indexed="18"/>
      <name val="Calibri"/>
      <family val="2"/>
      <scheme val="minor"/>
    </font>
    <font>
      <sz val="7"/>
      <name val="Calibri"/>
      <family val="2"/>
      <scheme val="minor"/>
    </font>
    <font>
      <sz val="9"/>
      <color indexed="10"/>
      <name val="Calibri"/>
      <family val="2"/>
      <scheme val="minor"/>
    </font>
    <font>
      <b/>
      <sz val="9"/>
      <color indexed="10"/>
      <name val="Calibri"/>
      <family val="2"/>
      <scheme val="minor"/>
    </font>
    <font>
      <i/>
      <sz val="8"/>
      <name val="Calibri"/>
      <family val="2"/>
      <scheme val="minor"/>
    </font>
    <font>
      <sz val="8"/>
      <color indexed="10"/>
      <name val="Calibri"/>
      <family val="2"/>
      <scheme val="minor"/>
    </font>
    <font>
      <i/>
      <vertAlign val="superscript"/>
      <sz val="9"/>
      <name val="Calibri"/>
      <family val="2"/>
      <scheme val="minor"/>
    </font>
    <font>
      <sz val="8"/>
      <color indexed="8"/>
      <name val="Calibri"/>
      <family val="2"/>
      <scheme val="minor"/>
    </font>
    <font>
      <sz val="10"/>
      <color indexed="8"/>
      <name val="Calibri"/>
      <family val="2"/>
      <scheme val="minor"/>
    </font>
    <font>
      <b/>
      <sz val="12"/>
      <color indexed="8"/>
      <name val="Calibri"/>
      <family val="2"/>
      <scheme val="minor"/>
    </font>
    <font>
      <b/>
      <sz val="8"/>
      <color indexed="8"/>
      <name val="Calibri"/>
      <family val="2"/>
      <scheme val="minor"/>
    </font>
    <font>
      <b/>
      <sz val="10"/>
      <color indexed="8"/>
      <name val="Calibri"/>
      <family val="2"/>
      <scheme val="minor"/>
    </font>
    <font>
      <b/>
      <sz val="8"/>
      <color indexed="9"/>
      <name val="Calibri"/>
      <family val="2"/>
      <scheme val="minor"/>
    </font>
    <font>
      <sz val="12"/>
      <color indexed="8"/>
      <name val="Calibri"/>
      <family val="2"/>
      <scheme val="minor"/>
    </font>
    <font>
      <sz val="10"/>
      <color indexed="9"/>
      <name val="Calibri"/>
      <family val="2"/>
      <scheme val="minor"/>
    </font>
    <font>
      <sz val="10"/>
      <color indexed="12"/>
      <name val="Calibri"/>
      <family val="2"/>
      <scheme val="minor"/>
    </font>
    <font>
      <b/>
      <sz val="10"/>
      <color indexed="59"/>
      <name val="Calibri"/>
      <family val="2"/>
      <scheme val="minor"/>
    </font>
    <font>
      <b/>
      <i/>
      <sz val="10"/>
      <name val="Calibri"/>
      <family val="2"/>
      <scheme val="minor"/>
    </font>
    <font>
      <b/>
      <sz val="10"/>
      <color indexed="9"/>
      <name val="Calibri"/>
      <family val="2"/>
      <scheme val="minor"/>
    </font>
    <font>
      <sz val="8"/>
      <color indexed="12"/>
      <name val="Calibri"/>
      <family val="2"/>
      <scheme val="minor"/>
    </font>
    <font>
      <vertAlign val="superscript"/>
      <sz val="10"/>
      <name val="Calibri"/>
      <family val="2"/>
      <scheme val="minor"/>
    </font>
    <font>
      <sz val="10"/>
      <color rgb="FFFF0000"/>
      <name val="Calibri"/>
      <family val="2"/>
      <scheme val="minor"/>
    </font>
    <font>
      <i/>
      <sz val="10"/>
      <color indexed="8"/>
      <name val="Calibri"/>
      <family val="2"/>
      <scheme val="minor"/>
    </font>
    <font>
      <i/>
      <sz val="10"/>
      <color indexed="12"/>
      <name val="Calibri"/>
      <family val="2"/>
      <scheme val="minor"/>
    </font>
    <font>
      <sz val="9"/>
      <color indexed="12"/>
      <name val="Calibri"/>
      <family val="2"/>
      <scheme val="minor"/>
    </font>
    <font>
      <vertAlign val="superscript"/>
      <sz val="10"/>
      <color indexed="12"/>
      <name val="Calibri"/>
      <family val="2"/>
      <scheme val="minor"/>
    </font>
    <font>
      <i/>
      <sz val="10"/>
      <color indexed="9"/>
      <name val="Calibri"/>
      <family val="2"/>
      <scheme val="minor"/>
    </font>
    <font>
      <i/>
      <vertAlign val="superscript"/>
      <sz val="10"/>
      <color indexed="9"/>
      <name val="Calibri"/>
      <family val="2"/>
      <scheme val="minor"/>
    </font>
    <font>
      <i/>
      <sz val="10"/>
      <color indexed="10"/>
      <name val="Calibri"/>
      <family val="2"/>
      <scheme val="minor"/>
    </font>
    <font>
      <b/>
      <i/>
      <sz val="10"/>
      <color indexed="9"/>
      <name val="Calibri"/>
      <family val="2"/>
      <scheme val="minor"/>
    </font>
    <font>
      <b/>
      <sz val="10"/>
      <color indexed="8"/>
      <name val="Calibri"/>
      <family val="2"/>
      <charset val="238"/>
      <scheme val="minor"/>
    </font>
    <font>
      <b/>
      <sz val="12"/>
      <color theme="1"/>
      <name val="Calibri"/>
      <family val="2"/>
      <charset val="238"/>
      <scheme val="minor"/>
    </font>
    <font>
      <sz val="11"/>
      <name val="Calibri"/>
      <family val="2"/>
      <charset val="238"/>
      <scheme val="minor"/>
    </font>
    <font>
      <i/>
      <sz val="10"/>
      <color rgb="FF0033CC"/>
      <name val="Calibri"/>
      <family val="2"/>
      <scheme val="minor"/>
    </font>
    <font>
      <b/>
      <i/>
      <sz val="10"/>
      <color indexed="12"/>
      <name val="Calibri"/>
      <family val="2"/>
      <scheme val="minor"/>
    </font>
    <font>
      <b/>
      <sz val="10"/>
      <color rgb="FFFF0000"/>
      <name val="Calibri"/>
      <family val="2"/>
      <scheme val="minor"/>
    </font>
    <font>
      <b/>
      <i/>
      <sz val="10"/>
      <color rgb="FFFF0000"/>
      <name val="Calibri"/>
      <family val="2"/>
      <scheme val="minor"/>
    </font>
    <font>
      <b/>
      <sz val="9"/>
      <color theme="3" tint="0.39997558519241921"/>
      <name val="Calibri"/>
      <family val="2"/>
      <scheme val="minor"/>
    </font>
    <font>
      <sz val="8"/>
      <name val="Calibri"/>
      <family val="2"/>
      <charset val="238"/>
      <scheme val="minor"/>
    </font>
    <font>
      <b/>
      <sz val="11"/>
      <color theme="1"/>
      <name val="Calibri"/>
      <family val="2"/>
      <charset val="238"/>
      <scheme val="minor"/>
    </font>
    <font>
      <i/>
      <vertAlign val="superscript"/>
      <sz val="10"/>
      <name val="Calibri"/>
      <family val="2"/>
      <scheme val="minor"/>
    </font>
    <font>
      <i/>
      <sz val="10"/>
      <color rgb="FFFF0000"/>
      <name val="Calibri"/>
      <family val="2"/>
      <scheme val="minor"/>
    </font>
    <font>
      <i/>
      <sz val="10"/>
      <color theme="0"/>
      <name val="Calibri"/>
      <family val="2"/>
      <scheme val="minor"/>
    </font>
    <font>
      <sz val="9"/>
      <color rgb="FFFF0000"/>
      <name val="Calibri"/>
      <family val="2"/>
      <scheme val="minor"/>
    </font>
    <font>
      <sz val="9"/>
      <name val="Calibri"/>
      <family val="2"/>
      <charset val="238"/>
      <scheme val="minor"/>
    </font>
    <font>
      <sz val="10"/>
      <name val="Calibri"/>
      <family val="2"/>
      <charset val="238"/>
      <scheme val="minor"/>
    </font>
    <font>
      <b/>
      <sz val="12"/>
      <color rgb="FF0070C0"/>
      <name val="Calibri"/>
      <family val="2"/>
      <charset val="238"/>
      <scheme val="minor"/>
    </font>
    <font>
      <b/>
      <sz val="8"/>
      <color rgb="FF0070C0"/>
      <name val="Calibri"/>
      <family val="2"/>
      <charset val="238"/>
      <scheme val="minor"/>
    </font>
    <font>
      <b/>
      <sz val="10"/>
      <name val="Calibri"/>
      <family val="2"/>
      <charset val="238"/>
      <scheme val="minor"/>
    </font>
    <font>
      <b/>
      <sz val="10"/>
      <color rgb="FF0070C0"/>
      <name val="Calibri"/>
      <family val="2"/>
      <charset val="238"/>
      <scheme val="minor"/>
    </font>
    <font>
      <b/>
      <sz val="9"/>
      <name val="Calibri"/>
      <family val="2"/>
      <charset val="238"/>
      <scheme val="minor"/>
    </font>
    <font>
      <i/>
      <sz val="8"/>
      <name val="Calibri"/>
      <family val="2"/>
      <charset val="238"/>
      <scheme val="minor"/>
    </font>
    <font>
      <b/>
      <sz val="8"/>
      <name val="Calibri"/>
      <family val="2"/>
      <charset val="238"/>
      <scheme val="minor"/>
    </font>
    <font>
      <b/>
      <sz val="8"/>
      <color indexed="9"/>
      <name val="Calibri"/>
      <family val="2"/>
      <charset val="238"/>
      <scheme val="minor"/>
    </font>
    <font>
      <sz val="8"/>
      <color rgb="FF0070C0"/>
      <name val="Calibri"/>
      <family val="2"/>
      <charset val="238"/>
      <scheme val="minor"/>
    </font>
    <font>
      <sz val="8"/>
      <color indexed="9"/>
      <name val="Calibri"/>
      <family val="2"/>
      <charset val="238"/>
      <scheme val="minor"/>
    </font>
    <font>
      <b/>
      <sz val="8"/>
      <color theme="1"/>
      <name val="Calibri"/>
      <family val="2"/>
      <charset val="238"/>
      <scheme val="minor"/>
    </font>
    <font>
      <sz val="8"/>
      <color indexed="8"/>
      <name val="Calibri"/>
      <family val="2"/>
      <charset val="238"/>
      <scheme val="minor"/>
    </font>
    <font>
      <b/>
      <i/>
      <sz val="8"/>
      <name val="Calibri"/>
      <family val="2"/>
      <charset val="238"/>
      <scheme val="minor"/>
    </font>
    <font>
      <i/>
      <sz val="8"/>
      <color rgb="FF0070C0"/>
      <name val="Calibri"/>
      <family val="2"/>
      <charset val="238"/>
      <scheme val="minor"/>
    </font>
    <font>
      <b/>
      <sz val="8"/>
      <color indexed="8"/>
      <name val="Calibri"/>
      <family val="2"/>
      <charset val="238"/>
      <scheme val="minor"/>
    </font>
    <font>
      <i/>
      <sz val="9"/>
      <name val="Calibri"/>
      <family val="2"/>
      <charset val="238"/>
      <scheme val="minor"/>
    </font>
    <font>
      <sz val="9"/>
      <color indexed="8"/>
      <name val="Calibri"/>
      <family val="2"/>
      <charset val="238"/>
      <scheme val="minor"/>
    </font>
    <font>
      <sz val="9"/>
      <color rgb="FF0070C0"/>
      <name val="Calibri"/>
      <family val="2"/>
      <charset val="238"/>
      <scheme val="minor"/>
    </font>
    <font>
      <sz val="9"/>
      <color rgb="FFFF0000"/>
      <name val="Calibri"/>
      <family val="2"/>
      <charset val="238"/>
      <scheme val="minor"/>
    </font>
    <font>
      <b/>
      <sz val="9"/>
      <color rgb="FF0070C0"/>
      <name val="Calibri"/>
      <family val="2"/>
      <charset val="238"/>
      <scheme val="minor"/>
    </font>
    <font>
      <b/>
      <sz val="10"/>
      <color indexed="9"/>
      <name val="Calibri"/>
      <family val="2"/>
      <charset val="238"/>
      <scheme val="minor"/>
    </font>
    <font>
      <sz val="8"/>
      <color rgb="FFFF0000"/>
      <name val="Calibri"/>
      <family val="2"/>
      <charset val="238"/>
      <scheme val="minor"/>
    </font>
    <font>
      <sz val="8"/>
      <color theme="0"/>
      <name val="Calibri"/>
      <family val="2"/>
      <charset val="238"/>
      <scheme val="minor"/>
    </font>
    <font>
      <b/>
      <sz val="8"/>
      <color theme="0"/>
      <name val="Calibri"/>
      <family val="2"/>
      <charset val="238"/>
      <scheme val="minor"/>
    </font>
    <font>
      <sz val="8"/>
      <color theme="3" tint="0.39997558519241921"/>
      <name val="Calibri"/>
      <family val="2"/>
      <charset val="238"/>
      <scheme val="minor"/>
    </font>
    <font>
      <sz val="9"/>
      <color theme="3" tint="0.39997558519241921"/>
      <name val="Calibri"/>
      <family val="2"/>
      <scheme val="minor"/>
    </font>
    <font>
      <b/>
      <sz val="14"/>
      <color theme="1"/>
      <name val="Calibri"/>
      <family val="2"/>
      <charset val="238"/>
      <scheme val="minor"/>
    </font>
    <font>
      <sz val="9"/>
      <color theme="1"/>
      <name val="Calibri"/>
      <family val="2"/>
      <charset val="238"/>
      <scheme val="minor"/>
    </font>
    <font>
      <b/>
      <sz val="11"/>
      <name val="Calibri"/>
      <family val="2"/>
      <charset val="238"/>
      <scheme val="minor"/>
    </font>
    <font>
      <b/>
      <sz val="11"/>
      <name val="Arial"/>
      <family val="2"/>
      <charset val="238"/>
    </font>
    <font>
      <b/>
      <sz val="14"/>
      <name val="Arial"/>
      <family val="2"/>
      <charset val="238"/>
    </font>
    <font>
      <sz val="11"/>
      <name val="Arial"/>
      <family val="2"/>
      <charset val="238"/>
    </font>
    <font>
      <sz val="11"/>
      <color theme="1"/>
      <name val="Arial"/>
      <family val="2"/>
      <charset val="238"/>
    </font>
    <font>
      <b/>
      <sz val="12"/>
      <name val="Arial"/>
      <family val="2"/>
      <charset val="238"/>
    </font>
    <font>
      <b/>
      <sz val="8"/>
      <name val="Arial"/>
      <family val="2"/>
      <charset val="238"/>
    </font>
    <font>
      <b/>
      <i/>
      <sz val="14"/>
      <name val="Arial"/>
      <family val="2"/>
      <charset val="238"/>
    </font>
    <font>
      <sz val="12"/>
      <name val="Arial"/>
      <family val="2"/>
      <charset val="238"/>
    </font>
    <font>
      <sz val="10"/>
      <name val="Arial"/>
      <family val="2"/>
      <charset val="238"/>
    </font>
    <font>
      <sz val="10"/>
      <color theme="1"/>
      <name val="Arial"/>
      <family val="2"/>
      <charset val="238"/>
    </font>
    <font>
      <b/>
      <i/>
      <sz val="10"/>
      <name val="Arial"/>
      <family val="2"/>
      <charset val="238"/>
    </font>
    <font>
      <sz val="14"/>
      <name val="Arial"/>
      <family val="2"/>
      <charset val="238"/>
    </font>
    <font>
      <b/>
      <i/>
      <sz val="12"/>
      <name val="Arial"/>
      <family val="2"/>
      <charset val="238"/>
    </font>
    <font>
      <sz val="10"/>
      <name val="Arial CE"/>
      <charset val="238"/>
    </font>
    <font>
      <b/>
      <sz val="10"/>
      <color rgb="FFFF0000"/>
      <name val="Arial CE"/>
      <charset val="238"/>
    </font>
    <font>
      <sz val="8"/>
      <color rgb="FFFF0000"/>
      <name val="Arial CE"/>
      <charset val="238"/>
    </font>
    <font>
      <b/>
      <sz val="8"/>
      <color rgb="FFFF0000"/>
      <name val="Arial CE"/>
      <charset val="238"/>
    </font>
    <font>
      <b/>
      <sz val="10"/>
      <color rgb="FFFF0000"/>
      <name val="Calibri"/>
      <family val="2"/>
      <charset val="238"/>
      <scheme val="minor"/>
    </font>
    <font>
      <b/>
      <sz val="11"/>
      <color rgb="FFFF0000"/>
      <name val="Calibri"/>
      <family val="2"/>
      <charset val="238"/>
      <scheme val="minor"/>
    </font>
    <font>
      <i/>
      <sz val="8"/>
      <color rgb="FFFF0000"/>
      <name val="Arial CE"/>
      <charset val="238"/>
    </font>
    <font>
      <b/>
      <i/>
      <sz val="16"/>
      <name val="Arial"/>
      <family val="2"/>
      <charset val="238"/>
    </font>
    <font>
      <i/>
      <sz val="16"/>
      <name val="Arial"/>
      <family val="2"/>
      <charset val="238"/>
    </font>
    <font>
      <i/>
      <sz val="10"/>
      <name val="Arial"/>
      <family val="2"/>
      <charset val="238"/>
    </font>
    <font>
      <i/>
      <sz val="12"/>
      <name val="Arial"/>
      <family val="2"/>
      <charset val="238"/>
    </font>
    <font>
      <sz val="12"/>
      <color theme="1"/>
      <name val="Arial"/>
      <family val="2"/>
      <charset val="238"/>
    </font>
    <font>
      <b/>
      <sz val="12"/>
      <color theme="1"/>
      <name val="Arial"/>
      <family val="2"/>
      <charset val="238"/>
    </font>
    <font>
      <sz val="12"/>
      <color theme="7" tint="-0.249977111117893"/>
      <name val="Arial"/>
      <family val="2"/>
      <charset val="238"/>
    </font>
    <font>
      <b/>
      <sz val="10"/>
      <color theme="1"/>
      <name val="Arial"/>
      <family val="2"/>
      <charset val="238"/>
    </font>
    <font>
      <b/>
      <i/>
      <sz val="12"/>
      <color theme="1"/>
      <name val="Arial"/>
      <family val="2"/>
      <charset val="238"/>
    </font>
    <font>
      <sz val="12"/>
      <color rgb="FF0070C0"/>
      <name val="Arial"/>
      <family val="2"/>
      <charset val="238"/>
    </font>
    <font>
      <sz val="16"/>
      <name val="Arial"/>
      <family val="2"/>
      <charset val="238"/>
    </font>
    <font>
      <b/>
      <i/>
      <sz val="10"/>
      <color theme="1"/>
      <name val="Arial"/>
      <family val="2"/>
      <charset val="238"/>
    </font>
    <font>
      <b/>
      <sz val="10"/>
      <color theme="1"/>
      <name val="Calibri"/>
      <family val="2"/>
      <charset val="238"/>
      <scheme val="minor"/>
    </font>
    <font>
      <sz val="10"/>
      <color theme="1"/>
      <name val="Calibri"/>
      <family val="2"/>
      <charset val="238"/>
      <scheme val="minor"/>
    </font>
    <font>
      <i/>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color indexed="8"/>
      <name val="Arial"/>
      <family val="2"/>
      <charset val="238"/>
    </font>
    <font>
      <b/>
      <sz val="11"/>
      <color indexed="63"/>
      <name val="Calibri"/>
      <family val="2"/>
      <charset val="238"/>
    </font>
    <font>
      <sz val="11"/>
      <color indexed="10"/>
      <name val="Calibri"/>
      <family val="2"/>
      <charset val="238"/>
    </font>
    <font>
      <sz val="10"/>
      <color rgb="FFFF0000"/>
      <name val="Calibri"/>
      <family val="2"/>
      <charset val="238"/>
      <scheme val="minor"/>
    </font>
    <font>
      <sz val="18"/>
      <color theme="3"/>
      <name val="Cambria"/>
      <family val="2"/>
      <charset val="238"/>
      <scheme val="major"/>
    </font>
    <font>
      <sz val="10"/>
      <color rgb="FF006100"/>
      <name val="Calibri"/>
      <family val="2"/>
      <charset val="238"/>
      <scheme val="minor"/>
    </font>
    <font>
      <sz val="10"/>
      <color rgb="FF9C0006"/>
      <name val="Calibri"/>
      <family val="2"/>
      <charset val="238"/>
      <scheme val="minor"/>
    </font>
    <font>
      <sz val="10"/>
      <color rgb="FF9C6500"/>
      <name val="Calibri"/>
      <family val="2"/>
      <charset val="238"/>
      <scheme val="minor"/>
    </font>
    <font>
      <sz val="10"/>
      <color rgb="FF3F3F76"/>
      <name val="Calibri"/>
      <family val="2"/>
      <charset val="238"/>
      <scheme val="minor"/>
    </font>
    <font>
      <b/>
      <sz val="10"/>
      <color rgb="FF3F3F3F"/>
      <name val="Calibri"/>
      <family val="2"/>
      <charset val="238"/>
      <scheme val="minor"/>
    </font>
    <font>
      <b/>
      <sz val="10"/>
      <color rgb="FFFA7D00"/>
      <name val="Calibri"/>
      <family val="2"/>
      <charset val="238"/>
      <scheme val="minor"/>
    </font>
    <font>
      <sz val="10"/>
      <color rgb="FFFA7D00"/>
      <name val="Calibri"/>
      <family val="2"/>
      <charset val="238"/>
      <scheme val="minor"/>
    </font>
    <font>
      <b/>
      <sz val="10"/>
      <color theme="0"/>
      <name val="Calibri"/>
      <family val="2"/>
      <charset val="238"/>
      <scheme val="minor"/>
    </font>
    <font>
      <i/>
      <sz val="10"/>
      <color rgb="FF7F7F7F"/>
      <name val="Calibri"/>
      <family val="2"/>
      <charset val="238"/>
      <scheme val="minor"/>
    </font>
    <font>
      <sz val="10"/>
      <color theme="0"/>
      <name val="Calibri"/>
      <family val="2"/>
      <charset val="238"/>
      <scheme val="minor"/>
    </font>
    <font>
      <sz val="11"/>
      <color theme="1"/>
      <name val="Calibri"/>
      <family val="2"/>
      <scheme val="minor"/>
    </font>
    <font>
      <b/>
      <sz val="8"/>
      <color theme="0" tint="-0.34998626667073579"/>
      <name val="Calibri"/>
      <family val="2"/>
      <charset val="238"/>
      <scheme val="minor"/>
    </font>
    <font>
      <sz val="8"/>
      <color theme="1"/>
      <name val="Calibri"/>
      <family val="2"/>
      <charset val="238"/>
      <scheme val="minor"/>
    </font>
    <font>
      <b/>
      <i/>
      <sz val="10"/>
      <name val="Calibri"/>
      <family val="2"/>
      <charset val="238"/>
      <scheme val="minor"/>
    </font>
    <font>
      <sz val="12"/>
      <color theme="1"/>
      <name val="Calibri"/>
      <family val="2"/>
      <charset val="238"/>
      <scheme val="minor"/>
    </font>
    <font>
      <sz val="11"/>
      <color rgb="FF000000"/>
      <name val="Calibri"/>
      <family val="2"/>
      <charset val="238"/>
    </font>
    <font>
      <b/>
      <sz val="11"/>
      <color rgb="FF000000"/>
      <name val="Calibri"/>
      <family val="2"/>
      <charset val="238"/>
    </font>
    <font>
      <b/>
      <i/>
      <sz val="18"/>
      <name val="Arial"/>
      <family val="2"/>
      <charset val="238"/>
    </font>
    <font>
      <i/>
      <sz val="18"/>
      <name val="Arial"/>
      <family val="2"/>
      <charset val="238"/>
    </font>
    <font>
      <b/>
      <i/>
      <sz val="12"/>
      <color rgb="FF0070C0"/>
      <name val="Arial"/>
      <family val="2"/>
      <charset val="238"/>
    </font>
    <font>
      <b/>
      <i/>
      <sz val="14"/>
      <color rgb="FF0070C0"/>
      <name val="Arial"/>
      <family val="2"/>
      <charset val="238"/>
    </font>
    <font>
      <b/>
      <i/>
      <sz val="10"/>
      <color rgb="FF0070C0"/>
      <name val="Arial"/>
      <family val="2"/>
      <charset val="238"/>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1"/>
      <color rgb="FFFF0000"/>
      <name val="Calibri"/>
      <family val="2"/>
      <charset val="238"/>
      <scheme val="minor"/>
    </font>
    <font>
      <sz val="11"/>
      <color rgb="FF9C5700"/>
      <name val="Calibri"/>
      <family val="2"/>
      <charset val="238"/>
      <scheme val="minor"/>
    </font>
    <font>
      <b/>
      <sz val="9"/>
      <color indexed="10"/>
      <name val="Calibri"/>
      <family val="2"/>
      <charset val="238"/>
    </font>
    <font>
      <b/>
      <sz val="9"/>
      <name val="Calibri"/>
      <family val="2"/>
      <charset val="238"/>
    </font>
    <font>
      <b/>
      <sz val="10"/>
      <name val="Calibri"/>
      <family val="2"/>
      <charset val="238"/>
    </font>
  </fonts>
  <fills count="8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lightGray">
        <fgColor indexed="41"/>
      </patternFill>
    </fill>
    <fill>
      <patternFill patternType="solid">
        <fgColor indexed="43"/>
        <bgColor indexed="64"/>
      </patternFill>
    </fill>
    <fill>
      <patternFill patternType="solid">
        <fgColor indexed="10"/>
        <bgColor indexed="64"/>
      </patternFill>
    </fill>
    <fill>
      <patternFill patternType="solid">
        <fgColor indexed="26"/>
        <bgColor indexed="55"/>
      </patternFill>
    </fill>
    <fill>
      <patternFill patternType="solid">
        <fgColor indexed="13"/>
        <bgColor indexed="64"/>
      </patternFill>
    </fill>
    <fill>
      <patternFill patternType="solid">
        <fgColor indexed="12"/>
        <bgColor indexed="64"/>
      </patternFill>
    </fill>
    <fill>
      <patternFill patternType="solid">
        <fgColor indexed="44"/>
        <bgColor indexed="64"/>
      </patternFill>
    </fill>
    <fill>
      <patternFill patternType="solid">
        <fgColor indexed="47"/>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99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indexed="42"/>
        <bgColor indexed="64"/>
      </patternFill>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rgb="FFD9E1F2"/>
        <bgColor rgb="FF000000"/>
      </patternFill>
    </fill>
    <fill>
      <patternFill patternType="solid">
        <fgColor rgb="FF92D050"/>
        <bgColor indexed="64"/>
      </patternFill>
    </fill>
    <fill>
      <patternFill patternType="solid">
        <fgColor theme="8" tint="0.59999389629810485"/>
        <bgColor indexed="64"/>
      </patternFill>
    </fill>
  </fills>
  <borders count="230">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thin">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bottom style="medium">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top/>
      <bottom/>
      <diagonal/>
    </border>
    <border>
      <left style="hair">
        <color indexed="64"/>
      </left>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rgb="FF002060"/>
      </bottom>
      <diagonal/>
    </border>
    <border>
      <left style="thin">
        <color indexed="64"/>
      </left>
      <right style="thin">
        <color indexed="64"/>
      </right>
      <top style="thin">
        <color indexed="64"/>
      </top>
      <bottom style="medium">
        <color rgb="FF002060"/>
      </bottom>
      <diagonal/>
    </border>
    <border>
      <left style="thin">
        <color indexed="64"/>
      </left>
      <right/>
      <top style="thin">
        <color indexed="64"/>
      </top>
      <bottom style="medium">
        <color rgb="FF002060"/>
      </bottom>
      <diagonal/>
    </border>
    <border>
      <left style="thin">
        <color indexed="64"/>
      </left>
      <right style="medium">
        <color indexed="64"/>
      </right>
      <top/>
      <bottom style="medium">
        <color rgb="FF002060"/>
      </bottom>
      <diagonal/>
    </border>
    <border>
      <left style="medium">
        <color indexed="64"/>
      </left>
      <right style="thin">
        <color indexed="64"/>
      </right>
      <top/>
      <bottom style="medium">
        <color rgb="FF002060"/>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hair">
        <color indexed="64"/>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hair">
        <color auto="1"/>
      </left>
      <right/>
      <top style="hair">
        <color auto="1"/>
      </top>
      <bottom style="medium">
        <color auto="1"/>
      </bottom>
      <diagonal/>
    </border>
    <border>
      <left/>
      <right style="medium">
        <color indexed="64"/>
      </right>
      <top style="hair">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s>
  <cellStyleXfs count="378">
    <xf numFmtId="0" fontId="0" fillId="0" borderId="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0" borderId="1" applyNumberFormat="0" applyFill="0" applyAlignment="0" applyProtection="0"/>
    <xf numFmtId="0" fontId="15" fillId="0" borderId="1" applyNumberFormat="0" applyFill="0" applyAlignment="0" applyProtection="0"/>
    <xf numFmtId="164" fontId="10" fillId="0" borderId="0" applyFont="0" applyFill="0" applyBorder="0" applyAlignment="0" applyProtection="0"/>
    <xf numFmtId="0" fontId="16" fillId="3" borderId="0" applyNumberFormat="0" applyBorder="0" applyAlignment="0" applyProtection="0"/>
    <xf numFmtId="0" fontId="17" fillId="19" borderId="2" applyNumberFormat="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14" borderId="0" applyNumberFormat="0" applyBorder="0" applyAlignment="0" applyProtection="0"/>
    <xf numFmtId="0" fontId="11" fillId="0" borderId="0"/>
    <xf numFmtId="0" fontId="10" fillId="0" borderId="0"/>
    <xf numFmtId="0" fontId="11"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8" fillId="0" borderId="0"/>
    <xf numFmtId="0" fontId="13" fillId="0" borderId="0"/>
    <xf numFmtId="0" fontId="11" fillId="0" borderId="0"/>
    <xf numFmtId="0" fontId="11" fillId="0" borderId="0"/>
    <xf numFmtId="0" fontId="13" fillId="0" borderId="0"/>
    <xf numFmtId="0" fontId="13" fillId="0" borderId="0"/>
    <xf numFmtId="0" fontId="13" fillId="0" borderId="0"/>
    <xf numFmtId="0" fontId="11" fillId="0" borderId="0"/>
    <xf numFmtId="0" fontId="13" fillId="0" borderId="0"/>
    <xf numFmtId="0" fontId="11" fillId="0" borderId="0"/>
    <xf numFmtId="0" fontId="11" fillId="0" borderId="0"/>
    <xf numFmtId="0" fontId="12" fillId="0" borderId="0"/>
    <xf numFmtId="0" fontId="11" fillId="0" borderId="0"/>
    <xf numFmtId="0" fontId="11" fillId="0" borderId="0"/>
    <xf numFmtId="0" fontId="13" fillId="0" borderId="0"/>
    <xf numFmtId="0" fontId="8" fillId="0" borderId="0"/>
    <xf numFmtId="0" fontId="8" fillId="0" borderId="0"/>
    <xf numFmtId="0" fontId="10" fillId="8" borderId="6"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7" applyNumberFormat="0" applyFill="0" applyAlignment="0" applyProtection="0"/>
    <xf numFmtId="0" fontId="24" fillId="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7" borderId="8" applyNumberFormat="0" applyAlignment="0" applyProtection="0"/>
    <xf numFmtId="0" fontId="27" fillId="13" borderId="8" applyNumberFormat="0" applyAlignment="0" applyProtection="0"/>
    <xf numFmtId="0" fontId="28" fillId="13" borderId="9" applyNumberFormat="0" applyAlignment="0" applyProtection="0"/>
    <xf numFmtId="0" fontId="2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3" borderId="0" applyNumberFormat="0" applyBorder="0" applyAlignment="0" applyProtection="0"/>
    <xf numFmtId="0" fontId="8" fillId="0" borderId="0"/>
    <xf numFmtId="0" fontId="7" fillId="0" borderId="0"/>
    <xf numFmtId="0" fontId="6" fillId="0" borderId="0"/>
    <xf numFmtId="0" fontId="160" fillId="0" borderId="0"/>
    <xf numFmtId="164" fontId="6" fillId="0" borderId="0" applyFont="0" applyFill="0" applyBorder="0" applyAlignment="0" applyProtection="0"/>
    <xf numFmtId="0" fontId="5" fillId="0" borderId="0"/>
    <xf numFmtId="0" fontId="4" fillId="0" borderId="0"/>
    <xf numFmtId="164" fontId="4" fillId="0" borderId="0" applyFont="0" applyFill="0" applyBorder="0" applyAlignment="0" applyProtection="0"/>
    <xf numFmtId="0" fontId="182" fillId="0" borderId="203" applyNumberFormat="0" applyFill="0" applyAlignment="0" applyProtection="0"/>
    <xf numFmtId="0" fontId="183" fillId="0" borderId="204" applyNumberFormat="0" applyFill="0" applyAlignment="0" applyProtection="0"/>
    <xf numFmtId="0" fontId="184" fillId="0" borderId="205" applyNumberFormat="0" applyFill="0" applyAlignment="0" applyProtection="0"/>
    <xf numFmtId="0" fontId="184" fillId="0" borderId="0" applyNumberFormat="0" applyFill="0" applyBorder="0" applyAlignment="0" applyProtection="0"/>
    <xf numFmtId="0" fontId="3" fillId="0" borderId="0"/>
    <xf numFmtId="9" fontId="155" fillId="0" borderId="0" applyFont="0" applyFill="0" applyBorder="0" applyAlignment="0" applyProtection="0"/>
    <xf numFmtId="0" fontId="155" fillId="0" borderId="0"/>
    <xf numFmtId="0" fontId="186" fillId="2" borderId="0" applyNumberFormat="0" applyBorder="0" applyAlignment="0" applyProtection="0"/>
    <xf numFmtId="0" fontId="186" fillId="3" borderId="0" applyNumberFormat="0" applyBorder="0" applyAlignment="0" applyProtection="0"/>
    <xf numFmtId="0" fontId="186" fillId="4" borderId="0" applyNumberFormat="0" applyBorder="0" applyAlignment="0" applyProtection="0"/>
    <xf numFmtId="0" fontId="186" fillId="5" borderId="0" applyNumberFormat="0" applyBorder="0" applyAlignment="0" applyProtection="0"/>
    <xf numFmtId="0" fontId="186" fillId="6" borderId="0" applyNumberFormat="0" applyBorder="0" applyAlignment="0" applyProtection="0"/>
    <xf numFmtId="0" fontId="186" fillId="7" borderId="0" applyNumberFormat="0" applyBorder="0" applyAlignment="0" applyProtection="0"/>
    <xf numFmtId="0" fontId="186" fillId="2" borderId="0" applyNumberFormat="0" applyBorder="0" applyAlignment="0" applyProtection="0"/>
    <xf numFmtId="0" fontId="186" fillId="3" borderId="0" applyNumberFormat="0" applyBorder="0" applyAlignment="0" applyProtection="0"/>
    <xf numFmtId="0" fontId="186" fillId="4" borderId="0" applyNumberFormat="0" applyBorder="0" applyAlignment="0" applyProtection="0"/>
    <xf numFmtId="0" fontId="186" fillId="5" borderId="0" applyNumberFormat="0" applyBorder="0" applyAlignment="0" applyProtection="0"/>
    <xf numFmtId="0" fontId="186" fillId="6" borderId="0" applyNumberFormat="0" applyBorder="0" applyAlignment="0" applyProtection="0"/>
    <xf numFmtId="0" fontId="186" fillId="7" borderId="0" applyNumberFormat="0" applyBorder="0" applyAlignment="0" applyProtection="0"/>
    <xf numFmtId="0" fontId="186" fillId="9" borderId="0" applyNumberFormat="0" applyBorder="0" applyAlignment="0" applyProtection="0"/>
    <xf numFmtId="0" fontId="186" fillId="10" borderId="0" applyNumberFormat="0" applyBorder="0" applyAlignment="0" applyProtection="0"/>
    <xf numFmtId="0" fontId="186" fillId="11" borderId="0" applyNumberFormat="0" applyBorder="0" applyAlignment="0" applyProtection="0"/>
    <xf numFmtId="0" fontId="186" fillId="5" borderId="0" applyNumberFormat="0" applyBorder="0" applyAlignment="0" applyProtection="0"/>
    <xf numFmtId="0" fontId="186" fillId="9" borderId="0" applyNumberFormat="0" applyBorder="0" applyAlignment="0" applyProtection="0"/>
    <xf numFmtId="0" fontId="186" fillId="12" borderId="0" applyNumberFormat="0" applyBorder="0" applyAlignment="0" applyProtection="0"/>
    <xf numFmtId="0" fontId="186" fillId="9" borderId="0" applyNumberFormat="0" applyBorder="0" applyAlignment="0" applyProtection="0"/>
    <xf numFmtId="0" fontId="186" fillId="10" borderId="0" applyNumberFormat="0" applyBorder="0" applyAlignment="0" applyProtection="0"/>
    <xf numFmtId="0" fontId="186" fillId="11" borderId="0" applyNumberFormat="0" applyBorder="0" applyAlignment="0" applyProtection="0"/>
    <xf numFmtId="0" fontId="186" fillId="5" borderId="0" applyNumberFormat="0" applyBorder="0" applyAlignment="0" applyProtection="0"/>
    <xf numFmtId="0" fontId="186" fillId="9" borderId="0" applyNumberFormat="0" applyBorder="0" applyAlignment="0" applyProtection="0"/>
    <xf numFmtId="0" fontId="186" fillId="12" borderId="0" applyNumberFormat="0" applyBorder="0" applyAlignment="0" applyProtection="0"/>
    <xf numFmtId="0" fontId="187" fillId="15" borderId="0" applyNumberFormat="0" applyBorder="0" applyAlignment="0" applyProtection="0"/>
    <xf numFmtId="0" fontId="187" fillId="10" borderId="0" applyNumberFormat="0" applyBorder="0" applyAlignment="0" applyProtection="0"/>
    <xf numFmtId="0" fontId="187" fillId="11" borderId="0" applyNumberFormat="0" applyBorder="0" applyAlignment="0" applyProtection="0"/>
    <xf numFmtId="0" fontId="187" fillId="16" borderId="0" applyNumberFormat="0" applyBorder="0" applyAlignment="0" applyProtection="0"/>
    <xf numFmtId="0" fontId="187" fillId="17" borderId="0" applyNumberFormat="0" applyBorder="0" applyAlignment="0" applyProtection="0"/>
    <xf numFmtId="0" fontId="187" fillId="18" borderId="0" applyNumberFormat="0" applyBorder="0" applyAlignment="0" applyProtection="0"/>
    <xf numFmtId="0" fontId="187" fillId="15" borderId="0" applyNumberFormat="0" applyBorder="0" applyAlignment="0" applyProtection="0"/>
    <xf numFmtId="0" fontId="187" fillId="10" borderId="0" applyNumberFormat="0" applyBorder="0" applyAlignment="0" applyProtection="0"/>
    <xf numFmtId="0" fontId="187" fillId="11" borderId="0" applyNumberFormat="0" applyBorder="0" applyAlignment="0" applyProtection="0"/>
    <xf numFmtId="0" fontId="187" fillId="16" borderId="0" applyNumberFormat="0" applyBorder="0" applyAlignment="0" applyProtection="0"/>
    <xf numFmtId="0" fontId="187" fillId="17" borderId="0" applyNumberFormat="0" applyBorder="0" applyAlignment="0" applyProtection="0"/>
    <xf numFmtId="0" fontId="187" fillId="18" borderId="0" applyNumberFormat="0" applyBorder="0" applyAlignment="0" applyProtection="0"/>
    <xf numFmtId="0" fontId="187" fillId="20" borderId="0" applyNumberFormat="0" applyBorder="0" applyAlignment="0" applyProtection="0"/>
    <xf numFmtId="0" fontId="187" fillId="21" borderId="0" applyNumberFormat="0" applyBorder="0" applyAlignment="0" applyProtection="0"/>
    <xf numFmtId="0" fontId="187" fillId="22" borderId="0" applyNumberFormat="0" applyBorder="0" applyAlignment="0" applyProtection="0"/>
    <xf numFmtId="0" fontId="187" fillId="16" borderId="0" applyNumberFormat="0" applyBorder="0" applyAlignment="0" applyProtection="0"/>
    <xf numFmtId="0" fontId="187" fillId="17" borderId="0" applyNumberFormat="0" applyBorder="0" applyAlignment="0" applyProtection="0"/>
    <xf numFmtId="0" fontId="187" fillId="23" borderId="0" applyNumberFormat="0" applyBorder="0" applyAlignment="0" applyProtection="0"/>
    <xf numFmtId="0" fontId="188" fillId="3" borderId="0" applyNumberFormat="0" applyBorder="0" applyAlignment="0" applyProtection="0"/>
    <xf numFmtId="0" fontId="189" fillId="13" borderId="8" applyNumberFormat="0" applyAlignment="0" applyProtection="0"/>
    <xf numFmtId="0" fontId="190" fillId="0" borderId="1" applyNumberFormat="0" applyFill="0" applyAlignment="0" applyProtection="0"/>
    <xf numFmtId="0" fontId="191" fillId="0" borderId="0" applyNumberFormat="0" applyFill="0" applyBorder="0" applyAlignment="0" applyProtection="0"/>
    <xf numFmtId="0" fontId="192" fillId="4" borderId="0" applyNumberFormat="0" applyBorder="0" applyAlignment="0" applyProtection="0"/>
    <xf numFmtId="0" fontId="193" fillId="0" borderId="3" applyNumberFormat="0" applyFill="0" applyAlignment="0" applyProtection="0"/>
    <xf numFmtId="0" fontId="194" fillId="0" borderId="4" applyNumberFormat="0" applyFill="0" applyAlignment="0" applyProtection="0"/>
    <xf numFmtId="0" fontId="195" fillId="0" borderId="5" applyNumberFormat="0" applyFill="0" applyAlignment="0" applyProtection="0"/>
    <xf numFmtId="0" fontId="195" fillId="0" borderId="0" applyNumberFormat="0" applyFill="0" applyBorder="0" applyAlignment="0" applyProtection="0"/>
    <xf numFmtId="0" fontId="196" fillId="19" borderId="2" applyNumberFormat="0" applyAlignment="0" applyProtection="0"/>
    <xf numFmtId="0" fontId="188" fillId="3" borderId="0" applyNumberFormat="0" applyBorder="0" applyAlignment="0" applyProtection="0"/>
    <xf numFmtId="0" fontId="197" fillId="7" borderId="8" applyNumberFormat="0" applyAlignment="0" applyProtection="0"/>
    <xf numFmtId="0" fontId="196" fillId="19" borderId="2" applyNumberFormat="0" applyAlignment="0" applyProtection="0"/>
    <xf numFmtId="0" fontId="198" fillId="0" borderId="7" applyNumberFormat="0" applyFill="0" applyAlignment="0" applyProtection="0"/>
    <xf numFmtId="0" fontId="193" fillId="0" borderId="3" applyNumberFormat="0" applyFill="0" applyAlignment="0" applyProtection="0"/>
    <xf numFmtId="0" fontId="194" fillId="0" borderId="4" applyNumberFormat="0" applyFill="0" applyAlignment="0" applyProtection="0"/>
    <xf numFmtId="0" fontId="195" fillId="0" borderId="5" applyNumberFormat="0" applyFill="0" applyAlignment="0" applyProtection="0"/>
    <xf numFmtId="0" fontId="195" fillId="0" borderId="0" applyNumberFormat="0" applyFill="0" applyBorder="0" applyAlignment="0" applyProtection="0"/>
    <xf numFmtId="0" fontId="199" fillId="0" borderId="0" applyNumberFormat="0" applyFill="0" applyBorder="0" applyAlignment="0" applyProtection="0"/>
    <xf numFmtId="0" fontId="200" fillId="14" borderId="0" applyNumberFormat="0" applyBorder="0" applyAlignment="0" applyProtection="0"/>
    <xf numFmtId="0" fontId="200" fillId="14" borderId="0" applyNumberFormat="0" applyBorder="0" applyAlignment="0" applyProtection="0"/>
    <xf numFmtId="0" fontId="155" fillId="0" borderId="0"/>
    <xf numFmtId="0" fontId="155" fillId="0" borderId="0"/>
    <xf numFmtId="0" fontId="186" fillId="0" borderId="0"/>
    <xf numFmtId="0" fontId="186" fillId="0" borderId="0"/>
    <xf numFmtId="0" fontId="186" fillId="0" borderId="0"/>
    <xf numFmtId="0" fontId="186" fillId="0" borderId="0"/>
    <xf numFmtId="0" fontId="186" fillId="0" borderId="0"/>
    <xf numFmtId="0" fontId="186" fillId="0" borderId="0"/>
    <xf numFmtId="0" fontId="186" fillId="0" borderId="0"/>
    <xf numFmtId="0" fontId="155" fillId="0" borderId="0"/>
    <xf numFmtId="0" fontId="186" fillId="0" borderId="0"/>
    <xf numFmtId="0" fontId="155" fillId="0" borderId="0"/>
    <xf numFmtId="0" fontId="186" fillId="0" borderId="0"/>
    <xf numFmtId="0" fontId="186" fillId="0" borderId="0"/>
    <xf numFmtId="0" fontId="155" fillId="0" borderId="0"/>
    <xf numFmtId="0" fontId="186" fillId="0" borderId="0"/>
    <xf numFmtId="0" fontId="155" fillId="0" borderId="0"/>
    <xf numFmtId="0" fontId="155" fillId="0" borderId="0"/>
    <xf numFmtId="0" fontId="201" fillId="0" borderId="0"/>
    <xf numFmtId="0" fontId="155" fillId="0" borderId="0"/>
    <xf numFmtId="0" fontId="155" fillId="0" borderId="0"/>
    <xf numFmtId="0" fontId="186" fillId="0" borderId="0"/>
    <xf numFmtId="0" fontId="155" fillId="8" borderId="6" applyNumberFormat="0" applyFont="0" applyAlignment="0" applyProtection="0"/>
    <xf numFmtId="0" fontId="202" fillId="13" borderId="9" applyNumberFormat="0" applyAlignment="0" applyProtection="0"/>
    <xf numFmtId="0" fontId="155" fillId="8" borderId="6" applyNumberFormat="0" applyFont="0" applyAlignment="0" applyProtection="0"/>
    <xf numFmtId="9" fontId="155" fillId="0" borderId="0" applyFont="0" applyFill="0" applyBorder="0" applyAlignment="0" applyProtection="0"/>
    <xf numFmtId="9" fontId="186" fillId="0" borderId="0" applyFont="0" applyFill="0" applyBorder="0" applyAlignment="0" applyProtection="0"/>
    <xf numFmtId="9" fontId="186" fillId="0" borderId="0" applyFont="0" applyFill="0" applyBorder="0" applyAlignment="0" applyProtection="0"/>
    <xf numFmtId="0" fontId="198" fillId="0" borderId="7" applyNumberFormat="0" applyFill="0" applyAlignment="0" applyProtection="0"/>
    <xf numFmtId="0" fontId="192" fillId="4" borderId="0" applyNumberFormat="0" applyBorder="0" applyAlignment="0" applyProtection="0"/>
    <xf numFmtId="0" fontId="203" fillId="0" borderId="0" applyNumberFormat="0" applyFill="0" applyBorder="0" applyAlignment="0" applyProtection="0"/>
    <xf numFmtId="0" fontId="199" fillId="0" borderId="0" applyNumberFormat="0" applyFill="0" applyBorder="0" applyAlignment="0" applyProtection="0"/>
    <xf numFmtId="0" fontId="190" fillId="0" borderId="1" applyNumberFormat="0" applyFill="0" applyAlignment="0" applyProtection="0"/>
    <xf numFmtId="0" fontId="197" fillId="7" borderId="8" applyNumberFormat="0" applyAlignment="0" applyProtection="0"/>
    <xf numFmtId="0" fontId="189" fillId="13" borderId="8" applyNumberFormat="0" applyAlignment="0" applyProtection="0"/>
    <xf numFmtId="0" fontId="202" fillId="13" borderId="9" applyNumberFormat="0" applyAlignment="0" applyProtection="0"/>
    <xf numFmtId="0" fontId="191" fillId="0" borderId="0" applyNumberFormat="0" applyFill="0" applyBorder="0" applyAlignment="0" applyProtection="0"/>
    <xf numFmtId="0" fontId="203" fillId="0" borderId="0" applyNumberFormat="0" applyFill="0" applyBorder="0" applyAlignment="0" applyProtection="0"/>
    <xf numFmtId="0" fontId="187" fillId="20" borderId="0" applyNumberFormat="0" applyBorder="0" applyAlignment="0" applyProtection="0"/>
    <xf numFmtId="0" fontId="187" fillId="21" borderId="0" applyNumberFormat="0" applyBorder="0" applyAlignment="0" applyProtection="0"/>
    <xf numFmtId="0" fontId="187" fillId="22" borderId="0" applyNumberFormat="0" applyBorder="0" applyAlignment="0" applyProtection="0"/>
    <xf numFmtId="0" fontId="187" fillId="16" borderId="0" applyNumberFormat="0" applyBorder="0" applyAlignment="0" applyProtection="0"/>
    <xf numFmtId="0" fontId="187" fillId="17" borderId="0" applyNumberFormat="0" applyBorder="0" applyAlignment="0" applyProtection="0"/>
    <xf numFmtId="0" fontId="187" fillId="23" borderId="0" applyNumberFormat="0" applyBorder="0" applyAlignment="0" applyProtection="0"/>
    <xf numFmtId="0" fontId="3" fillId="0" borderId="0"/>
    <xf numFmtId="164" fontId="155" fillId="0" borderId="0" applyFont="0" applyFill="0" applyBorder="0" applyAlignment="0" applyProtection="0"/>
    <xf numFmtId="164" fontId="160" fillId="0" borderId="0" applyFont="0" applyFill="0" applyBorder="0" applyAlignment="0" applyProtection="0"/>
    <xf numFmtId="0" fontId="155" fillId="0" borderId="0"/>
    <xf numFmtId="164" fontId="160" fillId="0" borderId="0" applyFont="0" applyFill="0" applyBorder="0" applyAlignment="0" applyProtection="0"/>
    <xf numFmtId="0" fontId="160" fillId="0" borderId="0"/>
    <xf numFmtId="0" fontId="160" fillId="0" borderId="0"/>
    <xf numFmtId="0" fontId="160" fillId="0" borderId="0"/>
    <xf numFmtId="0" fontId="160" fillId="0" borderId="0"/>
    <xf numFmtId="9" fontId="3" fillId="0" borderId="0" applyFont="0" applyFill="0" applyBorder="0" applyAlignment="0" applyProtection="0"/>
    <xf numFmtId="164" fontId="3" fillId="0" borderId="0" applyFont="0" applyFill="0" applyBorder="0" applyAlignment="0" applyProtection="0"/>
    <xf numFmtId="0" fontId="205" fillId="0" borderId="0" applyNumberFormat="0" applyFill="0" applyBorder="0" applyAlignment="0" applyProtection="0"/>
    <xf numFmtId="0" fontId="180" fillId="0" borderId="0"/>
    <xf numFmtId="0" fontId="206" fillId="54" borderId="0" applyNumberFormat="0" applyBorder="0" applyAlignment="0" applyProtection="0"/>
    <xf numFmtId="0" fontId="207" fillId="55" borderId="0" applyNumberFormat="0" applyBorder="0" applyAlignment="0" applyProtection="0"/>
    <xf numFmtId="0" fontId="208" fillId="56" borderId="0" applyNumberFormat="0" applyBorder="0" applyAlignment="0" applyProtection="0"/>
    <xf numFmtId="0" fontId="209" fillId="57" borderId="206" applyNumberFormat="0" applyAlignment="0" applyProtection="0"/>
    <xf numFmtId="0" fontId="210" fillId="58" borderId="207" applyNumberFormat="0" applyAlignment="0" applyProtection="0"/>
    <xf numFmtId="0" fontId="211" fillId="58" borderId="206" applyNumberFormat="0" applyAlignment="0" applyProtection="0"/>
    <xf numFmtId="0" fontId="212" fillId="0" borderId="208" applyNumberFormat="0" applyFill="0" applyAlignment="0" applyProtection="0"/>
    <xf numFmtId="0" fontId="213" fillId="59" borderId="209" applyNumberFormat="0" applyAlignment="0" applyProtection="0"/>
    <xf numFmtId="0" fontId="204" fillId="0" borderId="0" applyNumberFormat="0" applyFill="0" applyBorder="0" applyAlignment="0" applyProtection="0"/>
    <xf numFmtId="0" fontId="180" fillId="60" borderId="210" applyNumberFormat="0" applyFont="0" applyAlignment="0" applyProtection="0"/>
    <xf numFmtId="0" fontId="214" fillId="0" borderId="0" applyNumberFormat="0" applyFill="0" applyBorder="0" applyAlignment="0" applyProtection="0"/>
    <xf numFmtId="0" fontId="179" fillId="0" borderId="211" applyNumberFormat="0" applyFill="0" applyAlignment="0" applyProtection="0"/>
    <xf numFmtId="0" fontId="215" fillId="61" borderId="0" applyNumberFormat="0" applyBorder="0" applyAlignment="0" applyProtection="0"/>
    <xf numFmtId="0" fontId="180" fillId="67" borderId="0" applyNumberFormat="0" applyBorder="0" applyAlignment="0" applyProtection="0"/>
    <xf numFmtId="0" fontId="180" fillId="68" borderId="0" applyNumberFormat="0" applyBorder="0" applyAlignment="0" applyProtection="0"/>
    <xf numFmtId="0" fontId="215" fillId="69" borderId="0" applyNumberFormat="0" applyBorder="0" applyAlignment="0" applyProtection="0"/>
    <xf numFmtId="0" fontId="215" fillId="62" borderId="0" applyNumberFormat="0" applyBorder="0" applyAlignment="0" applyProtection="0"/>
    <xf numFmtId="0" fontId="180" fillId="70" borderId="0" applyNumberFormat="0" applyBorder="0" applyAlignment="0" applyProtection="0"/>
    <xf numFmtId="0" fontId="180" fillId="71" borderId="0" applyNumberFormat="0" applyBorder="0" applyAlignment="0" applyProtection="0"/>
    <xf numFmtId="0" fontId="215" fillId="72" borderId="0" applyNumberFormat="0" applyBorder="0" applyAlignment="0" applyProtection="0"/>
    <xf numFmtId="0" fontId="215" fillId="63" borderId="0" applyNumberFormat="0" applyBorder="0" applyAlignment="0" applyProtection="0"/>
    <xf numFmtId="0" fontId="180" fillId="73" borderId="0" applyNumberFormat="0" applyBorder="0" applyAlignment="0" applyProtection="0"/>
    <xf numFmtId="0" fontId="180" fillId="74" borderId="0" applyNumberFormat="0" applyBorder="0" applyAlignment="0" applyProtection="0"/>
    <xf numFmtId="0" fontId="215" fillId="75" borderId="0" applyNumberFormat="0" applyBorder="0" applyAlignment="0" applyProtection="0"/>
    <xf numFmtId="0" fontId="215" fillId="64" borderId="0" applyNumberFormat="0" applyBorder="0" applyAlignment="0" applyProtection="0"/>
    <xf numFmtId="0" fontId="180" fillId="76" borderId="0" applyNumberFormat="0" applyBorder="0" applyAlignment="0" applyProtection="0"/>
    <xf numFmtId="0" fontId="180" fillId="77" borderId="0" applyNumberFormat="0" applyBorder="0" applyAlignment="0" applyProtection="0"/>
    <xf numFmtId="0" fontId="215" fillId="78" borderId="0" applyNumberFormat="0" applyBorder="0" applyAlignment="0" applyProtection="0"/>
    <xf numFmtId="0" fontId="215" fillId="65" borderId="0" applyNumberFormat="0" applyBorder="0" applyAlignment="0" applyProtection="0"/>
    <xf numFmtId="0" fontId="180" fillId="79" borderId="0" applyNumberFormat="0" applyBorder="0" applyAlignment="0" applyProtection="0"/>
    <xf numFmtId="0" fontId="180" fillId="80" borderId="0" applyNumberFormat="0" applyBorder="0" applyAlignment="0" applyProtection="0"/>
    <xf numFmtId="0" fontId="215" fillId="81" borderId="0" applyNumberFormat="0" applyBorder="0" applyAlignment="0" applyProtection="0"/>
    <xf numFmtId="0" fontId="215" fillId="66" borderId="0" applyNumberFormat="0" applyBorder="0" applyAlignment="0" applyProtection="0"/>
    <xf numFmtId="0" fontId="180" fillId="82" borderId="0" applyNumberFormat="0" applyBorder="0" applyAlignment="0" applyProtection="0"/>
    <xf numFmtId="0" fontId="180" fillId="83" borderId="0" applyNumberFormat="0" applyBorder="0" applyAlignment="0" applyProtection="0"/>
    <xf numFmtId="0" fontId="215" fillId="84" borderId="0" applyNumberFormat="0" applyBorder="0" applyAlignment="0" applyProtection="0"/>
    <xf numFmtId="0" fontId="3" fillId="0" borderId="0"/>
    <xf numFmtId="0" fontId="3" fillId="0" borderId="0"/>
    <xf numFmtId="0" fontId="160" fillId="0" borderId="0">
      <alignment vertical="top"/>
    </xf>
    <xf numFmtId="0" fontId="160" fillId="0" borderId="0">
      <alignment vertical="top"/>
    </xf>
    <xf numFmtId="2" fontId="160" fillId="0" borderId="0" applyFont="0" applyFill="0" applyBorder="0" applyAlignment="0" applyProtection="0"/>
    <xf numFmtId="9" fontId="3" fillId="0" borderId="0" applyFont="0" applyFill="0" applyBorder="0" applyAlignment="0" applyProtection="0"/>
    <xf numFmtId="0" fontId="160" fillId="0" borderId="0">
      <alignment vertical="top"/>
    </xf>
    <xf numFmtId="0" fontId="3" fillId="0" borderId="0"/>
    <xf numFmtId="0" fontId="3" fillId="0" borderId="0"/>
    <xf numFmtId="0" fontId="3" fillId="0" borderId="0"/>
    <xf numFmtId="0" fontId="216" fillId="0" borderId="0"/>
    <xf numFmtId="0" fontId="3" fillId="0" borderId="0"/>
    <xf numFmtId="0" fontId="180" fillId="0" borderId="0"/>
    <xf numFmtId="0" fontId="3" fillId="0" borderId="0"/>
    <xf numFmtId="0" fontId="160" fillId="0" borderId="0">
      <alignment vertical="top"/>
    </xf>
    <xf numFmtId="0" fontId="216" fillId="0" borderId="0"/>
    <xf numFmtId="0" fontId="185" fillId="55" borderId="0" applyNumberFormat="0" applyBorder="0" applyAlignment="0" applyProtection="0"/>
    <xf numFmtId="9" fontId="216" fillId="0" borderId="0" applyFont="0" applyFill="0" applyBorder="0" applyAlignment="0" applyProtection="0"/>
    <xf numFmtId="0" fontId="195" fillId="0" borderId="5" applyNumberFormat="0" applyFill="0" applyAlignment="0" applyProtection="0"/>
    <xf numFmtId="0" fontId="195" fillId="0" borderId="5" applyNumberFormat="0" applyFill="0" applyAlignment="0" applyProtection="0"/>
    <xf numFmtId="0" fontId="202" fillId="13" borderId="9" applyNumberFormat="0" applyAlignment="0" applyProtection="0"/>
    <xf numFmtId="0" fontId="189" fillId="13" borderId="8" applyNumberFormat="0" applyAlignment="0" applyProtection="0"/>
    <xf numFmtId="0" fontId="197" fillId="7" borderId="8" applyNumberFormat="0" applyAlignment="0" applyProtection="0"/>
    <xf numFmtId="0" fontId="197" fillId="7" borderId="8" applyNumberFormat="0" applyAlignment="0" applyProtection="0"/>
    <xf numFmtId="0" fontId="189" fillId="13" borderId="8" applyNumberFormat="0" applyAlignment="0" applyProtection="0"/>
    <xf numFmtId="0" fontId="155" fillId="8" borderId="6" applyNumberFormat="0" applyFont="0" applyAlignment="0" applyProtection="0"/>
    <xf numFmtId="0" fontId="190" fillId="0" borderId="1" applyNumberFormat="0" applyFill="0" applyAlignment="0" applyProtection="0"/>
    <xf numFmtId="0" fontId="202" fillId="13" borderId="9" applyNumberFormat="0" applyAlignment="0" applyProtection="0"/>
    <xf numFmtId="0" fontId="190" fillId="0" borderId="1" applyNumberFormat="0" applyFill="0" applyAlignment="0" applyProtection="0"/>
    <xf numFmtId="0" fontId="155" fillId="8" borderId="6" applyNumberFormat="0" applyFont="0" applyAlignment="0" applyProtection="0"/>
    <xf numFmtId="0" fontId="3" fillId="0" borderId="0"/>
    <xf numFmtId="0" fontId="3" fillId="0" borderId="0"/>
    <xf numFmtId="9" fontId="3" fillId="0" borderId="0" applyFont="0" applyFill="0" applyBorder="0" applyAlignment="0" applyProtection="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01" fillId="0" borderId="0"/>
    <xf numFmtId="0" fontId="155" fillId="0" borderId="0"/>
    <xf numFmtId="0" fontId="155" fillId="0" borderId="0"/>
    <xf numFmtId="0" fontId="201" fillId="0" borderId="0"/>
    <xf numFmtId="0" fontId="201" fillId="0" borderId="0"/>
    <xf numFmtId="0" fontId="155" fillId="0" borderId="0"/>
    <xf numFmtId="0" fontId="2" fillId="0" borderId="0"/>
    <xf numFmtId="164" fontId="2" fillId="0" borderId="0" applyFont="0" applyFill="0" applyBorder="0" applyAlignment="0" applyProtection="0"/>
    <xf numFmtId="0" fontId="228" fillId="54" borderId="0" applyNumberFormat="0" applyBorder="0" applyAlignment="0" applyProtection="0"/>
    <xf numFmtId="0" fontId="185" fillId="55" borderId="0" applyNumberFormat="0" applyBorder="0" applyAlignment="0" applyProtection="0"/>
    <xf numFmtId="0" fontId="229" fillId="57" borderId="206" applyNumberFormat="0" applyAlignment="0" applyProtection="0"/>
    <xf numFmtId="0" fontId="230" fillId="58" borderId="207" applyNumberFormat="0" applyAlignment="0" applyProtection="0"/>
    <xf numFmtId="0" fontId="231" fillId="58" borderId="206" applyNumberFormat="0" applyAlignment="0" applyProtection="0"/>
    <xf numFmtId="0" fontId="232" fillId="0" borderId="208" applyNumberFormat="0" applyFill="0" applyAlignment="0" applyProtection="0"/>
    <xf numFmtId="0" fontId="233" fillId="59" borderId="209" applyNumberFormat="0" applyAlignment="0" applyProtection="0"/>
    <xf numFmtId="0" fontId="234" fillId="0" borderId="0" applyNumberFormat="0" applyFill="0" applyBorder="0" applyAlignment="0" applyProtection="0"/>
    <xf numFmtId="0" fontId="235" fillId="61" borderId="0" applyNumberFormat="0" applyBorder="0" applyAlignment="0" applyProtection="0"/>
    <xf numFmtId="0" fontId="235" fillId="62" borderId="0" applyNumberFormat="0" applyBorder="0" applyAlignment="0" applyProtection="0"/>
    <xf numFmtId="0" fontId="235" fillId="63" borderId="0" applyNumberFormat="0" applyBorder="0" applyAlignment="0" applyProtection="0"/>
    <xf numFmtId="0" fontId="235" fillId="64" borderId="0" applyNumberFormat="0" applyBorder="0" applyAlignment="0" applyProtection="0"/>
    <xf numFmtId="0" fontId="235" fillId="65" borderId="0" applyNumberFormat="0" applyBorder="0" applyAlignment="0" applyProtection="0"/>
    <xf numFmtId="0" fontId="235" fillId="66" borderId="0" applyNumberFormat="0" applyBorder="0" applyAlignment="0" applyProtection="0"/>
    <xf numFmtId="0" fontId="1" fillId="0" borderId="0"/>
    <xf numFmtId="0" fontId="155" fillId="0" borderId="0"/>
    <xf numFmtId="0" fontId="20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36" fillId="0" borderId="0" applyNumberFormat="0" applyFill="0" applyBorder="0" applyAlignment="0" applyProtection="0"/>
    <xf numFmtId="0" fontId="111" fillId="0" borderId="211" applyNumberFormat="0" applyFill="0" applyAlignment="0" applyProtection="0"/>
    <xf numFmtId="0" fontId="1" fillId="67" borderId="0" applyNumberFormat="0" applyBorder="0" applyAlignment="0" applyProtection="0"/>
    <xf numFmtId="0" fontId="1" fillId="68"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237" fillId="56" borderId="0" applyNumberFormat="0" applyBorder="0" applyAlignment="0" applyProtection="0"/>
    <xf numFmtId="0" fontId="1" fillId="69" borderId="0" applyNumberFormat="0" applyBorder="0" applyAlignment="0" applyProtection="0"/>
    <xf numFmtId="0" fontId="1" fillId="72"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0" borderId="0"/>
    <xf numFmtId="0" fontId="1" fillId="60" borderId="210" applyNumberFormat="0" applyFont="0" applyAlignment="0" applyProtection="0"/>
    <xf numFmtId="0" fontId="1" fillId="0" borderId="0"/>
    <xf numFmtId="0" fontId="216" fillId="0" borderId="0"/>
    <xf numFmtId="0" fontId="216" fillId="0" borderId="0"/>
    <xf numFmtId="0" fontId="1" fillId="0" borderId="0"/>
  </cellStyleXfs>
  <cellXfs count="1773">
    <xf numFmtId="0" fontId="0" fillId="0" borderId="0" xfId="0"/>
    <xf numFmtId="0" fontId="56" fillId="0" borderId="0" xfId="0" applyFont="1"/>
    <xf numFmtId="0" fontId="56" fillId="0" borderId="24" xfId="0" applyFont="1" applyBorder="1" applyAlignment="1">
      <alignment horizontal="center"/>
    </xf>
    <xf numFmtId="0" fontId="56" fillId="0" borderId="25" xfId="0" applyFont="1" applyBorder="1" applyAlignment="1">
      <alignment horizontal="center"/>
    </xf>
    <xf numFmtId="0" fontId="56" fillId="0" borderId="26" xfId="0" applyFont="1" applyBorder="1" applyAlignment="1">
      <alignment horizontal="center"/>
    </xf>
    <xf numFmtId="0" fontId="56" fillId="0" borderId="27" xfId="0" applyFont="1" applyBorder="1" applyAlignment="1">
      <alignment horizontal="center"/>
    </xf>
    <xf numFmtId="0" fontId="56" fillId="0" borderId="28" xfId="0" applyFont="1" applyBorder="1"/>
    <xf numFmtId="0" fontId="56" fillId="0" borderId="29" xfId="0" applyFont="1" applyBorder="1"/>
    <xf numFmtId="0" fontId="56" fillId="0" borderId="30" xfId="0" applyFont="1" applyBorder="1"/>
    <xf numFmtId="0" fontId="56" fillId="0" borderId="11" xfId="0" applyFont="1" applyBorder="1"/>
    <xf numFmtId="0" fontId="56" fillId="0" borderId="0" xfId="0" applyFont="1" applyBorder="1"/>
    <xf numFmtId="0" fontId="56" fillId="0" borderId="31" xfId="0" applyFont="1" applyBorder="1"/>
    <xf numFmtId="0" fontId="56" fillId="0" borderId="0" xfId="0" applyFont="1" applyFill="1"/>
    <xf numFmtId="0" fontId="57" fillId="0" borderId="0" xfId="0" applyFont="1"/>
    <xf numFmtId="0" fontId="57" fillId="0" borderId="0" xfId="0" applyFont="1" applyBorder="1"/>
    <xf numFmtId="0" fontId="57" fillId="0" borderId="0" xfId="0" applyFont="1" applyFill="1"/>
    <xf numFmtId="0" fontId="58" fillId="0" borderId="0" xfId="0" applyFont="1"/>
    <xf numFmtId="0" fontId="58" fillId="0" borderId="10" xfId="0" applyFont="1" applyBorder="1"/>
    <xf numFmtId="3" fontId="58" fillId="0" borderId="10" xfId="0" applyNumberFormat="1" applyFont="1" applyBorder="1"/>
    <xf numFmtId="4" fontId="58" fillId="0" borderId="10" xfId="0" applyNumberFormat="1" applyFont="1" applyBorder="1"/>
    <xf numFmtId="3" fontId="58" fillId="38" borderId="10" xfId="0" applyNumberFormat="1" applyFont="1" applyFill="1" applyBorder="1"/>
    <xf numFmtId="3" fontId="59" fillId="0" borderId="10" xfId="0" applyNumberFormat="1" applyFont="1" applyBorder="1"/>
    <xf numFmtId="3" fontId="58" fillId="38" borderId="22" xfId="0" applyNumberFormat="1" applyFont="1" applyFill="1" applyBorder="1"/>
    <xf numFmtId="0" fontId="58" fillId="0" borderId="37" xfId="0" applyFont="1" applyBorder="1"/>
    <xf numFmtId="3" fontId="58" fillId="0" borderId="37" xfId="0" applyNumberFormat="1" applyFont="1" applyBorder="1"/>
    <xf numFmtId="4" fontId="58" fillId="0" borderId="37" xfId="0" applyNumberFormat="1" applyFont="1" applyBorder="1"/>
    <xf numFmtId="3" fontId="58" fillId="38" borderId="37" xfId="0" applyNumberFormat="1" applyFont="1" applyFill="1" applyBorder="1"/>
    <xf numFmtId="3" fontId="59" fillId="0" borderId="37" xfId="0" applyNumberFormat="1" applyFont="1" applyBorder="1"/>
    <xf numFmtId="3" fontId="58" fillId="38" borderId="38" xfId="0" applyNumberFormat="1" applyFont="1" applyFill="1" applyBorder="1"/>
    <xf numFmtId="3" fontId="60" fillId="0" borderId="17" xfId="0" applyNumberFormat="1" applyFont="1" applyBorder="1"/>
    <xf numFmtId="3" fontId="60" fillId="0" borderId="18" xfId="0" applyNumberFormat="1" applyFont="1" applyBorder="1"/>
    <xf numFmtId="4" fontId="60" fillId="0" borderId="18" xfId="0" applyNumberFormat="1" applyFont="1" applyBorder="1"/>
    <xf numFmtId="3" fontId="60" fillId="38" borderId="18" xfId="0" applyNumberFormat="1" applyFont="1" applyFill="1" applyBorder="1"/>
    <xf numFmtId="3" fontId="60" fillId="38" borderId="23" xfId="0" applyNumberFormat="1" applyFont="1" applyFill="1" applyBorder="1"/>
    <xf numFmtId="0" fontId="58" fillId="0" borderId="28" xfId="0" applyFont="1" applyBorder="1"/>
    <xf numFmtId="3" fontId="58" fillId="0" borderId="27" xfId="0" applyNumberFormat="1" applyFont="1" applyBorder="1"/>
    <xf numFmtId="0" fontId="58" fillId="0" borderId="12" xfId="0" applyFont="1" applyBorder="1"/>
    <xf numFmtId="3" fontId="58" fillId="0" borderId="12" xfId="0" applyNumberFormat="1" applyFont="1" applyBorder="1"/>
    <xf numFmtId="4" fontId="58" fillId="0" borderId="12" xfId="0" applyNumberFormat="1" applyFont="1" applyBorder="1"/>
    <xf numFmtId="3" fontId="58" fillId="38" borderId="12" xfId="0" applyNumberFormat="1" applyFont="1" applyFill="1" applyBorder="1"/>
    <xf numFmtId="3" fontId="59" fillId="0" borderId="12" xfId="0" applyNumberFormat="1" applyFont="1" applyBorder="1"/>
    <xf numFmtId="3" fontId="58" fillId="38" borderId="35" xfId="0" applyNumberFormat="1" applyFont="1" applyFill="1" applyBorder="1"/>
    <xf numFmtId="0" fontId="58" fillId="0" borderId="29" xfId="0" applyFont="1" applyBorder="1"/>
    <xf numFmtId="3" fontId="58" fillId="0" borderId="17" xfId="0" applyNumberFormat="1" applyFont="1" applyBorder="1"/>
    <xf numFmtId="3" fontId="58" fillId="0" borderId="18" xfId="0" applyNumberFormat="1" applyFont="1" applyBorder="1"/>
    <xf numFmtId="4" fontId="58" fillId="0" borderId="18" xfId="0" applyNumberFormat="1" applyFont="1" applyBorder="1"/>
    <xf numFmtId="3" fontId="58" fillId="38" borderId="18" xfId="0" applyNumberFormat="1" applyFont="1" applyFill="1" applyBorder="1"/>
    <xf numFmtId="3" fontId="58" fillId="38" borderId="23" xfId="0" applyNumberFormat="1" applyFont="1" applyFill="1" applyBorder="1"/>
    <xf numFmtId="0" fontId="58" fillId="0" borderId="0" xfId="0" applyFont="1" applyBorder="1"/>
    <xf numFmtId="0" fontId="58" fillId="0" borderId="15" xfId="0" applyFont="1" applyBorder="1"/>
    <xf numFmtId="0" fontId="58" fillId="0" borderId="36" xfId="0" applyFont="1" applyBorder="1"/>
    <xf numFmtId="0" fontId="58" fillId="0" borderId="39" xfId="0" applyFont="1" applyBorder="1"/>
    <xf numFmtId="0" fontId="58" fillId="0" borderId="0" xfId="0" applyFont="1" applyFill="1"/>
    <xf numFmtId="0" fontId="58" fillId="0" borderId="40" xfId="0" applyFont="1" applyFill="1" applyBorder="1"/>
    <xf numFmtId="0" fontId="58" fillId="0" borderId="40" xfId="0" applyFont="1" applyBorder="1"/>
    <xf numFmtId="3" fontId="58" fillId="0" borderId="40" xfId="0" applyNumberFormat="1" applyFont="1" applyBorder="1"/>
    <xf numFmtId="3" fontId="58" fillId="0" borderId="41" xfId="0" applyNumberFormat="1" applyFont="1" applyBorder="1"/>
    <xf numFmtId="0" fontId="61" fillId="0" borderId="0" xfId="0" applyFont="1" applyFill="1"/>
    <xf numFmtId="0" fontId="62" fillId="0" borderId="0" xfId="0" applyFont="1"/>
    <xf numFmtId="3" fontId="56" fillId="0" borderId="0" xfId="0" applyNumberFormat="1" applyFont="1"/>
    <xf numFmtId="0" fontId="61" fillId="0" borderId="0" xfId="79" applyFont="1"/>
    <xf numFmtId="0" fontId="56" fillId="0" borderId="42" xfId="0" applyFont="1" applyBorder="1"/>
    <xf numFmtId="0" fontId="63" fillId="0" borderId="0" xfId="0" applyFont="1"/>
    <xf numFmtId="0" fontId="64" fillId="0" borderId="0" xfId="0" applyFont="1"/>
    <xf numFmtId="0" fontId="59" fillId="0" borderId="0" xfId="0" applyFont="1"/>
    <xf numFmtId="3" fontId="58" fillId="0" borderId="0" xfId="0" applyNumberFormat="1" applyFont="1"/>
    <xf numFmtId="0" fontId="63" fillId="0" borderId="0" xfId="0" applyFont="1" applyFill="1"/>
    <xf numFmtId="0" fontId="62" fillId="0" borderId="0" xfId="0" applyFont="1" applyFill="1"/>
    <xf numFmtId="0" fontId="65" fillId="0" borderId="0" xfId="0" applyFont="1" applyFill="1"/>
    <xf numFmtId="0" fontId="66" fillId="0" borderId="0" xfId="0" applyFont="1" applyFill="1"/>
    <xf numFmtId="0" fontId="57" fillId="0" borderId="0" xfId="0" applyFont="1" applyFill="1" applyAlignment="1">
      <alignment wrapText="1"/>
    </xf>
    <xf numFmtId="0" fontId="57" fillId="0" borderId="0" xfId="0" applyFont="1" applyAlignment="1">
      <alignment wrapText="1"/>
    </xf>
    <xf numFmtId="0" fontId="57" fillId="0" borderId="43" xfId="0" applyFont="1" applyBorder="1"/>
    <xf numFmtId="0" fontId="56" fillId="0" borderId="42" xfId="0" applyFont="1" applyFill="1" applyBorder="1"/>
    <xf numFmtId="0" fontId="56" fillId="0" borderId="44" xfId="0" applyFont="1" applyFill="1" applyBorder="1"/>
    <xf numFmtId="0" fontId="56" fillId="0" borderId="45" xfId="0" applyFont="1" applyFill="1" applyBorder="1" applyAlignment="1">
      <alignment horizontal="center"/>
    </xf>
    <xf numFmtId="0" fontId="56" fillId="0" borderId="45" xfId="0" applyFont="1" applyFill="1" applyBorder="1"/>
    <xf numFmtId="0" fontId="62" fillId="0" borderId="46" xfId="0" applyFont="1" applyFill="1" applyBorder="1" applyAlignment="1">
      <alignment horizontal="center"/>
    </xf>
    <xf numFmtId="0" fontId="62" fillId="27" borderId="46" xfId="0" applyFont="1" applyFill="1" applyBorder="1" applyAlignment="1">
      <alignment horizontal="center"/>
    </xf>
    <xf numFmtId="0" fontId="56" fillId="0" borderId="46" xfId="0" applyFont="1" applyFill="1" applyBorder="1" applyAlignment="1">
      <alignment horizontal="center"/>
    </xf>
    <xf numFmtId="0" fontId="56" fillId="0" borderId="47" xfId="0" applyFont="1" applyFill="1" applyBorder="1" applyAlignment="1">
      <alignment horizontal="center"/>
    </xf>
    <xf numFmtId="0" fontId="56" fillId="0" borderId="48" xfId="0" applyFont="1" applyFill="1" applyBorder="1" applyAlignment="1">
      <alignment horizontal="center"/>
    </xf>
    <xf numFmtId="0" fontId="56" fillId="0" borderId="49" xfId="0" applyFont="1" applyFill="1" applyBorder="1"/>
    <xf numFmtId="0" fontId="56" fillId="0" borderId="43" xfId="0" applyFont="1" applyFill="1" applyBorder="1"/>
    <xf numFmtId="0" fontId="62" fillId="0" borderId="50" xfId="0" applyFont="1" applyFill="1" applyBorder="1" applyAlignment="1">
      <alignment horizontal="center"/>
    </xf>
    <xf numFmtId="0" fontId="62" fillId="27" borderId="50" xfId="0" applyFont="1" applyFill="1" applyBorder="1" applyAlignment="1">
      <alignment horizontal="center"/>
    </xf>
    <xf numFmtId="0" fontId="56" fillId="28" borderId="50" xfId="0" applyFont="1" applyFill="1" applyBorder="1" applyAlignment="1">
      <alignment horizontal="center"/>
    </xf>
    <xf numFmtId="0" fontId="56" fillId="0" borderId="50" xfId="0" applyFont="1" applyFill="1" applyBorder="1" applyAlignment="1">
      <alignment horizontal="center"/>
    </xf>
    <xf numFmtId="0" fontId="56" fillId="0" borderId="51" xfId="0" applyFont="1" applyFill="1" applyBorder="1" applyAlignment="1">
      <alignment horizontal="center"/>
    </xf>
    <xf numFmtId="0" fontId="56" fillId="0" borderId="52" xfId="0" applyFont="1" applyFill="1" applyBorder="1" applyAlignment="1">
      <alignment horizontal="center"/>
    </xf>
    <xf numFmtId="3" fontId="62" fillId="0" borderId="54" xfId="0" applyNumberFormat="1" applyFont="1" applyFill="1" applyBorder="1"/>
    <xf numFmtId="3" fontId="56" fillId="28" borderId="54" xfId="0" applyNumberFormat="1" applyFont="1" applyFill="1" applyBorder="1"/>
    <xf numFmtId="3" fontId="56" fillId="0" borderId="54" xfId="0" applyNumberFormat="1" applyFont="1" applyFill="1" applyBorder="1"/>
    <xf numFmtId="2" fontId="56" fillId="0" borderId="55" xfId="0" applyNumberFormat="1" applyFont="1" applyFill="1" applyBorder="1" applyAlignment="1">
      <alignment horizontal="center"/>
    </xf>
    <xf numFmtId="3" fontId="67" fillId="0" borderId="0" xfId="0" applyNumberFormat="1" applyFont="1" applyFill="1" applyAlignment="1">
      <alignment horizontal="left"/>
    </xf>
    <xf numFmtId="0" fontId="56" fillId="0" borderId="56" xfId="0" applyFont="1" applyFill="1" applyBorder="1" applyAlignment="1">
      <alignment horizontal="center"/>
    </xf>
    <xf numFmtId="0" fontId="56" fillId="0" borderId="11" xfId="0" applyFont="1" applyFill="1" applyBorder="1"/>
    <xf numFmtId="3" fontId="56" fillId="0" borderId="0" xfId="0" applyNumberFormat="1" applyFont="1" applyFill="1" applyBorder="1"/>
    <xf numFmtId="0" fontId="56" fillId="0" borderId="0" xfId="0" applyFont="1" applyFill="1" applyBorder="1"/>
    <xf numFmtId="3" fontId="62" fillId="27" borderId="57" xfId="0" applyNumberFormat="1" applyFont="1" applyFill="1" applyBorder="1"/>
    <xf numFmtId="3" fontId="56" fillId="28" borderId="57" xfId="0" applyNumberFormat="1" applyFont="1" applyFill="1" applyBorder="1"/>
    <xf numFmtId="3" fontId="56" fillId="0" borderId="57" xfId="0" applyNumberFormat="1" applyFont="1" applyFill="1" applyBorder="1"/>
    <xf numFmtId="2" fontId="56" fillId="0" borderId="58" xfId="0" applyNumberFormat="1" applyFont="1" applyFill="1" applyBorder="1" applyAlignment="1">
      <alignment horizontal="center"/>
    </xf>
    <xf numFmtId="0" fontId="56" fillId="0" borderId="39" xfId="0" applyFont="1" applyFill="1" applyBorder="1" applyAlignment="1">
      <alignment horizontal="center"/>
    </xf>
    <xf numFmtId="3" fontId="62" fillId="0" borderId="60" xfId="0" applyNumberFormat="1" applyFont="1" applyFill="1" applyBorder="1"/>
    <xf numFmtId="3" fontId="62" fillId="27" borderId="60" xfId="0" applyNumberFormat="1" applyFont="1" applyFill="1" applyBorder="1"/>
    <xf numFmtId="3" fontId="56" fillId="28" borderId="60" xfId="0" applyNumberFormat="1" applyFont="1" applyFill="1" applyBorder="1"/>
    <xf numFmtId="3" fontId="56" fillId="0" borderId="60" xfId="0" applyNumberFormat="1" applyFont="1" applyFill="1" applyBorder="1"/>
    <xf numFmtId="2" fontId="56" fillId="0" borderId="61" xfId="0" applyNumberFormat="1" applyFont="1" applyFill="1" applyBorder="1" applyAlignment="1">
      <alignment horizontal="center"/>
    </xf>
    <xf numFmtId="0" fontId="56" fillId="0" borderId="0" xfId="0" applyFont="1" applyFill="1" applyBorder="1" applyAlignment="1">
      <alignment horizontal="center"/>
    </xf>
    <xf numFmtId="2" fontId="56" fillId="0" borderId="0" xfId="0" applyNumberFormat="1" applyFont="1" applyFill="1" applyBorder="1" applyAlignment="1">
      <alignment horizontal="center"/>
    </xf>
    <xf numFmtId="0" fontId="68" fillId="0" borderId="0" xfId="0" applyFont="1" applyFill="1"/>
    <xf numFmtId="0" fontId="56" fillId="0" borderId="0" xfId="0" applyFont="1" applyFill="1" applyAlignment="1">
      <alignment horizontal="center"/>
    </xf>
    <xf numFmtId="0" fontId="57" fillId="0" borderId="0" xfId="0" applyFont="1" applyAlignment="1">
      <alignment horizontal="center"/>
    </xf>
    <xf numFmtId="0" fontId="58" fillId="29" borderId="50" xfId="0" applyFont="1" applyFill="1" applyBorder="1" applyAlignment="1">
      <alignment horizontal="center"/>
    </xf>
    <xf numFmtId="3" fontId="58" fillId="29" borderId="62" xfId="0" applyNumberFormat="1" applyFont="1" applyFill="1" applyBorder="1"/>
    <xf numFmtId="0" fontId="57" fillId="0" borderId="63" xfId="0" applyFont="1" applyFill="1" applyBorder="1" applyAlignment="1">
      <alignment horizontal="center"/>
    </xf>
    <xf numFmtId="3" fontId="57" fillId="0" borderId="15" xfId="0" applyNumberFormat="1" applyFont="1" applyFill="1" applyBorder="1"/>
    <xf numFmtId="3" fontId="57" fillId="0" borderId="10" xfId="0" applyNumberFormat="1" applyFont="1" applyFill="1" applyBorder="1"/>
    <xf numFmtId="3" fontId="57" fillId="0" borderId="22" xfId="0" applyNumberFormat="1" applyFont="1" applyFill="1" applyBorder="1"/>
    <xf numFmtId="3" fontId="58" fillId="29" borderId="64" xfId="0" applyNumberFormat="1" applyFont="1" applyFill="1" applyBorder="1"/>
    <xf numFmtId="0" fontId="57" fillId="0" borderId="56" xfId="0" applyFont="1" applyFill="1" applyBorder="1" applyAlignment="1">
      <alignment horizontal="center"/>
    </xf>
    <xf numFmtId="3" fontId="58" fillId="29" borderId="60" xfId="0" applyNumberFormat="1" applyFont="1" applyFill="1" applyBorder="1"/>
    <xf numFmtId="0" fontId="69" fillId="0" borderId="0" xfId="0" applyFont="1" applyFill="1" applyBorder="1"/>
    <xf numFmtId="4" fontId="58" fillId="0" borderId="0" xfId="0" applyNumberFormat="1" applyFont="1" applyFill="1" applyBorder="1"/>
    <xf numFmtId="3" fontId="58" fillId="0" borderId="0" xfId="0" applyNumberFormat="1" applyFont="1" applyFill="1" applyBorder="1"/>
    <xf numFmtId="0" fontId="70" fillId="0" borderId="0" xfId="0" applyFont="1"/>
    <xf numFmtId="0" fontId="64" fillId="0" borderId="0" xfId="0" applyFont="1" applyFill="1"/>
    <xf numFmtId="0" fontId="58" fillId="0" borderId="59" xfId="0" applyFont="1" applyFill="1" applyBorder="1"/>
    <xf numFmtId="0" fontId="56" fillId="0" borderId="65" xfId="0" applyFont="1" applyFill="1" applyBorder="1" applyAlignment="1">
      <alignment horizontal="center"/>
    </xf>
    <xf numFmtId="0" fontId="56" fillId="0" borderId="66" xfId="0" applyFont="1" applyFill="1" applyBorder="1"/>
    <xf numFmtId="3" fontId="56" fillId="0" borderId="27" xfId="0" applyNumberFormat="1" applyFont="1" applyFill="1" applyBorder="1"/>
    <xf numFmtId="3" fontId="56" fillId="0" borderId="35" xfId="0" applyNumberFormat="1" applyFont="1" applyFill="1" applyBorder="1"/>
    <xf numFmtId="0" fontId="56" fillId="0" borderId="63" xfId="0" applyFont="1" applyFill="1" applyBorder="1" applyAlignment="1">
      <alignment horizontal="center"/>
    </xf>
    <xf numFmtId="0" fontId="56" fillId="0" borderId="67" xfId="0" applyFont="1" applyFill="1" applyBorder="1"/>
    <xf numFmtId="3" fontId="56" fillId="0" borderId="15" xfId="0" applyNumberFormat="1" applyFont="1" applyFill="1" applyBorder="1"/>
    <xf numFmtId="3" fontId="56" fillId="0" borderId="10" xfId="0" applyNumberFormat="1" applyFont="1" applyFill="1" applyBorder="1"/>
    <xf numFmtId="3" fontId="56" fillId="0" borderId="22" xfId="0" applyNumberFormat="1" applyFont="1" applyFill="1" applyBorder="1"/>
    <xf numFmtId="0" fontId="56" fillId="25" borderId="67" xfId="0" applyFont="1" applyFill="1" applyBorder="1"/>
    <xf numFmtId="0" fontId="56" fillId="25" borderId="58" xfId="0" applyFont="1" applyFill="1" applyBorder="1"/>
    <xf numFmtId="3" fontId="56" fillId="0" borderId="25" xfId="0" applyNumberFormat="1" applyFont="1" applyFill="1" applyBorder="1"/>
    <xf numFmtId="3" fontId="56" fillId="0" borderId="26" xfId="0" applyNumberFormat="1" applyFont="1" applyFill="1" applyBorder="1"/>
    <xf numFmtId="0" fontId="56" fillId="0" borderId="17" xfId="0" applyFont="1" applyFill="1" applyBorder="1"/>
    <xf numFmtId="0" fontId="56" fillId="0" borderId="23" xfId="0" applyFont="1" applyFill="1" applyBorder="1"/>
    <xf numFmtId="3" fontId="56" fillId="0" borderId="17" xfId="0" applyNumberFormat="1" applyFont="1" applyFill="1" applyBorder="1"/>
    <xf numFmtId="10" fontId="56" fillId="0" borderId="18" xfId="0" applyNumberFormat="1" applyFont="1" applyFill="1" applyBorder="1"/>
    <xf numFmtId="3" fontId="56" fillId="0" borderId="23" xfId="0" applyNumberFormat="1" applyFont="1" applyFill="1" applyBorder="1"/>
    <xf numFmtId="0" fontId="57" fillId="0" borderId="13" xfId="0" applyFont="1" applyBorder="1" applyAlignment="1">
      <alignment horizontal="center" wrapText="1"/>
    </xf>
    <xf numFmtId="0" fontId="71" fillId="0" borderId="21" xfId="0" applyFont="1" applyFill="1" applyBorder="1" applyAlignment="1"/>
    <xf numFmtId="0" fontId="57" fillId="0" borderId="13" xfId="0" applyFont="1" applyBorder="1" applyAlignment="1">
      <alignment wrapText="1"/>
    </xf>
    <xf numFmtId="0" fontId="72" fillId="26" borderId="13" xfId="53" applyFont="1" applyFill="1" applyBorder="1" applyAlignment="1">
      <alignment horizontal="center" vertical="center"/>
    </xf>
    <xf numFmtId="0" fontId="72" fillId="26" borderId="14" xfId="53" applyFont="1" applyFill="1" applyBorder="1" applyAlignment="1">
      <alignment horizontal="center" vertical="center"/>
    </xf>
    <xf numFmtId="0" fontId="57" fillId="25" borderId="14" xfId="53" applyFont="1" applyFill="1" applyBorder="1" applyAlignment="1">
      <alignment horizontal="center" vertical="center"/>
    </xf>
    <xf numFmtId="49" fontId="57" fillId="0" borderId="15" xfId="0" applyNumberFormat="1" applyFont="1" applyFill="1" applyBorder="1" applyAlignment="1">
      <alignment horizontal="center" vertical="top" wrapText="1"/>
    </xf>
    <xf numFmtId="49" fontId="57" fillId="0" borderId="10" xfId="0" applyNumberFormat="1" applyFont="1" applyFill="1" applyBorder="1" applyAlignment="1">
      <alignment horizontal="center" vertical="top" wrapText="1"/>
    </xf>
    <xf numFmtId="49" fontId="57" fillId="40" borderId="22" xfId="0" applyNumberFormat="1" applyFont="1" applyFill="1" applyBorder="1" applyAlignment="1">
      <alignment horizontal="center" vertical="top" wrapText="1"/>
    </xf>
    <xf numFmtId="0" fontId="73" fillId="0" borderId="0" xfId="0" applyFont="1"/>
    <xf numFmtId="0" fontId="57" fillId="0" borderId="68" xfId="0" applyFont="1" applyFill="1" applyBorder="1" applyAlignment="1">
      <alignment horizontal="center"/>
    </xf>
    <xf numFmtId="0" fontId="57" fillId="0" borderId="69" xfId="0" applyFont="1" applyFill="1" applyBorder="1"/>
    <xf numFmtId="4" fontId="57" fillId="0" borderId="15" xfId="0" applyNumberFormat="1" applyFont="1" applyFill="1" applyBorder="1"/>
    <xf numFmtId="3" fontId="57" fillId="40" borderId="22" xfId="0" applyNumberFormat="1" applyFont="1" applyFill="1" applyBorder="1"/>
    <xf numFmtId="4" fontId="57" fillId="0" borderId="10" xfId="0" applyNumberFormat="1" applyFont="1" applyFill="1" applyBorder="1"/>
    <xf numFmtId="0" fontId="57" fillId="0" borderId="70" xfId="0" applyFont="1" applyFill="1" applyBorder="1"/>
    <xf numFmtId="0" fontId="57" fillId="0" borderId="0" xfId="0" applyFont="1" applyFill="1" applyBorder="1"/>
    <xf numFmtId="4" fontId="57" fillId="0" borderId="25" xfId="0" applyNumberFormat="1" applyFont="1" applyFill="1" applyBorder="1"/>
    <xf numFmtId="4" fontId="57" fillId="0" borderId="26" xfId="0" applyNumberFormat="1" applyFont="1" applyFill="1" applyBorder="1"/>
    <xf numFmtId="0" fontId="57" fillId="0" borderId="39" xfId="0" applyFont="1" applyFill="1" applyBorder="1"/>
    <xf numFmtId="0" fontId="71" fillId="0" borderId="39" xfId="0" applyFont="1" applyFill="1" applyBorder="1" applyAlignment="1">
      <alignment horizontal="left"/>
    </xf>
    <xf numFmtId="4" fontId="71" fillId="0" borderId="17" xfId="0" applyNumberFormat="1" applyFont="1" applyFill="1" applyBorder="1"/>
    <xf numFmtId="3" fontId="71" fillId="40" borderId="23" xfId="0" applyNumberFormat="1" applyFont="1" applyFill="1" applyBorder="1"/>
    <xf numFmtId="3" fontId="71" fillId="0" borderId="17" xfId="0" applyNumberFormat="1" applyFont="1" applyFill="1" applyBorder="1"/>
    <xf numFmtId="4" fontId="71" fillId="0" borderId="18" xfId="0" applyNumberFormat="1" applyFont="1" applyFill="1" applyBorder="1"/>
    <xf numFmtId="3" fontId="71" fillId="0" borderId="18" xfId="0" applyNumberFormat="1" applyFont="1" applyFill="1" applyBorder="1"/>
    <xf numFmtId="0" fontId="57" fillId="25" borderId="71" xfId="79" applyFont="1" applyFill="1" applyBorder="1" applyAlignment="1">
      <alignment vertical="center" wrapText="1"/>
    </xf>
    <xf numFmtId="167" fontId="57" fillId="0" borderId="10" xfId="0" applyNumberFormat="1" applyFont="1" applyFill="1" applyBorder="1"/>
    <xf numFmtId="0" fontId="71" fillId="26" borderId="15" xfId="0" applyFont="1" applyFill="1" applyBorder="1"/>
    <xf numFmtId="0" fontId="71" fillId="26" borderId="10" xfId="0" applyFont="1" applyFill="1" applyBorder="1"/>
    <xf numFmtId="4" fontId="71" fillId="26" borderId="10" xfId="0" applyNumberFormat="1" applyFont="1" applyFill="1" applyBorder="1"/>
    <xf numFmtId="0" fontId="58" fillId="29" borderId="46" xfId="0" applyFont="1" applyFill="1" applyBorder="1" applyAlignment="1">
      <alignment horizontal="center"/>
    </xf>
    <xf numFmtId="0" fontId="58" fillId="29" borderId="42" xfId="0" applyFont="1" applyFill="1" applyBorder="1" applyAlignment="1">
      <alignment horizontal="center"/>
    </xf>
    <xf numFmtId="0" fontId="58" fillId="29" borderId="48" xfId="0" applyFont="1" applyFill="1" applyBorder="1" applyAlignment="1">
      <alignment horizontal="center"/>
    </xf>
    <xf numFmtId="0" fontId="58" fillId="0" borderId="65" xfId="0" applyFont="1" applyFill="1" applyBorder="1" applyAlignment="1">
      <alignment horizontal="center"/>
    </xf>
    <xf numFmtId="0" fontId="58" fillId="0" borderId="72" xfId="0" applyFont="1" applyFill="1" applyBorder="1"/>
    <xf numFmtId="4" fontId="58" fillId="29" borderId="62" xfId="0" applyNumberFormat="1" applyFont="1" applyFill="1" applyBorder="1"/>
    <xf numFmtId="0" fontId="58" fillId="0" borderId="63" xfId="0" applyFont="1" applyFill="1" applyBorder="1" applyAlignment="1">
      <alignment horizontal="center"/>
    </xf>
    <xf numFmtId="0" fontId="58" fillId="0" borderId="70" xfId="0" applyFont="1" applyFill="1" applyBorder="1"/>
    <xf numFmtId="4" fontId="58" fillId="29" borderId="64" xfId="0" applyNumberFormat="1" applyFont="1" applyFill="1" applyBorder="1"/>
    <xf numFmtId="4" fontId="58" fillId="29" borderId="73" xfId="0" applyNumberFormat="1" applyFont="1" applyFill="1" applyBorder="1"/>
    <xf numFmtId="0" fontId="58" fillId="0" borderId="74" xfId="0" applyFont="1" applyFill="1" applyBorder="1" applyAlignment="1">
      <alignment horizontal="center"/>
    </xf>
    <xf numFmtId="0" fontId="58" fillId="0" borderId="75" xfId="0" applyFont="1" applyFill="1" applyBorder="1"/>
    <xf numFmtId="3" fontId="58" fillId="29" borderId="16" xfId="0" applyNumberFormat="1" applyFont="1" applyFill="1" applyBorder="1"/>
    <xf numFmtId="4" fontId="58" fillId="29" borderId="16" xfId="0" applyNumberFormat="1" applyFont="1" applyFill="1" applyBorder="1"/>
    <xf numFmtId="0" fontId="58" fillId="0" borderId="17" xfId="0" applyFont="1" applyFill="1" applyBorder="1"/>
    <xf numFmtId="4" fontId="58" fillId="29" borderId="39" xfId="0" applyNumberFormat="1" applyFont="1" applyFill="1" applyBorder="1"/>
    <xf numFmtId="0" fontId="60" fillId="0" borderId="0" xfId="0" applyFont="1"/>
    <xf numFmtId="0" fontId="74" fillId="0" borderId="0" xfId="0" applyFont="1"/>
    <xf numFmtId="167" fontId="56" fillId="0" borderId="0" xfId="0" applyNumberFormat="1" applyFont="1"/>
    <xf numFmtId="0" fontId="57" fillId="0" borderId="48" xfId="0" applyFont="1" applyFill="1" applyBorder="1" applyAlignment="1">
      <alignment horizontal="center"/>
    </xf>
    <xf numFmtId="0" fontId="57" fillId="0" borderId="20" xfId="0" applyFont="1" applyFill="1" applyBorder="1" applyAlignment="1">
      <alignment horizontal="center" wrapText="1"/>
    </xf>
    <xf numFmtId="0" fontId="57" fillId="0" borderId="51" xfId="0" applyFont="1" applyFill="1" applyBorder="1" applyAlignment="1">
      <alignment horizontal="center"/>
    </xf>
    <xf numFmtId="0" fontId="57" fillId="0" borderId="43" xfId="0" applyFont="1" applyFill="1" applyBorder="1" applyAlignment="1">
      <alignment horizontal="center"/>
    </xf>
    <xf numFmtId="3" fontId="58" fillId="0" borderId="76" xfId="0" applyNumberFormat="1" applyFont="1" applyFill="1" applyBorder="1"/>
    <xf numFmtId="3" fontId="58" fillId="0" borderId="14" xfId="0" applyNumberFormat="1" applyFont="1" applyFill="1" applyBorder="1"/>
    <xf numFmtId="3" fontId="56" fillId="0" borderId="0" xfId="0" applyNumberFormat="1" applyFont="1" applyFill="1"/>
    <xf numFmtId="3" fontId="59" fillId="0" borderId="22" xfId="0" applyNumberFormat="1" applyFont="1" applyFill="1" applyBorder="1"/>
    <xf numFmtId="3" fontId="58" fillId="0" borderId="71" xfId="0" applyNumberFormat="1" applyFont="1" applyFill="1" applyBorder="1"/>
    <xf numFmtId="3" fontId="58" fillId="0" borderId="10" xfId="0" applyNumberFormat="1" applyFont="1" applyFill="1" applyBorder="1"/>
    <xf numFmtId="3" fontId="56" fillId="25" borderId="37" xfId="0" applyNumberFormat="1" applyFont="1" applyFill="1" applyBorder="1"/>
    <xf numFmtId="3" fontId="56" fillId="25" borderId="77" xfId="0" applyNumberFormat="1" applyFont="1" applyFill="1" applyBorder="1"/>
    <xf numFmtId="3" fontId="75" fillId="0" borderId="0" xfId="0" applyNumberFormat="1" applyFont="1"/>
    <xf numFmtId="3" fontId="75" fillId="0" borderId="0" xfId="0" applyNumberFormat="1" applyFont="1" applyFill="1" applyBorder="1"/>
    <xf numFmtId="0" fontId="59" fillId="0" borderId="0" xfId="0" applyFont="1" applyBorder="1"/>
    <xf numFmtId="0" fontId="76" fillId="0" borderId="0" xfId="0" applyFont="1"/>
    <xf numFmtId="0" fontId="61" fillId="0" borderId="0" xfId="0" applyFont="1"/>
    <xf numFmtId="0" fontId="58" fillId="0" borderId="78" xfId="80" applyFont="1" applyBorder="1"/>
    <xf numFmtId="0" fontId="56" fillId="0" borderId="45" xfId="0" applyFont="1" applyBorder="1"/>
    <xf numFmtId="3" fontId="56" fillId="0" borderId="46" xfId="0" applyNumberFormat="1" applyFont="1" applyBorder="1"/>
    <xf numFmtId="0" fontId="56" fillId="0" borderId="79" xfId="0" applyFont="1" applyBorder="1" applyAlignment="1">
      <alignment horizontal="center"/>
    </xf>
    <xf numFmtId="3" fontId="56" fillId="0" borderId="80" xfId="0" applyNumberFormat="1" applyFont="1" applyFill="1" applyBorder="1"/>
    <xf numFmtId="3" fontId="56" fillId="0" borderId="57" xfId="0" applyNumberFormat="1" applyFont="1" applyBorder="1"/>
    <xf numFmtId="0" fontId="71" fillId="0" borderId="0" xfId="0" applyFont="1"/>
    <xf numFmtId="0" fontId="56" fillId="0" borderId="17" xfId="0" applyFont="1" applyBorder="1" applyAlignment="1">
      <alignment horizontal="center"/>
    </xf>
    <xf numFmtId="3" fontId="62" fillId="0" borderId="60" xfId="0" applyNumberFormat="1" applyFont="1" applyBorder="1"/>
    <xf numFmtId="3" fontId="77" fillId="0" borderId="0" xfId="0" applyNumberFormat="1" applyFont="1" applyBorder="1"/>
    <xf numFmtId="0" fontId="78" fillId="0" borderId="0" xfId="0" applyFont="1"/>
    <xf numFmtId="0" fontId="60" fillId="0" borderId="0" xfId="0" applyFont="1" applyFill="1" applyBorder="1"/>
    <xf numFmtId="0" fontId="77" fillId="0" borderId="0" xfId="0" applyFont="1"/>
    <xf numFmtId="0" fontId="56" fillId="0" borderId="52" xfId="0" applyFont="1" applyBorder="1" applyAlignment="1">
      <alignment horizontal="center"/>
    </xf>
    <xf numFmtId="0" fontId="56" fillId="0" borderId="53" xfId="0" applyFont="1" applyBorder="1"/>
    <xf numFmtId="3" fontId="56" fillId="0" borderId="54" xfId="0" applyNumberFormat="1" applyFont="1" applyBorder="1"/>
    <xf numFmtId="0" fontId="79" fillId="0" borderId="0" xfId="0" applyFont="1"/>
    <xf numFmtId="0" fontId="80" fillId="0" borderId="0" xfId="0" applyFont="1"/>
    <xf numFmtId="0" fontId="80" fillId="0" borderId="24" xfId="0" applyFont="1" applyBorder="1" applyAlignment="1">
      <alignment horizontal="center"/>
    </xf>
    <xf numFmtId="3" fontId="80" fillId="0" borderId="46" xfId="0" applyNumberFormat="1" applyFont="1" applyBorder="1"/>
    <xf numFmtId="3" fontId="77" fillId="0" borderId="0" xfId="0" applyNumberFormat="1" applyFont="1"/>
    <xf numFmtId="0" fontId="56" fillId="0" borderId="36" xfId="0" applyFont="1" applyBorder="1" applyAlignment="1">
      <alignment horizontal="center"/>
    </xf>
    <xf numFmtId="0" fontId="56" fillId="0" borderId="81" xfId="0" applyFont="1" applyBorder="1"/>
    <xf numFmtId="3" fontId="56" fillId="0" borderId="73" xfId="0" applyNumberFormat="1" applyFont="1" applyBorder="1"/>
    <xf numFmtId="3" fontId="62" fillId="0" borderId="0" xfId="0" applyNumberFormat="1" applyFont="1"/>
    <xf numFmtId="0" fontId="56" fillId="0" borderId="0" xfId="0" applyFont="1" applyBorder="1" applyAlignment="1">
      <alignment horizontal="center"/>
    </xf>
    <xf numFmtId="0" fontId="77" fillId="0" borderId="0" xfId="0" applyFont="1" applyFill="1"/>
    <xf numFmtId="0" fontId="56" fillId="0" borderId="82" xfId="0" applyFont="1" applyFill="1" applyBorder="1" applyAlignment="1">
      <alignment horizontal="left"/>
    </xf>
    <xf numFmtId="0" fontId="56" fillId="0" borderId="83" xfId="0" applyFont="1" applyFill="1" applyBorder="1"/>
    <xf numFmtId="0" fontId="62" fillId="0" borderId="83" xfId="0" applyFont="1" applyFill="1" applyBorder="1"/>
    <xf numFmtId="0" fontId="62" fillId="0" borderId="84" xfId="0" applyFont="1" applyFill="1" applyBorder="1"/>
    <xf numFmtId="0" fontId="56" fillId="0" borderId="79" xfId="0" applyFont="1" applyFill="1" applyBorder="1" applyAlignment="1">
      <alignment horizontal="center"/>
    </xf>
    <xf numFmtId="0" fontId="56" fillId="0" borderId="85" xfId="0" applyFont="1" applyFill="1" applyBorder="1"/>
    <xf numFmtId="0" fontId="56" fillId="0" borderId="86" xfId="0" applyFont="1" applyFill="1" applyBorder="1"/>
    <xf numFmtId="0" fontId="62" fillId="0" borderId="86" xfId="0" applyFont="1" applyFill="1" applyBorder="1"/>
    <xf numFmtId="0" fontId="62" fillId="0" borderId="87" xfId="0" applyFont="1" applyFill="1" applyBorder="1"/>
    <xf numFmtId="3" fontId="62" fillId="0" borderId="80" xfId="0" applyNumberFormat="1" applyFont="1" applyFill="1" applyBorder="1"/>
    <xf numFmtId="0" fontId="56" fillId="0" borderId="88" xfId="0" applyFont="1" applyFill="1" applyBorder="1" applyAlignment="1">
      <alignment horizontal="center"/>
    </xf>
    <xf numFmtId="0" fontId="56" fillId="0" borderId="89" xfId="0" applyFont="1" applyFill="1" applyBorder="1"/>
    <xf numFmtId="0" fontId="56" fillId="0" borderId="90" xfId="0" applyFont="1" applyFill="1" applyBorder="1"/>
    <xf numFmtId="0" fontId="62" fillId="0" borderId="90" xfId="0" applyFont="1" applyFill="1" applyBorder="1"/>
    <xf numFmtId="0" fontId="62" fillId="0" borderId="91" xfId="0" applyFont="1" applyFill="1" applyBorder="1"/>
    <xf numFmtId="3" fontId="62" fillId="0" borderId="92" xfId="0" applyNumberFormat="1" applyFont="1" applyFill="1" applyBorder="1"/>
    <xf numFmtId="0" fontId="67" fillId="0" borderId="0" xfId="0" applyFont="1"/>
    <xf numFmtId="0" fontId="56" fillId="0" borderId="17" xfId="0" applyFont="1" applyFill="1" applyBorder="1" applyAlignment="1">
      <alignment horizontal="center"/>
    </xf>
    <xf numFmtId="0" fontId="62" fillId="0" borderId="93" xfId="0" applyFont="1" applyFill="1" applyBorder="1"/>
    <xf numFmtId="0" fontId="62" fillId="0" borderId="94" xfId="0" applyFont="1" applyFill="1" applyBorder="1"/>
    <xf numFmtId="0" fontId="62" fillId="0" borderId="95" xfId="0" applyFont="1" applyFill="1" applyBorder="1"/>
    <xf numFmtId="3" fontId="62" fillId="0" borderId="0" xfId="0" applyNumberFormat="1" applyFont="1" applyFill="1"/>
    <xf numFmtId="2" fontId="67" fillId="0" borderId="0" xfId="0" applyNumberFormat="1" applyFont="1"/>
    <xf numFmtId="0" fontId="81" fillId="0" borderId="0" xfId="0" applyFont="1" applyFill="1"/>
    <xf numFmtId="2" fontId="81" fillId="0" borderId="0" xfId="0" applyNumberFormat="1" applyFont="1" applyFill="1"/>
    <xf numFmtId="0" fontId="79" fillId="0" borderId="0" xfId="0" applyFont="1" applyFill="1" applyBorder="1"/>
    <xf numFmtId="0" fontId="79" fillId="0" borderId="0" xfId="0" applyFont="1" applyFill="1" applyBorder="1" applyAlignment="1"/>
    <xf numFmtId="0" fontId="79" fillId="0" borderId="0" xfId="0" applyFont="1" applyFill="1"/>
    <xf numFmtId="0" fontId="79" fillId="0" borderId="56" xfId="0" applyFont="1" applyFill="1" applyBorder="1"/>
    <xf numFmtId="165" fontId="82" fillId="0" borderId="0" xfId="0" applyNumberFormat="1" applyFont="1" applyFill="1" applyBorder="1"/>
    <xf numFmtId="165" fontId="82" fillId="0" borderId="42" xfId="0" applyNumberFormat="1" applyFont="1" applyFill="1" applyBorder="1"/>
    <xf numFmtId="0" fontId="79" fillId="0" borderId="58" xfId="0" applyFont="1" applyFill="1" applyBorder="1"/>
    <xf numFmtId="0" fontId="83" fillId="0" borderId="42" xfId="0" applyFont="1" applyFill="1" applyBorder="1" applyAlignment="1">
      <alignment horizontal="center"/>
    </xf>
    <xf numFmtId="0" fontId="80" fillId="0" borderId="97" xfId="0" applyFont="1" applyFill="1" applyBorder="1" applyAlignment="1">
      <alignment horizontal="center"/>
    </xf>
    <xf numFmtId="0" fontId="83" fillId="0" borderId="42" xfId="0" applyFont="1" applyFill="1" applyBorder="1" applyAlignment="1">
      <alignment horizontal="left"/>
    </xf>
    <xf numFmtId="0" fontId="83" fillId="0" borderId="33" xfId="0" applyFont="1" applyFill="1" applyBorder="1" applyAlignment="1">
      <alignment horizontal="center"/>
    </xf>
    <xf numFmtId="0" fontId="82" fillId="0" borderId="0" xfId="0" applyFont="1" applyFill="1"/>
    <xf numFmtId="0" fontId="80" fillId="0" borderId="56" xfId="0" applyFont="1" applyFill="1" applyBorder="1"/>
    <xf numFmtId="0" fontId="80" fillId="0" borderId="99" xfId="0" applyFont="1" applyFill="1" applyBorder="1" applyAlignment="1">
      <alignment horizontal="center"/>
    </xf>
    <xf numFmtId="0" fontId="80" fillId="0" borderId="0" xfId="0" applyFont="1" applyFill="1" applyBorder="1" applyAlignment="1">
      <alignment horizontal="center"/>
    </xf>
    <xf numFmtId="0" fontId="83" fillId="0" borderId="34" xfId="0" applyFont="1" applyFill="1" applyBorder="1" applyAlignment="1">
      <alignment horizontal="center"/>
    </xf>
    <xf numFmtId="0" fontId="83" fillId="0" borderId="48" xfId="0" applyFont="1" applyFill="1" applyBorder="1"/>
    <xf numFmtId="0" fontId="80" fillId="0" borderId="101" xfId="0" applyFont="1" applyFill="1" applyBorder="1" applyAlignment="1">
      <alignment horizontal="center"/>
    </xf>
    <xf numFmtId="0" fontId="83" fillId="0" borderId="48" xfId="0" applyFont="1" applyFill="1" applyBorder="1" applyAlignment="1">
      <alignment horizontal="left"/>
    </xf>
    <xf numFmtId="0" fontId="83" fillId="0" borderId="41" xfId="0" applyFont="1" applyFill="1" applyBorder="1"/>
    <xf numFmtId="0" fontId="80" fillId="0" borderId="56" xfId="0" applyFont="1" applyFill="1" applyBorder="1" applyAlignment="1">
      <alignment horizontal="left"/>
    </xf>
    <xf numFmtId="0" fontId="80" fillId="0" borderId="34" xfId="0" applyFont="1" applyFill="1" applyBorder="1"/>
    <xf numFmtId="3" fontId="80" fillId="0" borderId="42" xfId="0" applyNumberFormat="1" applyFont="1" applyFill="1" applyBorder="1" applyAlignment="1">
      <alignment horizontal="left"/>
    </xf>
    <xf numFmtId="3" fontId="80" fillId="0" borderId="33" xfId="0" applyNumberFormat="1" applyFont="1" applyFill="1" applyBorder="1"/>
    <xf numFmtId="0" fontId="80" fillId="0" borderId="107" xfId="0" applyFont="1" applyFill="1" applyBorder="1"/>
    <xf numFmtId="3" fontId="80" fillId="0" borderId="85" xfId="0" applyNumberFormat="1" applyFont="1" applyFill="1" applyBorder="1"/>
    <xf numFmtId="3" fontId="80" fillId="0" borderId="86" xfId="0" applyNumberFormat="1" applyFont="1" applyFill="1" applyBorder="1"/>
    <xf numFmtId="10" fontId="80" fillId="0" borderId="86" xfId="0" applyNumberFormat="1" applyFont="1" applyFill="1" applyBorder="1"/>
    <xf numFmtId="3" fontId="80" fillId="0" borderId="107" xfId="0" applyNumberFormat="1" applyFont="1" applyFill="1" applyBorder="1"/>
    <xf numFmtId="3" fontId="80" fillId="0" borderId="107" xfId="0" applyNumberFormat="1" applyFont="1" applyFill="1" applyBorder="1" applyAlignment="1">
      <alignment horizontal="left"/>
    </xf>
    <xf numFmtId="3" fontId="80" fillId="0" borderId="108" xfId="0" applyNumberFormat="1" applyFont="1" applyFill="1" applyBorder="1"/>
    <xf numFmtId="3" fontId="80" fillId="0" borderId="109" xfId="0" applyNumberFormat="1" applyFont="1" applyFill="1" applyBorder="1" applyAlignment="1">
      <alignment horizontal="left"/>
    </xf>
    <xf numFmtId="3" fontId="80" fillId="0" borderId="110" xfId="0" applyNumberFormat="1" applyFont="1" applyFill="1" applyBorder="1"/>
    <xf numFmtId="3" fontId="83" fillId="38" borderId="56" xfId="0" applyNumberFormat="1" applyFont="1" applyFill="1" applyBorder="1" applyAlignment="1">
      <alignment horizontal="left"/>
    </xf>
    <xf numFmtId="3" fontId="80" fillId="38" borderId="34" xfId="0" applyNumberFormat="1" applyFont="1" applyFill="1" applyBorder="1"/>
    <xf numFmtId="3" fontId="83" fillId="38" borderId="48" xfId="0" applyNumberFormat="1" applyFont="1" applyFill="1" applyBorder="1" applyAlignment="1">
      <alignment horizontal="left"/>
    </xf>
    <xf numFmtId="3" fontId="80" fillId="38" borderId="41" xfId="0" applyNumberFormat="1" applyFont="1" applyFill="1" applyBorder="1"/>
    <xf numFmtId="0" fontId="56" fillId="0" borderId="107" xfId="49" applyFont="1" applyFill="1" applyBorder="1"/>
    <xf numFmtId="3" fontId="56" fillId="0" borderId="86" xfId="49" applyNumberFormat="1" applyFont="1" applyFill="1" applyBorder="1"/>
    <xf numFmtId="3" fontId="82" fillId="0" borderId="0" xfId="0" applyNumberFormat="1" applyFont="1" applyFill="1" applyBorder="1" applyAlignment="1">
      <alignment horizontal="left"/>
    </xf>
    <xf numFmtId="3" fontId="79" fillId="0" borderId="0" xfId="0" applyNumberFormat="1" applyFont="1" applyFill="1" applyBorder="1"/>
    <xf numFmtId="0" fontId="56" fillId="0" borderId="107" xfId="0" applyFont="1" applyFill="1" applyBorder="1"/>
    <xf numFmtId="0" fontId="69" fillId="0" borderId="107" xfId="0" applyFont="1" applyFill="1" applyBorder="1" applyAlignment="1"/>
    <xf numFmtId="3" fontId="71" fillId="0" borderId="0" xfId="0" applyNumberFormat="1" applyFont="1" applyFill="1" applyBorder="1" applyAlignment="1">
      <alignment horizontal="right"/>
    </xf>
    <xf numFmtId="0" fontId="83" fillId="0" borderId="103" xfId="0" applyFont="1" applyFill="1" applyBorder="1"/>
    <xf numFmtId="3" fontId="83" fillId="0" borderId="104" xfId="0" applyNumberFormat="1" applyFont="1" applyFill="1" applyBorder="1"/>
    <xf numFmtId="3" fontId="83" fillId="0" borderId="105" xfId="0" applyNumberFormat="1" applyFont="1" applyFill="1" applyBorder="1"/>
    <xf numFmtId="10" fontId="83" fillId="0" borderId="105" xfId="0" applyNumberFormat="1" applyFont="1" applyFill="1" applyBorder="1"/>
    <xf numFmtId="3" fontId="83" fillId="0" borderId="103" xfId="0" applyNumberFormat="1" applyFont="1" applyFill="1" applyBorder="1"/>
    <xf numFmtId="3" fontId="57" fillId="0" borderId="0" xfId="0" applyNumberFormat="1" applyFont="1" applyFill="1" applyAlignment="1">
      <alignment horizontal="right"/>
    </xf>
    <xf numFmtId="0" fontId="67" fillId="0" borderId="0" xfId="0" applyFont="1" applyFill="1"/>
    <xf numFmtId="0" fontId="76" fillId="0" borderId="0" xfId="0" applyFont="1" applyFill="1" applyAlignment="1">
      <alignment horizontal="left"/>
    </xf>
    <xf numFmtId="3" fontId="57" fillId="0" borderId="0" xfId="0" applyNumberFormat="1" applyFont="1" applyFill="1"/>
    <xf numFmtId="0" fontId="79" fillId="0" borderId="13" xfId="0" applyFont="1" applyFill="1" applyBorder="1" applyAlignment="1">
      <alignment horizontal="center"/>
    </xf>
    <xf numFmtId="3" fontId="57" fillId="0" borderId="21" xfId="0" applyNumberFormat="1" applyFont="1" applyFill="1" applyBorder="1"/>
    <xf numFmtId="0" fontId="79" fillId="0" borderId="15" xfId="0" applyFont="1" applyFill="1" applyBorder="1" applyAlignment="1">
      <alignment horizontal="center"/>
    </xf>
    <xf numFmtId="3" fontId="79" fillId="0" borderId="22" xfId="0" applyNumberFormat="1" applyFont="1" applyFill="1" applyBorder="1"/>
    <xf numFmtId="0" fontId="79" fillId="0" borderId="19" xfId="0" applyFont="1" applyFill="1" applyBorder="1" applyAlignment="1">
      <alignment horizontal="center"/>
    </xf>
    <xf numFmtId="3" fontId="84" fillId="30" borderId="111" xfId="0" applyNumberFormat="1" applyFont="1" applyFill="1" applyBorder="1"/>
    <xf numFmtId="2" fontId="79" fillId="0" borderId="0" xfId="0" applyNumberFormat="1" applyFont="1" applyFill="1"/>
    <xf numFmtId="0" fontId="85" fillId="0" borderId="0" xfId="0" applyFont="1" applyFill="1"/>
    <xf numFmtId="0" fontId="79" fillId="0" borderId="0" xfId="0" applyFont="1" applyFill="1" applyBorder="1" applyAlignment="1">
      <alignment horizontal="center"/>
    </xf>
    <xf numFmtId="0" fontId="79" fillId="0" borderId="0" xfId="0" applyFont="1" applyFill="1" applyAlignment="1">
      <alignment horizontal="center"/>
    </xf>
    <xf numFmtId="1" fontId="79" fillId="0" borderId="0" xfId="0" applyNumberFormat="1" applyFont="1" applyFill="1" applyBorder="1"/>
    <xf numFmtId="1" fontId="79" fillId="0" borderId="0" xfId="0" applyNumberFormat="1" applyFont="1" applyFill="1"/>
    <xf numFmtId="3" fontId="79" fillId="0" borderId="0" xfId="0" applyNumberFormat="1" applyFont="1" applyFill="1"/>
    <xf numFmtId="0" fontId="86" fillId="0" borderId="0" xfId="0" applyFont="1"/>
    <xf numFmtId="0" fontId="68" fillId="0" borderId="0" xfId="0" applyFont="1"/>
    <xf numFmtId="0" fontId="56" fillId="0" borderId="44" xfId="0" applyFont="1" applyBorder="1"/>
    <xf numFmtId="0" fontId="56" fillId="0" borderId="56" xfId="0" applyFont="1" applyBorder="1"/>
    <xf numFmtId="0" fontId="56" fillId="0" borderId="112" xfId="0" applyFont="1" applyBorder="1" applyAlignment="1">
      <alignment horizontal="center"/>
    </xf>
    <xf numFmtId="0" fontId="56" fillId="0" borderId="48" xfId="0" applyFont="1" applyBorder="1" applyAlignment="1">
      <alignment horizontal="center"/>
    </xf>
    <xf numFmtId="0" fontId="56" fillId="0" borderId="49" xfId="0" applyFont="1" applyBorder="1"/>
    <xf numFmtId="0" fontId="56" fillId="0" borderId="43" xfId="0" applyFont="1" applyBorder="1"/>
    <xf numFmtId="0" fontId="56" fillId="0" borderId="113" xfId="0" applyFont="1" applyBorder="1" applyAlignment="1">
      <alignment horizontal="center"/>
    </xf>
    <xf numFmtId="0" fontId="87" fillId="0" borderId="114" xfId="0" applyFont="1" applyBorder="1" applyAlignment="1">
      <alignment horizontal="center"/>
    </xf>
    <xf numFmtId="0" fontId="56" fillId="0" borderId="11" xfId="0" applyFont="1" applyBorder="1" applyAlignment="1">
      <alignment horizontal="center"/>
    </xf>
    <xf numFmtId="3" fontId="56" fillId="0" borderId="83" xfId="0" applyNumberFormat="1" applyFont="1" applyBorder="1"/>
    <xf numFmtId="3" fontId="87" fillId="0" borderId="115" xfId="0" applyNumberFormat="1" applyFont="1" applyBorder="1"/>
    <xf numFmtId="3" fontId="56" fillId="31" borderId="24" xfId="0" applyNumberFormat="1" applyFont="1" applyFill="1" applyBorder="1"/>
    <xf numFmtId="3" fontId="56" fillId="0" borderId="0" xfId="0" applyNumberFormat="1" applyFont="1" applyBorder="1"/>
    <xf numFmtId="3" fontId="68" fillId="0" borderId="0" xfId="0" applyNumberFormat="1" applyFont="1" applyFill="1" applyBorder="1"/>
    <xf numFmtId="3" fontId="88" fillId="0" borderId="0" xfId="0" applyNumberFormat="1" applyFont="1" applyFill="1" applyBorder="1"/>
    <xf numFmtId="0" fontId="56" fillId="0" borderId="107" xfId="0" applyFont="1" applyBorder="1" applyAlignment="1">
      <alignment horizontal="center"/>
    </xf>
    <xf numFmtId="0" fontId="56" fillId="0" borderId="116" xfId="0" applyFont="1" applyBorder="1" applyAlignment="1">
      <alignment horizontal="center"/>
    </xf>
    <xf numFmtId="3" fontId="56" fillId="0" borderId="117" xfId="0" applyNumberFormat="1" applyFont="1" applyBorder="1"/>
    <xf numFmtId="3" fontId="87" fillId="0" borderId="118" xfId="0" applyNumberFormat="1" applyFont="1" applyBorder="1"/>
    <xf numFmtId="3" fontId="56" fillId="31" borderId="79" xfId="0" applyNumberFormat="1" applyFont="1" applyFill="1" applyBorder="1"/>
    <xf numFmtId="3" fontId="56" fillId="0" borderId="85" xfId="0" applyNumberFormat="1" applyFont="1" applyBorder="1"/>
    <xf numFmtId="3" fontId="56" fillId="0" borderId="86" xfId="0" applyNumberFormat="1" applyFont="1" applyBorder="1"/>
    <xf numFmtId="0" fontId="56" fillId="0" borderId="119" xfId="0" applyFont="1" applyBorder="1" applyAlignment="1">
      <alignment horizontal="center"/>
    </xf>
    <xf numFmtId="3" fontId="87" fillId="0" borderId="120" xfId="0" applyNumberFormat="1" applyFont="1" applyBorder="1"/>
    <xf numFmtId="3" fontId="56" fillId="31" borderId="25" xfId="0" applyNumberFormat="1" applyFont="1" applyFill="1" applyBorder="1"/>
    <xf numFmtId="3" fontId="89" fillId="29" borderId="17" xfId="0" applyNumberFormat="1" applyFont="1" applyFill="1" applyBorder="1"/>
    <xf numFmtId="0" fontId="90" fillId="0" borderId="0" xfId="0" applyFont="1"/>
    <xf numFmtId="0" fontId="56" fillId="0" borderId="121" xfId="0" applyFont="1" applyBorder="1" applyAlignment="1">
      <alignment horizontal="center"/>
    </xf>
    <xf numFmtId="0" fontId="56" fillId="0" borderId="122" xfId="0" applyFont="1" applyBorder="1" applyAlignment="1">
      <alignment horizontal="center"/>
    </xf>
    <xf numFmtId="3" fontId="62" fillId="29" borderId="123" xfId="0" applyNumberFormat="1" applyFont="1" applyFill="1" applyBorder="1"/>
    <xf numFmtId="3" fontId="56" fillId="0" borderId="124" xfId="0" applyNumberFormat="1" applyFont="1" applyBorder="1"/>
    <xf numFmtId="3" fontId="56" fillId="0" borderId="125" xfId="0" applyNumberFormat="1" applyFont="1" applyBorder="1"/>
    <xf numFmtId="3" fontId="87" fillId="0" borderId="126" xfId="0" applyNumberFormat="1" applyFont="1" applyBorder="1"/>
    <xf numFmtId="3" fontId="87" fillId="0" borderId="87" xfId="0" applyNumberFormat="1" applyFont="1" applyBorder="1"/>
    <xf numFmtId="0" fontId="62" fillId="0" borderId="31" xfId="0" applyFont="1" applyBorder="1"/>
    <xf numFmtId="3" fontId="62" fillId="29" borderId="17" xfId="0" applyNumberFormat="1" applyFont="1" applyFill="1" applyBorder="1"/>
    <xf numFmtId="0" fontId="56" fillId="0" borderId="123" xfId="0" applyFont="1" applyBorder="1" applyAlignment="1">
      <alignment horizontal="center"/>
    </xf>
    <xf numFmtId="0" fontId="56" fillId="0" borderId="28" xfId="0" applyFont="1" applyFill="1" applyBorder="1"/>
    <xf numFmtId="0" fontId="56" fillId="0" borderId="29" xfId="0" applyFont="1" applyFill="1" applyBorder="1"/>
    <xf numFmtId="3" fontId="62" fillId="29" borderId="79" xfId="0" applyNumberFormat="1" applyFont="1" applyFill="1" applyBorder="1"/>
    <xf numFmtId="0" fontId="56" fillId="0" borderId="69" xfId="0" applyFont="1" applyFill="1" applyBorder="1"/>
    <xf numFmtId="3" fontId="56" fillId="0" borderId="127" xfId="0" applyNumberFormat="1" applyFont="1" applyBorder="1"/>
    <xf numFmtId="3" fontId="56" fillId="0" borderId="128" xfId="0" applyNumberFormat="1" applyFont="1" applyBorder="1"/>
    <xf numFmtId="3" fontId="87" fillId="0" borderId="129" xfId="0" applyNumberFormat="1" applyFont="1" applyBorder="1"/>
    <xf numFmtId="0" fontId="69" fillId="0" borderId="0" xfId="0" applyFont="1" applyBorder="1"/>
    <xf numFmtId="0" fontId="62" fillId="0" borderId="31" xfId="0" applyFont="1" applyFill="1" applyBorder="1"/>
    <xf numFmtId="0" fontId="91" fillId="0" borderId="0" xfId="0" applyFont="1"/>
    <xf numFmtId="0" fontId="92" fillId="0" borderId="0" xfId="0" applyFont="1"/>
    <xf numFmtId="3" fontId="93" fillId="0" borderId="0" xfId="0" applyNumberFormat="1" applyFont="1" applyFill="1"/>
    <xf numFmtId="0" fontId="56" fillId="0" borderId="40" xfId="0" applyFont="1" applyBorder="1" applyAlignment="1">
      <alignment horizontal="center"/>
    </xf>
    <xf numFmtId="0" fontId="69" fillId="0" borderId="49" xfId="0" applyFont="1" applyBorder="1" applyAlignment="1">
      <alignment horizontal="center"/>
    </xf>
    <xf numFmtId="0" fontId="69" fillId="0" borderId="130" xfId="0" applyFont="1" applyBorder="1" applyAlignment="1">
      <alignment horizontal="center"/>
    </xf>
    <xf numFmtId="0" fontId="69" fillId="0" borderId="43" xfId="0" applyFont="1" applyBorder="1" applyAlignment="1">
      <alignment horizontal="center"/>
    </xf>
    <xf numFmtId="0" fontId="56" fillId="0" borderId="39" xfId="0" applyFont="1" applyBorder="1" applyAlignment="1">
      <alignment horizontal="center"/>
    </xf>
    <xf numFmtId="0" fontId="56" fillId="0" borderId="31" xfId="0" applyFont="1" applyBorder="1" applyAlignment="1">
      <alignment horizontal="right"/>
    </xf>
    <xf numFmtId="0" fontId="56" fillId="0" borderId="31" xfId="0" applyFont="1" applyBorder="1" applyAlignment="1">
      <alignment horizontal="center"/>
    </xf>
    <xf numFmtId="0" fontId="56" fillId="0" borderId="18" xfId="0" applyFont="1" applyBorder="1" applyAlignment="1">
      <alignment horizontal="center"/>
    </xf>
    <xf numFmtId="0" fontId="69" fillId="0" borderId="59" xfId="0" applyFont="1" applyBorder="1" applyAlignment="1">
      <alignment horizontal="center"/>
    </xf>
    <xf numFmtId="0" fontId="69" fillId="0" borderId="94" xfId="0" applyFont="1" applyBorder="1" applyAlignment="1">
      <alignment horizontal="center"/>
    </xf>
    <xf numFmtId="0" fontId="69" fillId="0" borderId="31" xfId="0" applyFont="1" applyBorder="1" applyAlignment="1">
      <alignment horizontal="center"/>
    </xf>
    <xf numFmtId="0" fontId="56" fillId="24" borderId="17" xfId="0" applyFont="1" applyFill="1" applyBorder="1" applyAlignment="1">
      <alignment horizontal="center"/>
    </xf>
    <xf numFmtId="3" fontId="62" fillId="29" borderId="52" xfId="0" applyNumberFormat="1" applyFont="1" applyFill="1" applyBorder="1"/>
    <xf numFmtId="3" fontId="56" fillId="0" borderId="26" xfId="0" applyNumberFormat="1" applyFont="1" applyBorder="1"/>
    <xf numFmtId="3" fontId="69" fillId="0" borderId="11" xfId="0" applyNumberFormat="1" applyFont="1" applyBorder="1"/>
    <xf numFmtId="3" fontId="94" fillId="0" borderId="99" xfId="0" applyNumberFormat="1" applyFont="1" applyFill="1" applyBorder="1"/>
    <xf numFmtId="3" fontId="69" fillId="0" borderId="0" xfId="0" applyNumberFormat="1" applyFont="1" applyFill="1" applyBorder="1"/>
    <xf numFmtId="3" fontId="95" fillId="0" borderId="34" xfId="0" applyNumberFormat="1" applyFont="1" applyFill="1" applyBorder="1"/>
    <xf numFmtId="3" fontId="56" fillId="24" borderId="123" xfId="0" applyNumberFormat="1" applyFont="1" applyFill="1" applyBorder="1"/>
    <xf numFmtId="3" fontId="56" fillId="0" borderId="131" xfId="0" applyNumberFormat="1" applyFont="1" applyBorder="1"/>
    <xf numFmtId="0" fontId="56" fillId="0" borderId="29" xfId="0" applyFont="1" applyBorder="1" applyAlignment="1">
      <alignment horizontal="center"/>
    </xf>
    <xf numFmtId="3" fontId="56" fillId="0" borderId="132" xfId="0" applyNumberFormat="1" applyFont="1" applyBorder="1"/>
    <xf numFmtId="3" fontId="69" fillId="0" borderId="86" xfId="0" applyNumberFormat="1" applyFont="1" applyFill="1" applyBorder="1"/>
    <xf numFmtId="3" fontId="69" fillId="0" borderId="87" xfId="0" applyNumberFormat="1" applyFont="1" applyFill="1" applyBorder="1"/>
    <xf numFmtId="3" fontId="95" fillId="0" borderId="108" xfId="0" applyNumberFormat="1" applyFont="1" applyFill="1" applyBorder="1"/>
    <xf numFmtId="3" fontId="56" fillId="0" borderId="108" xfId="0" applyNumberFormat="1" applyFont="1" applyBorder="1"/>
    <xf numFmtId="0" fontId="56" fillId="0" borderId="133" xfId="0" applyFont="1" applyBorder="1" applyAlignment="1">
      <alignment horizontal="center"/>
    </xf>
    <xf numFmtId="0" fontId="56" fillId="0" borderId="133" xfId="0" applyFont="1" applyBorder="1"/>
    <xf numFmtId="3" fontId="69" fillId="0" borderId="134" xfId="0" applyNumberFormat="1" applyFont="1" applyFill="1" applyBorder="1"/>
    <xf numFmtId="3" fontId="95" fillId="0" borderId="110" xfId="0" applyNumberFormat="1" applyFont="1" applyFill="1" applyBorder="1"/>
    <xf numFmtId="3" fontId="56" fillId="0" borderId="135" xfId="0" applyNumberFormat="1" applyFont="1" applyBorder="1"/>
    <xf numFmtId="3" fontId="56" fillId="0" borderId="136" xfId="0" applyNumberFormat="1" applyFont="1" applyBorder="1"/>
    <xf numFmtId="0" fontId="69" fillId="0" borderId="69" xfId="0" applyFont="1" applyBorder="1" applyAlignment="1">
      <alignment horizontal="left"/>
    </xf>
    <xf numFmtId="0" fontId="69" fillId="0" borderId="69" xfId="0" applyFont="1" applyBorder="1"/>
    <xf numFmtId="3" fontId="69" fillId="0" borderId="70" xfId="0" applyNumberFormat="1" applyFont="1" applyBorder="1"/>
    <xf numFmtId="3" fontId="69" fillId="0" borderId="22" xfId="0" applyNumberFormat="1" applyFont="1" applyBorder="1"/>
    <xf numFmtId="3" fontId="69" fillId="0" borderId="132" xfId="0" applyNumberFormat="1" applyFont="1" applyBorder="1"/>
    <xf numFmtId="3" fontId="69" fillId="0" borderId="137" xfId="0" applyNumberFormat="1" applyFont="1" applyBorder="1"/>
    <xf numFmtId="3" fontId="69" fillId="0" borderId="34" xfId="0" applyNumberFormat="1" applyFont="1" applyBorder="1"/>
    <xf numFmtId="3" fontId="69" fillId="0" borderId="108" xfId="0" applyNumberFormat="1" applyFont="1" applyBorder="1"/>
    <xf numFmtId="0" fontId="56" fillId="0" borderId="138" xfId="0" applyFont="1" applyBorder="1" applyAlignment="1">
      <alignment horizontal="center"/>
    </xf>
    <xf numFmtId="3" fontId="69" fillId="0" borderId="91" xfId="0" applyNumberFormat="1" applyFont="1" applyFill="1" applyBorder="1"/>
    <xf numFmtId="3" fontId="95" fillId="0" borderId="136" xfId="0" applyNumberFormat="1" applyFont="1" applyFill="1" applyBorder="1"/>
    <xf numFmtId="3" fontId="69" fillId="0" borderId="136" xfId="0" applyNumberFormat="1" applyFont="1" applyBorder="1"/>
    <xf numFmtId="0" fontId="60" fillId="0" borderId="0" xfId="0" applyFont="1" applyBorder="1"/>
    <xf numFmtId="3" fontId="69" fillId="0" borderId="139" xfId="0" applyNumberFormat="1" applyFont="1" applyBorder="1"/>
    <xf numFmtId="0" fontId="69" fillId="0" borderId="0" xfId="0" applyFont="1"/>
    <xf numFmtId="3" fontId="69" fillId="0" borderId="71" xfId="0" applyNumberFormat="1" applyFont="1" applyBorder="1"/>
    <xf numFmtId="0" fontId="80" fillId="0" borderId="0" xfId="0" applyFont="1" applyFill="1"/>
    <xf numFmtId="0" fontId="56" fillId="0" borderId="97" xfId="0" applyFont="1" applyBorder="1" applyAlignment="1">
      <alignment horizontal="center"/>
    </xf>
    <xf numFmtId="0" fontId="57" fillId="0" borderId="47" xfId="0" applyFont="1" applyBorder="1" applyAlignment="1">
      <alignment horizontal="left"/>
    </xf>
    <xf numFmtId="0" fontId="62" fillId="0" borderId="24" xfId="0" applyFont="1" applyBorder="1" applyAlignment="1">
      <alignment horizontal="center"/>
    </xf>
    <xf numFmtId="0" fontId="58" fillId="0" borderId="96" xfId="0" applyFont="1" applyBorder="1" applyAlignment="1">
      <alignment horizontal="center"/>
    </xf>
    <xf numFmtId="0" fontId="57" fillId="0" borderId="46" xfId="0" applyFont="1" applyBorder="1" applyAlignment="1">
      <alignment horizontal="center"/>
    </xf>
    <xf numFmtId="0" fontId="56" fillId="0" borderId="48" xfId="0" applyFont="1" applyBorder="1"/>
    <xf numFmtId="0" fontId="62" fillId="0" borderId="43" xfId="0" applyFont="1" applyBorder="1"/>
    <xf numFmtId="0" fontId="56" fillId="0" borderId="101" xfId="0" applyFont="1" applyBorder="1" applyAlignment="1">
      <alignment horizontal="center"/>
    </xf>
    <xf numFmtId="0" fontId="62" fillId="0" borderId="51" xfId="0" applyFont="1" applyBorder="1" applyAlignment="1">
      <alignment horizontal="left"/>
    </xf>
    <xf numFmtId="0" fontId="62" fillId="0" borderId="140" xfId="0" applyFont="1" applyBorder="1" applyAlignment="1">
      <alignment horizontal="center"/>
    </xf>
    <xf numFmtId="0" fontId="58" fillId="0" borderId="100" xfId="0" applyFont="1" applyBorder="1" applyAlignment="1">
      <alignment horizontal="center"/>
    </xf>
    <xf numFmtId="0" fontId="58" fillId="0" borderId="101" xfId="0" applyFont="1" applyBorder="1" applyAlignment="1">
      <alignment horizontal="center"/>
    </xf>
    <xf numFmtId="0" fontId="57" fillId="0" borderId="50" xfId="0" applyFont="1" applyBorder="1" applyAlignment="1">
      <alignment horizontal="center"/>
    </xf>
    <xf numFmtId="0" fontId="62" fillId="29" borderId="48" xfId="0" applyFont="1" applyFill="1" applyBorder="1"/>
    <xf numFmtId="0" fontId="62" fillId="29" borderId="43" xfId="0" applyFont="1" applyFill="1" applyBorder="1"/>
    <xf numFmtId="0" fontId="58" fillId="29" borderId="94" xfId="0" applyFont="1" applyFill="1" applyBorder="1" applyAlignment="1">
      <alignment horizontal="center"/>
    </xf>
    <xf numFmtId="0" fontId="71" fillId="29" borderId="51" xfId="0" applyFont="1" applyFill="1" applyBorder="1" applyAlignment="1">
      <alignment horizontal="left"/>
    </xf>
    <xf numFmtId="3" fontId="62" fillId="29" borderId="31" xfId="0" applyNumberFormat="1" applyFont="1" applyFill="1" applyBorder="1"/>
    <xf numFmtId="3" fontId="59" fillId="29" borderId="31" xfId="0" applyNumberFormat="1" applyFont="1" applyFill="1" applyBorder="1"/>
    <xf numFmtId="3" fontId="59" fillId="29" borderId="94" xfId="0" applyNumberFormat="1" applyFont="1" applyFill="1" applyBorder="1"/>
    <xf numFmtId="3" fontId="57" fillId="29" borderId="60" xfId="0" applyNumberFormat="1" applyFont="1" applyFill="1" applyBorder="1"/>
    <xf numFmtId="0" fontId="58" fillId="0" borderId="56" xfId="0" applyFont="1" applyBorder="1"/>
    <xf numFmtId="0" fontId="60" fillId="0" borderId="56" xfId="0" applyFont="1" applyBorder="1"/>
    <xf numFmtId="0" fontId="60" fillId="0" borderId="28" xfId="0" applyFont="1" applyBorder="1"/>
    <xf numFmtId="0" fontId="60" fillId="0" borderId="125" xfId="0" applyFont="1" applyBorder="1" applyAlignment="1">
      <alignment horizontal="center"/>
    </xf>
    <xf numFmtId="0" fontId="76" fillId="0" borderId="141" xfId="0" applyFont="1" applyBorder="1" applyAlignment="1">
      <alignment horizontal="left"/>
    </xf>
    <xf numFmtId="3" fontId="69" fillId="0" borderId="123" xfId="0" applyNumberFormat="1" applyFont="1" applyBorder="1"/>
    <xf numFmtId="3" fontId="60" fillId="0" borderId="28" xfId="0" applyNumberFormat="1" applyFont="1" applyBorder="1"/>
    <xf numFmtId="3" fontId="60" fillId="0" borderId="124" xfId="0" applyNumberFormat="1" applyFont="1" applyBorder="1"/>
    <xf numFmtId="3" fontId="60" fillId="0" borderId="125" xfId="0" applyNumberFormat="1" applyFont="1" applyBorder="1"/>
    <xf numFmtId="3" fontId="76" fillId="0" borderId="142" xfId="0" applyNumberFormat="1" applyFont="1" applyBorder="1"/>
    <xf numFmtId="0" fontId="60" fillId="0" borderId="0" xfId="0" applyFont="1" applyAlignment="1">
      <alignment horizontal="center" wrapText="1"/>
    </xf>
    <xf numFmtId="0" fontId="76" fillId="0" borderId="56" xfId="0" applyFont="1" applyBorder="1"/>
    <xf numFmtId="0" fontId="76" fillId="0" borderId="0" xfId="0" applyFont="1" applyBorder="1"/>
    <xf numFmtId="0" fontId="76" fillId="32" borderId="28" xfId="0" applyFont="1" applyFill="1" applyBorder="1"/>
    <xf numFmtId="0" fontId="76" fillId="32" borderId="141" xfId="0" applyFont="1" applyFill="1" applyBorder="1" applyAlignment="1">
      <alignment horizontal="left"/>
    </xf>
    <xf numFmtId="3" fontId="76" fillId="32" borderId="123" xfId="0" applyNumberFormat="1" applyFont="1" applyFill="1" applyBorder="1"/>
    <xf numFmtId="3" fontId="76" fillId="32" borderId="28" xfId="0" applyNumberFormat="1" applyFont="1" applyFill="1" applyBorder="1"/>
    <xf numFmtId="3" fontId="76" fillId="32" borderId="124" xfId="0" applyNumberFormat="1" applyFont="1" applyFill="1" applyBorder="1"/>
    <xf numFmtId="3" fontId="76" fillId="32" borderId="125" xfId="0" applyNumberFormat="1" applyFont="1" applyFill="1" applyBorder="1"/>
    <xf numFmtId="0" fontId="58" fillId="0" borderId="125" xfId="0" applyFont="1" applyBorder="1" applyAlignment="1">
      <alignment horizontal="center"/>
    </xf>
    <xf numFmtId="0" fontId="57" fillId="0" borderId="141" xfId="0" applyFont="1" applyBorder="1" applyAlignment="1">
      <alignment horizontal="left"/>
    </xf>
    <xf numFmtId="3" fontId="56" fillId="0" borderId="123" xfId="0" applyNumberFormat="1" applyFont="1" applyBorder="1"/>
    <xf numFmtId="3" fontId="58" fillId="0" borderId="28" xfId="0" applyNumberFormat="1" applyFont="1" applyBorder="1"/>
    <xf numFmtId="3" fontId="58" fillId="0" borderId="124" xfId="0" applyNumberFormat="1" applyFont="1" applyBorder="1"/>
    <xf numFmtId="3" fontId="58" fillId="0" borderId="125" xfId="0" applyNumberFormat="1" applyFont="1" applyBorder="1"/>
    <xf numFmtId="3" fontId="57" fillId="0" borderId="142" xfId="0" applyNumberFormat="1" applyFont="1" applyBorder="1"/>
    <xf numFmtId="0" fontId="58" fillId="0" borderId="29" xfId="0" applyFont="1" applyFill="1" applyBorder="1"/>
    <xf numFmtId="0" fontId="58" fillId="0" borderId="28" xfId="0" applyFont="1" applyFill="1" applyBorder="1"/>
    <xf numFmtId="0" fontId="57" fillId="0" borderId="141" xfId="0" applyFont="1" applyFill="1" applyBorder="1" applyAlignment="1">
      <alignment horizontal="left"/>
    </xf>
    <xf numFmtId="0" fontId="57" fillId="0" borderId="143" xfId="0" applyFont="1" applyFill="1" applyBorder="1" applyAlignment="1">
      <alignment horizontal="left"/>
    </xf>
    <xf numFmtId="0" fontId="57" fillId="0" borderId="143" xfId="0" applyFont="1" applyBorder="1" applyAlignment="1">
      <alignment horizontal="left"/>
    </xf>
    <xf numFmtId="0" fontId="62" fillId="29" borderId="39" xfId="0" applyFont="1" applyFill="1" applyBorder="1"/>
    <xf numFmtId="0" fontId="62" fillId="29" borderId="31" xfId="0" applyFont="1" applyFill="1" applyBorder="1"/>
    <xf numFmtId="0" fontId="71" fillId="29" borderId="61" xfId="0" applyFont="1" applyFill="1" applyBorder="1" applyAlignment="1">
      <alignment horizontal="left"/>
    </xf>
    <xf numFmtId="0" fontId="58" fillId="0" borderId="68" xfId="0" applyFont="1" applyBorder="1"/>
    <xf numFmtId="0" fontId="58" fillId="0" borderId="133" xfId="0" applyFont="1" applyBorder="1"/>
    <xf numFmtId="0" fontId="58" fillId="0" borderId="134" xfId="0" applyFont="1" applyBorder="1" applyAlignment="1">
      <alignment horizontal="center"/>
    </xf>
    <xf numFmtId="0" fontId="57" fillId="0" borderId="144" xfId="0" applyFont="1" applyBorder="1" applyAlignment="1">
      <alignment horizontal="left"/>
    </xf>
    <xf numFmtId="3" fontId="58" fillId="0" borderId="133" xfId="0" applyNumberFormat="1" applyFont="1" applyBorder="1"/>
    <xf numFmtId="3" fontId="58" fillId="0" borderId="134" xfId="0" applyNumberFormat="1" applyFont="1" applyBorder="1"/>
    <xf numFmtId="3" fontId="57" fillId="0" borderId="145" xfId="0" applyNumberFormat="1" applyFont="1" applyBorder="1"/>
    <xf numFmtId="0" fontId="58" fillId="0" borderId="48" xfId="0" applyFont="1" applyBorder="1"/>
    <xf numFmtId="0" fontId="58" fillId="0" borderId="43" xfId="0" applyFont="1" applyBorder="1"/>
    <xf numFmtId="0" fontId="58" fillId="0" borderId="51" xfId="0" applyFont="1" applyBorder="1" applyAlignment="1">
      <alignment horizontal="left"/>
    </xf>
    <xf numFmtId="3" fontId="56" fillId="0" borderId="140" xfId="0" applyNumberFormat="1" applyFont="1" applyBorder="1"/>
    <xf numFmtId="3" fontId="58" fillId="0" borderId="43" xfId="0" applyNumberFormat="1" applyFont="1" applyBorder="1"/>
    <xf numFmtId="3" fontId="58" fillId="0" borderId="101" xfId="0" applyNumberFormat="1" applyFont="1" applyBorder="1"/>
    <xf numFmtId="3" fontId="57" fillId="0" borderId="50" xfId="0" applyNumberFormat="1" applyFont="1" applyBorder="1"/>
    <xf numFmtId="0" fontId="57" fillId="0" borderId="0" xfId="0" applyFont="1" applyAlignment="1">
      <alignment horizontal="left"/>
    </xf>
    <xf numFmtId="0" fontId="91" fillId="0" borderId="0" xfId="0" applyFont="1" applyFill="1"/>
    <xf numFmtId="0" fontId="91" fillId="0" borderId="0" xfId="0" applyFont="1" applyAlignment="1">
      <alignment horizontal="center"/>
    </xf>
    <xf numFmtId="0" fontId="91" fillId="0" borderId="0" xfId="0" applyFont="1" applyAlignment="1">
      <alignment horizontal="left"/>
    </xf>
    <xf numFmtId="0" fontId="87" fillId="0" borderId="0" xfId="0" applyFont="1"/>
    <xf numFmtId="0" fontId="96" fillId="0" borderId="0" xfId="0" applyFont="1"/>
    <xf numFmtId="0" fontId="56" fillId="0" borderId="0" xfId="0" applyFont="1" applyAlignment="1">
      <alignment horizontal="center"/>
    </xf>
    <xf numFmtId="3" fontId="56" fillId="0" borderId="11" xfId="0" applyNumberFormat="1" applyFont="1" applyBorder="1"/>
    <xf numFmtId="3" fontId="56" fillId="0" borderId="116" xfId="0" applyNumberFormat="1" applyFont="1" applyBorder="1"/>
    <xf numFmtId="3" fontId="69" fillId="0" borderId="116" xfId="0" applyNumberFormat="1" applyFont="1" applyBorder="1"/>
    <xf numFmtId="3" fontId="69" fillId="0" borderId="29" xfId="0" applyNumberFormat="1" applyFont="1" applyFill="1" applyBorder="1"/>
    <xf numFmtId="3" fontId="69" fillId="0" borderId="133" xfId="0" applyNumberFormat="1" applyFont="1" applyFill="1" applyBorder="1"/>
    <xf numFmtId="3" fontId="56" fillId="0" borderId="99" xfId="0" applyNumberFormat="1" applyFont="1" applyBorder="1"/>
    <xf numFmtId="3" fontId="69" fillId="0" borderId="86" xfId="0" applyNumberFormat="1" applyFont="1" applyBorder="1"/>
    <xf numFmtId="0" fontId="62" fillId="29" borderId="36" xfId="0" applyFont="1" applyFill="1" applyBorder="1" applyAlignment="1">
      <alignment horizontal="center"/>
    </xf>
    <xf numFmtId="0" fontId="87" fillId="0" borderId="146" xfId="0" applyFont="1" applyBorder="1" applyAlignment="1">
      <alignment horizontal="center"/>
    </xf>
    <xf numFmtId="0" fontId="56" fillId="31" borderId="25" xfId="0" applyFont="1" applyFill="1" applyBorder="1" applyAlignment="1">
      <alignment horizontal="center"/>
    </xf>
    <xf numFmtId="0" fontId="62" fillId="29" borderId="25" xfId="0" applyFont="1" applyFill="1" applyBorder="1" applyAlignment="1">
      <alignment horizontal="center"/>
    </xf>
    <xf numFmtId="0" fontId="87" fillId="0" borderId="147" xfId="0" applyFont="1" applyBorder="1" applyAlignment="1">
      <alignment horizontal="center"/>
    </xf>
    <xf numFmtId="0" fontId="62" fillId="29" borderId="140" xfId="0" applyFont="1" applyFill="1" applyBorder="1" applyAlignment="1">
      <alignment horizontal="center"/>
    </xf>
    <xf numFmtId="0" fontId="56" fillId="31" borderId="140" xfId="0" applyFont="1" applyFill="1" applyBorder="1" applyAlignment="1">
      <alignment horizontal="center"/>
    </xf>
    <xf numFmtId="0" fontId="56" fillId="0" borderId="116" xfId="80" applyFont="1" applyBorder="1" applyAlignment="1">
      <alignment horizontal="center"/>
    </xf>
    <xf numFmtId="3" fontId="80" fillId="0" borderId="143" xfId="80" applyNumberFormat="1" applyFont="1" applyFill="1" applyBorder="1"/>
    <xf numFmtId="3" fontId="87" fillId="0" borderId="0" xfId="0" applyNumberFormat="1" applyFont="1"/>
    <xf numFmtId="0" fontId="97" fillId="0" borderId="0" xfId="0" applyFont="1"/>
    <xf numFmtId="0" fontId="87" fillId="0" borderId="38" xfId="0" applyFont="1" applyFill="1" applyBorder="1" applyAlignment="1">
      <alignment horizontal="center"/>
    </xf>
    <xf numFmtId="0" fontId="56" fillId="24" borderId="25" xfId="0" applyFont="1" applyFill="1" applyBorder="1" applyAlignment="1">
      <alignment horizontal="center"/>
    </xf>
    <xf numFmtId="0" fontId="87" fillId="0" borderId="34" xfId="0" applyFont="1" applyFill="1" applyBorder="1" applyAlignment="1">
      <alignment horizontal="center"/>
    </xf>
    <xf numFmtId="0" fontId="87" fillId="0" borderId="41" xfId="0" applyFont="1" applyFill="1" applyBorder="1" applyAlignment="1">
      <alignment horizontal="center"/>
    </xf>
    <xf numFmtId="0" fontId="56" fillId="24" borderId="140" xfId="0" applyFont="1" applyFill="1" applyBorder="1" applyAlignment="1">
      <alignment horizontal="center"/>
    </xf>
    <xf numFmtId="0" fontId="62" fillId="29" borderId="17" xfId="0" applyFont="1" applyFill="1" applyBorder="1" applyAlignment="1">
      <alignment horizontal="center"/>
    </xf>
    <xf numFmtId="0" fontId="87" fillId="0" borderId="23" xfId="0" applyFont="1" applyFill="1" applyBorder="1" applyAlignment="1">
      <alignment horizontal="center"/>
    </xf>
    <xf numFmtId="3" fontId="69" fillId="0" borderId="0" xfId="0" applyNumberFormat="1" applyFont="1"/>
    <xf numFmtId="0" fontId="98" fillId="0" borderId="0" xfId="0" applyFont="1"/>
    <xf numFmtId="0" fontId="80" fillId="29" borderId="0" xfId="0" applyFont="1" applyFill="1"/>
    <xf numFmtId="0" fontId="56" fillId="29" borderId="0" xfId="0" applyFont="1" applyFill="1"/>
    <xf numFmtId="3" fontId="58" fillId="0" borderId="15" xfId="0" applyNumberFormat="1" applyFont="1" applyFill="1" applyBorder="1"/>
    <xf numFmtId="3" fontId="58" fillId="36" borderId="10" xfId="0" applyNumberFormat="1" applyFont="1" applyFill="1" applyBorder="1"/>
    <xf numFmtId="3" fontId="58" fillId="36" borderId="37" xfId="0" applyNumberFormat="1" applyFont="1" applyFill="1" applyBorder="1"/>
    <xf numFmtId="3" fontId="60" fillId="36" borderId="18" xfId="0" applyNumberFormat="1" applyFont="1" applyFill="1" applyBorder="1"/>
    <xf numFmtId="3" fontId="58" fillId="36" borderId="12" xfId="0" applyNumberFormat="1" applyFont="1" applyFill="1" applyBorder="1"/>
    <xf numFmtId="3" fontId="58" fillId="36" borderId="18" xfId="0" applyNumberFormat="1" applyFont="1" applyFill="1" applyBorder="1"/>
    <xf numFmtId="4" fontId="80" fillId="36" borderId="121" xfId="0" applyNumberFormat="1" applyFont="1" applyFill="1" applyBorder="1"/>
    <xf numFmtId="3" fontId="80" fillId="36" borderId="149" xfId="0" applyNumberFormat="1" applyFont="1" applyFill="1" applyBorder="1"/>
    <xf numFmtId="3" fontId="83" fillId="36" borderId="148" xfId="0" applyNumberFormat="1" applyFont="1" applyFill="1" applyBorder="1"/>
    <xf numFmtId="4" fontId="55" fillId="0" borderId="0" xfId="0" applyNumberFormat="1" applyFont="1" applyFill="1"/>
    <xf numFmtId="4" fontId="79" fillId="0" borderId="0" xfId="0" applyNumberFormat="1" applyFont="1" applyFill="1"/>
    <xf numFmtId="4" fontId="58" fillId="38" borderId="22" xfId="0" applyNumberFormat="1" applyFont="1" applyFill="1" applyBorder="1"/>
    <xf numFmtId="4" fontId="58" fillId="38" borderId="38" xfId="0" applyNumberFormat="1" applyFont="1" applyFill="1" applyBorder="1"/>
    <xf numFmtId="4" fontId="60" fillId="38" borderId="23" xfId="0" applyNumberFormat="1" applyFont="1" applyFill="1" applyBorder="1"/>
    <xf numFmtId="4" fontId="58" fillId="38" borderId="35" xfId="0" applyNumberFormat="1" applyFont="1" applyFill="1" applyBorder="1"/>
    <xf numFmtId="4" fontId="58" fillId="38" borderId="23" xfId="0" applyNumberFormat="1" applyFont="1" applyFill="1" applyBorder="1"/>
    <xf numFmtId="10" fontId="57" fillId="0" borderId="17" xfId="0" applyNumberFormat="1" applyFont="1" applyBorder="1" applyAlignment="1">
      <alignment horizontal="center"/>
    </xf>
    <xf numFmtId="10" fontId="57" fillId="0" borderId="23" xfId="0" applyNumberFormat="1" applyFont="1" applyBorder="1" applyAlignment="1">
      <alignment horizontal="center"/>
    </xf>
    <xf numFmtId="3" fontId="56" fillId="24" borderId="15" xfId="0" applyNumberFormat="1" applyFont="1" applyFill="1" applyBorder="1"/>
    <xf numFmtId="3" fontId="56" fillId="37" borderId="86" xfId="0" applyNumberFormat="1" applyFont="1" applyFill="1" applyBorder="1"/>
    <xf numFmtId="3" fontId="57" fillId="38" borderId="22" xfId="0" applyNumberFormat="1" applyFont="1" applyFill="1" applyBorder="1"/>
    <xf numFmtId="3" fontId="83" fillId="37" borderId="106" xfId="0" applyNumberFormat="1" applyFont="1" applyFill="1" applyBorder="1"/>
    <xf numFmtId="4" fontId="80" fillId="37" borderId="121" xfId="0" applyNumberFormat="1" applyFont="1" applyFill="1" applyBorder="1"/>
    <xf numFmtId="4" fontId="83" fillId="37" borderId="103" xfId="0" applyNumberFormat="1" applyFont="1" applyFill="1" applyBorder="1"/>
    <xf numFmtId="4" fontId="58" fillId="38" borderId="10" xfId="0" applyNumberFormat="1" applyFont="1" applyFill="1" applyBorder="1"/>
    <xf numFmtId="4" fontId="58" fillId="38" borderId="37" xfId="0" applyNumberFormat="1" applyFont="1" applyFill="1" applyBorder="1"/>
    <xf numFmtId="4" fontId="60" fillId="38" borderId="18" xfId="0" applyNumberFormat="1" applyFont="1" applyFill="1" applyBorder="1"/>
    <xf numFmtId="4" fontId="58" fillId="38" borderId="12" xfId="0" applyNumberFormat="1" applyFont="1" applyFill="1" applyBorder="1"/>
    <xf numFmtId="4" fontId="58" fillId="38" borderId="18" xfId="0" applyNumberFormat="1" applyFont="1" applyFill="1" applyBorder="1"/>
    <xf numFmtId="0" fontId="56" fillId="38" borderId="39" xfId="0" applyFont="1" applyFill="1" applyBorder="1"/>
    <xf numFmtId="0" fontId="58" fillId="0" borderId="67" xfId="0" applyFont="1" applyFill="1" applyBorder="1"/>
    <xf numFmtId="0" fontId="58" fillId="0" borderId="150" xfId="0" applyFont="1" applyFill="1" applyBorder="1"/>
    <xf numFmtId="0" fontId="56" fillId="0" borderId="65" xfId="0" applyFont="1" applyFill="1" applyBorder="1" applyAlignment="1">
      <alignment horizontal="right"/>
    </xf>
    <xf numFmtId="0" fontId="56" fillId="0" borderId="63" xfId="0" applyFont="1" applyFill="1" applyBorder="1" applyAlignment="1">
      <alignment horizontal="right"/>
    </xf>
    <xf numFmtId="0" fontId="56" fillId="0" borderId="151" xfId="0" applyFont="1" applyFill="1" applyBorder="1" applyAlignment="1">
      <alignment horizontal="center"/>
    </xf>
    <xf numFmtId="0" fontId="56" fillId="25" borderId="152" xfId="0" applyFont="1" applyFill="1" applyBorder="1"/>
    <xf numFmtId="0" fontId="56" fillId="0" borderId="15" xfId="0" applyFont="1" applyBorder="1" applyAlignment="1">
      <alignment horizontal="center"/>
    </xf>
    <xf numFmtId="0" fontId="56" fillId="0" borderId="153" xfId="0" applyFont="1" applyBorder="1" applyAlignment="1">
      <alignment horizontal="center"/>
    </xf>
    <xf numFmtId="0" fontId="89" fillId="0" borderId="17" xfId="0" applyFont="1" applyBorder="1" applyAlignment="1">
      <alignment horizontal="center"/>
    </xf>
    <xf numFmtId="0" fontId="89" fillId="0" borderId="31" xfId="0" applyFont="1" applyFill="1" applyBorder="1"/>
    <xf numFmtId="3" fontId="89" fillId="0" borderId="0" xfId="0" applyNumberFormat="1" applyFont="1"/>
    <xf numFmtId="0" fontId="101" fillId="0" borderId="0" xfId="0" applyFont="1"/>
    <xf numFmtId="0" fontId="89" fillId="0" borderId="0" xfId="0" applyFont="1"/>
    <xf numFmtId="3" fontId="62" fillId="29" borderId="25" xfId="0" applyNumberFormat="1" applyFont="1" applyFill="1" applyBorder="1"/>
    <xf numFmtId="3" fontId="56" fillId="0" borderId="98" xfId="0" applyNumberFormat="1" applyFont="1" applyBorder="1"/>
    <xf numFmtId="3" fontId="56" fillId="0" borderId="154" xfId="0" applyNumberFormat="1" applyFont="1" applyBorder="1"/>
    <xf numFmtId="3" fontId="89" fillId="29" borderId="15" xfId="0" applyNumberFormat="1" applyFont="1" applyFill="1" applyBorder="1"/>
    <xf numFmtId="3" fontId="69" fillId="24" borderId="15" xfId="0" applyNumberFormat="1" applyFont="1" applyFill="1" applyBorder="1"/>
    <xf numFmtId="9" fontId="70" fillId="0" borderId="0" xfId="0" applyNumberFormat="1" applyFont="1"/>
    <xf numFmtId="3" fontId="58" fillId="0" borderId="21" xfId="0" applyNumberFormat="1" applyFont="1" applyFill="1" applyBorder="1"/>
    <xf numFmtId="3" fontId="58" fillId="0" borderId="22" xfId="0" applyNumberFormat="1" applyFont="1" applyFill="1" applyBorder="1"/>
    <xf numFmtId="3" fontId="58" fillId="0" borderId="36" xfId="0" applyNumberFormat="1" applyFont="1" applyFill="1" applyBorder="1"/>
    <xf numFmtId="3" fontId="58" fillId="0" borderId="27" xfId="0" applyNumberFormat="1" applyFont="1" applyFill="1" applyBorder="1"/>
    <xf numFmtId="0" fontId="34" fillId="0" borderId="0" xfId="0" applyFont="1"/>
    <xf numFmtId="3" fontId="70" fillId="0" borderId="0" xfId="0" applyNumberFormat="1" applyFont="1"/>
    <xf numFmtId="3" fontId="69" fillId="0" borderId="10" xfId="0" applyNumberFormat="1" applyFont="1" applyBorder="1"/>
    <xf numFmtId="3" fontId="69" fillId="0" borderId="30" xfId="0" applyNumberFormat="1" applyFont="1" applyFill="1" applyBorder="1"/>
    <xf numFmtId="3" fontId="69" fillId="0" borderId="155" xfId="0" applyNumberFormat="1" applyFont="1" applyFill="1" applyBorder="1"/>
    <xf numFmtId="3" fontId="69" fillId="0" borderId="156" xfId="0" applyNumberFormat="1" applyFont="1" applyFill="1" applyBorder="1"/>
    <xf numFmtId="3" fontId="62" fillId="29" borderId="94" xfId="0" applyNumberFormat="1" applyFont="1" applyFill="1" applyBorder="1"/>
    <xf numFmtId="3" fontId="62" fillId="29" borderId="157" xfId="0" applyNumberFormat="1" applyFont="1" applyFill="1" applyBorder="1"/>
    <xf numFmtId="0" fontId="69" fillId="0" borderId="43" xfId="0" applyFont="1" applyBorder="1"/>
    <xf numFmtId="3" fontId="69" fillId="0" borderId="43" xfId="0" applyNumberFormat="1" applyFont="1" applyBorder="1"/>
    <xf numFmtId="3" fontId="69" fillId="0" borderId="49" xfId="0" applyNumberFormat="1" applyFont="1" applyBorder="1"/>
    <xf numFmtId="3" fontId="69" fillId="0" borderId="101" xfId="0" applyNumberFormat="1" applyFont="1" applyBorder="1"/>
    <xf numFmtId="3" fontId="95" fillId="0" borderId="41" xfId="0" applyNumberFormat="1" applyFont="1" applyFill="1" applyBorder="1"/>
    <xf numFmtId="3" fontId="69" fillId="24" borderId="25" xfId="0" applyNumberFormat="1" applyFont="1" applyFill="1" applyBorder="1"/>
    <xf numFmtId="0" fontId="69" fillId="0" borderId="70" xfId="0" applyFont="1" applyBorder="1"/>
    <xf numFmtId="3" fontId="89" fillId="29" borderId="156" xfId="0" applyNumberFormat="1" applyFont="1" applyFill="1" applyBorder="1"/>
    <xf numFmtId="3" fontId="89" fillId="29" borderId="71" xfId="0" applyNumberFormat="1" applyFont="1" applyFill="1" applyBorder="1"/>
    <xf numFmtId="3" fontId="69" fillId="24" borderId="63" xfId="0" applyNumberFormat="1" applyFont="1" applyFill="1" applyBorder="1"/>
    <xf numFmtId="0" fontId="40" fillId="0" borderId="0" xfId="0" applyFont="1"/>
    <xf numFmtId="3" fontId="0" fillId="0" borderId="0" xfId="0" applyNumberFormat="1"/>
    <xf numFmtId="4" fontId="58" fillId="0" borderId="0" xfId="0" applyNumberFormat="1" applyFont="1"/>
    <xf numFmtId="3" fontId="56" fillId="0" borderId="158" xfId="0" applyNumberFormat="1" applyFont="1" applyBorder="1"/>
    <xf numFmtId="3" fontId="56" fillId="0" borderId="138" xfId="0" applyNumberFormat="1" applyFont="1" applyBorder="1"/>
    <xf numFmtId="3" fontId="69" fillId="0" borderId="134" xfId="0" applyNumberFormat="1" applyFont="1" applyBorder="1"/>
    <xf numFmtId="3" fontId="102" fillId="38" borderId="41" xfId="0" applyNumberFormat="1" applyFont="1" applyFill="1" applyBorder="1"/>
    <xf numFmtId="3" fontId="56" fillId="0" borderId="119" xfId="0" applyNumberFormat="1" applyFont="1" applyBorder="1"/>
    <xf numFmtId="3" fontId="56" fillId="0" borderId="90" xfId="0" applyNumberFormat="1" applyFont="1" applyBorder="1"/>
    <xf numFmtId="3" fontId="56" fillId="24" borderId="25" xfId="0" applyNumberFormat="1" applyFont="1" applyFill="1" applyBorder="1"/>
    <xf numFmtId="3" fontId="56" fillId="0" borderId="159" xfId="0" applyNumberFormat="1" applyFont="1" applyBorder="1"/>
    <xf numFmtId="0" fontId="56" fillId="31" borderId="36" xfId="0" applyFont="1" applyFill="1" applyBorder="1" applyAlignment="1">
      <alignment horizontal="center"/>
    </xf>
    <xf numFmtId="3" fontId="89" fillId="29" borderId="160" xfId="0" applyNumberFormat="1" applyFont="1" applyFill="1" applyBorder="1"/>
    <xf numFmtId="3" fontId="89" fillId="29" borderId="94" xfId="0" applyNumberFormat="1" applyFont="1" applyFill="1" applyBorder="1"/>
    <xf numFmtId="3" fontId="56" fillId="31" borderId="74" xfId="0" applyNumberFormat="1" applyFont="1" applyFill="1" applyBorder="1"/>
    <xf numFmtId="3" fontId="56" fillId="31" borderId="161" xfId="0" applyNumberFormat="1" applyFont="1" applyFill="1" applyBorder="1"/>
    <xf numFmtId="3" fontId="89" fillId="29" borderId="31" xfId="0" applyNumberFormat="1" applyFont="1" applyFill="1" applyBorder="1"/>
    <xf numFmtId="3" fontId="69" fillId="31" borderId="39" xfId="0" applyNumberFormat="1" applyFont="1" applyFill="1" applyBorder="1"/>
    <xf numFmtId="3" fontId="69" fillId="31" borderId="94" xfId="0" applyNumberFormat="1" applyFont="1" applyFill="1" applyBorder="1"/>
    <xf numFmtId="3" fontId="69" fillId="0" borderId="156" xfId="0" applyNumberFormat="1" applyFont="1" applyBorder="1"/>
    <xf numFmtId="3" fontId="89" fillId="29" borderId="155" xfId="0" applyNumberFormat="1" applyFont="1" applyFill="1" applyBorder="1"/>
    <xf numFmtId="3" fontId="89" fillId="29" borderId="159" xfId="0" applyNumberFormat="1" applyFont="1" applyFill="1" applyBorder="1"/>
    <xf numFmtId="3" fontId="56" fillId="0" borderId="87" xfId="0" applyNumberFormat="1" applyFont="1" applyBorder="1"/>
    <xf numFmtId="0" fontId="62" fillId="41" borderId="0" xfId="0" applyFont="1" applyFill="1"/>
    <xf numFmtId="0" fontId="56" fillId="41" borderId="0" xfId="0" applyFont="1" applyFill="1"/>
    <xf numFmtId="0" fontId="86" fillId="41" borderId="0" xfId="0" applyFont="1" applyFill="1"/>
    <xf numFmtId="3" fontId="0" fillId="0" borderId="10" xfId="0" applyNumberFormat="1" applyBorder="1"/>
    <xf numFmtId="4" fontId="80" fillId="0" borderId="107" xfId="0" applyNumberFormat="1" applyFont="1" applyFill="1" applyBorder="1"/>
    <xf numFmtId="3" fontId="62" fillId="29" borderId="39" xfId="0" applyNumberFormat="1" applyFont="1" applyFill="1" applyBorder="1"/>
    <xf numFmtId="3" fontId="62" fillId="29" borderId="23" xfId="0" applyNumberFormat="1" applyFont="1" applyFill="1" applyBorder="1"/>
    <xf numFmtId="3" fontId="62" fillId="29" borderId="59" xfId="0" applyNumberFormat="1" applyFont="1" applyFill="1" applyBorder="1"/>
    <xf numFmtId="3" fontId="62" fillId="29" borderId="93" xfId="0" applyNumberFormat="1" applyFont="1" applyFill="1" applyBorder="1"/>
    <xf numFmtId="3" fontId="62" fillId="29" borderId="18" xfId="0" applyNumberFormat="1" applyFont="1" applyFill="1" applyBorder="1"/>
    <xf numFmtId="3" fontId="56" fillId="24" borderId="39" xfId="0" applyNumberFormat="1" applyFont="1" applyFill="1" applyBorder="1"/>
    <xf numFmtId="3" fontId="56" fillId="24" borderId="18" xfId="0" applyNumberFormat="1" applyFont="1" applyFill="1" applyBorder="1"/>
    <xf numFmtId="3" fontId="56" fillId="0" borderId="164" xfId="0" applyNumberFormat="1" applyFont="1" applyBorder="1"/>
    <xf numFmtId="3" fontId="69" fillId="0" borderId="70" xfId="0" applyNumberFormat="1" applyFont="1" applyFill="1" applyBorder="1"/>
    <xf numFmtId="3" fontId="89" fillId="29" borderId="70" xfId="0" applyNumberFormat="1" applyFont="1" applyFill="1" applyBorder="1"/>
    <xf numFmtId="3" fontId="89" fillId="29" borderId="165" xfId="0" applyNumberFormat="1" applyFont="1" applyFill="1" applyBorder="1"/>
    <xf numFmtId="3" fontId="89" fillId="29" borderId="22" xfId="0" applyNumberFormat="1" applyFont="1" applyFill="1" applyBorder="1"/>
    <xf numFmtId="3" fontId="69" fillId="24" borderId="70" xfId="0" applyNumberFormat="1" applyFont="1" applyFill="1" applyBorder="1"/>
    <xf numFmtId="3" fontId="69" fillId="24" borderId="10" xfId="0" applyNumberFormat="1" applyFont="1" applyFill="1" applyBorder="1"/>
    <xf numFmtId="3" fontId="62" fillId="29" borderId="166" xfId="0" applyNumberFormat="1" applyFont="1" applyFill="1" applyBorder="1"/>
    <xf numFmtId="3" fontId="69" fillId="0" borderId="37" xfId="0" applyNumberFormat="1" applyFont="1" applyBorder="1"/>
    <xf numFmtId="3" fontId="56" fillId="0" borderId="167" xfId="0" applyNumberFormat="1" applyFont="1" applyBorder="1"/>
    <xf numFmtId="3" fontId="56" fillId="0" borderId="167" xfId="0" applyNumberFormat="1" applyFont="1" applyFill="1" applyBorder="1"/>
    <xf numFmtId="3" fontId="56" fillId="0" borderId="126" xfId="0" applyNumberFormat="1" applyFont="1" applyBorder="1"/>
    <xf numFmtId="3" fontId="80" fillId="0" borderId="87" xfId="0" applyNumberFormat="1" applyFont="1" applyBorder="1"/>
    <xf numFmtId="3" fontId="80" fillId="0" borderId="87" xfId="80" applyNumberFormat="1" applyFont="1" applyFill="1" applyBorder="1"/>
    <xf numFmtId="3" fontId="56" fillId="0" borderId="168" xfId="0" applyNumberFormat="1" applyFont="1" applyBorder="1"/>
    <xf numFmtId="3" fontId="56" fillId="31" borderId="0" xfId="0" applyNumberFormat="1" applyFont="1" applyFill="1" applyBorder="1"/>
    <xf numFmtId="3" fontId="69" fillId="31" borderId="31" xfId="0" applyNumberFormat="1" applyFont="1" applyFill="1" applyBorder="1"/>
    <xf numFmtId="3" fontId="87" fillId="0" borderId="34" xfId="0" applyNumberFormat="1" applyFont="1" applyBorder="1" applyAlignment="1">
      <alignment horizontal="center"/>
    </xf>
    <xf numFmtId="3" fontId="87" fillId="0" borderId="41" xfId="0" applyNumberFormat="1" applyFont="1" applyBorder="1"/>
    <xf numFmtId="3" fontId="87" fillId="0" borderId="34" xfId="0" applyNumberFormat="1" applyFont="1" applyBorder="1"/>
    <xf numFmtId="3" fontId="87" fillId="0" borderId="108" xfId="0" applyNumberFormat="1" applyFont="1" applyBorder="1"/>
    <xf numFmtId="3" fontId="87" fillId="0" borderId="136" xfId="0" applyNumberFormat="1" applyFont="1" applyBorder="1"/>
    <xf numFmtId="3" fontId="56" fillId="0" borderId="169" xfId="0" applyNumberFormat="1" applyFont="1" applyBorder="1"/>
    <xf numFmtId="3" fontId="80" fillId="0" borderId="108" xfId="0" applyNumberFormat="1" applyFont="1" applyBorder="1"/>
    <xf numFmtId="3" fontId="80" fillId="0" borderId="108" xfId="80" applyNumberFormat="1" applyFont="1" applyFill="1" applyBorder="1"/>
    <xf numFmtId="0" fontId="69" fillId="0" borderId="108" xfId="0" applyFont="1" applyBorder="1"/>
    <xf numFmtId="3" fontId="69" fillId="0" borderId="110" xfId="0" applyNumberFormat="1" applyFont="1" applyFill="1" applyBorder="1"/>
    <xf numFmtId="3" fontId="56" fillId="31" borderId="34" xfId="0" applyNumberFormat="1" applyFont="1" applyFill="1" applyBorder="1"/>
    <xf numFmtId="3" fontId="69" fillId="31" borderId="23" xfId="0" applyNumberFormat="1" applyFont="1" applyFill="1" applyBorder="1"/>
    <xf numFmtId="3" fontId="87" fillId="0" borderId="38" xfId="0" applyNumberFormat="1" applyFont="1" applyBorder="1" applyAlignment="1">
      <alignment horizontal="center"/>
    </xf>
    <xf numFmtId="0" fontId="56" fillId="0" borderId="49" xfId="0" applyFont="1" applyBorder="1" applyAlignment="1">
      <alignment horizontal="center"/>
    </xf>
    <xf numFmtId="0" fontId="56" fillId="0" borderId="59" xfId="0" applyFont="1" applyBorder="1" applyAlignment="1">
      <alignment horizontal="center"/>
    </xf>
    <xf numFmtId="3" fontId="69" fillId="0" borderId="159" xfId="0" applyNumberFormat="1" applyFont="1" applyBorder="1"/>
    <xf numFmtId="3" fontId="69" fillId="0" borderId="119" xfId="0" applyNumberFormat="1" applyFont="1" applyBorder="1"/>
    <xf numFmtId="3" fontId="56" fillId="24" borderId="31" xfId="0" applyNumberFormat="1" applyFont="1" applyFill="1" applyBorder="1"/>
    <xf numFmtId="3" fontId="87" fillId="0" borderId="41" xfId="0" applyNumberFormat="1" applyFont="1" applyBorder="1" applyAlignment="1">
      <alignment horizontal="center"/>
    </xf>
    <xf numFmtId="3" fontId="87" fillId="0" borderId="23" xfId="0" applyNumberFormat="1" applyFont="1" applyBorder="1"/>
    <xf numFmtId="3" fontId="69" fillId="0" borderId="170" xfId="0" applyNumberFormat="1" applyFont="1" applyBorder="1"/>
    <xf numFmtId="3" fontId="69" fillId="0" borderId="122" xfId="0" applyNumberFormat="1" applyFont="1" applyBorder="1"/>
    <xf numFmtId="3" fontId="95" fillId="0" borderId="22" xfId="0" applyNumberFormat="1" applyFont="1" applyBorder="1"/>
    <xf numFmtId="3" fontId="105" fillId="0" borderId="108" xfId="0" applyNumberFormat="1" applyFont="1" applyBorder="1"/>
    <xf numFmtId="3" fontId="69" fillId="24" borderId="22" xfId="0" applyNumberFormat="1" applyFont="1" applyFill="1" applyBorder="1"/>
    <xf numFmtId="3" fontId="105" fillId="0" borderId="41" xfId="0" applyNumberFormat="1" applyFont="1" applyBorder="1"/>
    <xf numFmtId="0" fontId="56" fillId="0" borderId="88" xfId="0" applyFont="1" applyBorder="1" applyAlignment="1">
      <alignment horizontal="center"/>
    </xf>
    <xf numFmtId="0" fontId="56" fillId="0" borderId="140" xfId="0" applyFont="1" applyBorder="1" applyAlignment="1">
      <alignment horizontal="center"/>
    </xf>
    <xf numFmtId="0" fontId="69" fillId="0" borderId="81" xfId="0" applyFont="1" applyBorder="1"/>
    <xf numFmtId="3" fontId="89" fillId="29" borderId="36" xfId="0" applyNumberFormat="1" applyFont="1" applyFill="1" applyBorder="1"/>
    <xf numFmtId="3" fontId="69" fillId="0" borderId="171" xfId="0" applyNumberFormat="1" applyFont="1" applyBorder="1"/>
    <xf numFmtId="3" fontId="69" fillId="0" borderId="81" xfId="0" applyNumberFormat="1" applyFont="1" applyBorder="1"/>
    <xf numFmtId="3" fontId="69" fillId="24" borderId="36" xfId="0" applyNumberFormat="1" applyFont="1" applyFill="1" applyBorder="1"/>
    <xf numFmtId="3" fontId="95" fillId="0" borderId="38" xfId="0" applyNumberFormat="1" applyFont="1" applyFill="1" applyBorder="1"/>
    <xf numFmtId="0" fontId="69" fillId="0" borderId="19" xfId="0" applyFont="1" applyBorder="1" applyAlignment="1">
      <alignment horizontal="center"/>
    </xf>
    <xf numFmtId="0" fontId="69" fillId="0" borderId="75" xfId="0" applyFont="1" applyBorder="1"/>
    <xf numFmtId="3" fontId="89" fillId="29" borderId="19" xfId="0" applyNumberFormat="1" applyFont="1" applyFill="1" applyBorder="1"/>
    <xf numFmtId="3" fontId="69" fillId="0" borderId="75" xfId="0" applyNumberFormat="1" applyFont="1" applyBorder="1"/>
    <xf numFmtId="3" fontId="69" fillId="0" borderId="20" xfId="0" applyNumberFormat="1" applyFont="1" applyBorder="1"/>
    <xf numFmtId="3" fontId="69" fillId="0" borderId="172" xfId="0" applyNumberFormat="1" applyFont="1" applyBorder="1"/>
    <xf numFmtId="3" fontId="69" fillId="0" borderId="130" xfId="0" applyNumberFormat="1" applyFont="1" applyBorder="1"/>
    <xf numFmtId="3" fontId="95" fillId="0" borderId="111" xfId="0" applyNumberFormat="1" applyFont="1" applyFill="1" applyBorder="1"/>
    <xf numFmtId="3" fontId="69" fillId="24" borderId="19" xfId="0" applyNumberFormat="1" applyFont="1" applyFill="1" applyBorder="1"/>
    <xf numFmtId="3" fontId="69" fillId="0" borderId="111" xfId="0" applyNumberFormat="1" applyFont="1" applyBorder="1"/>
    <xf numFmtId="0" fontId="56" fillId="0" borderId="102" xfId="0" applyFont="1" applyBorder="1" applyAlignment="1">
      <alignment horizontal="center"/>
    </xf>
    <xf numFmtId="3" fontId="56" fillId="0" borderId="173" xfId="0" applyNumberFormat="1" applyFont="1" applyBorder="1"/>
    <xf numFmtId="0" fontId="89" fillId="0" borderId="63" xfId="0" applyFont="1" applyBorder="1" applyAlignment="1">
      <alignment horizontal="center"/>
    </xf>
    <xf numFmtId="0" fontId="89" fillId="0" borderId="159" xfId="0" applyFont="1" applyBorder="1" applyAlignment="1">
      <alignment horizontal="left"/>
    </xf>
    <xf numFmtId="0" fontId="89" fillId="0" borderId="70" xfId="0" applyFont="1" applyBorder="1"/>
    <xf numFmtId="3" fontId="89" fillId="0" borderId="174" xfId="0" applyNumberFormat="1" applyFont="1" applyBorder="1"/>
    <xf numFmtId="3" fontId="89" fillId="0" borderId="156" xfId="0" applyNumberFormat="1" applyFont="1" applyBorder="1"/>
    <xf numFmtId="3" fontId="106" fillId="0" borderId="175" xfId="0" applyNumberFormat="1" applyFont="1" applyBorder="1"/>
    <xf numFmtId="3" fontId="69" fillId="31" borderId="15" xfId="0" applyNumberFormat="1" applyFont="1" applyFill="1" applyBorder="1"/>
    <xf numFmtId="3" fontId="69" fillId="0" borderId="174" xfId="0" applyNumberFormat="1" applyFont="1" applyBorder="1"/>
    <xf numFmtId="0" fontId="56" fillId="0" borderId="11" xfId="80" applyFont="1" applyBorder="1" applyAlignment="1">
      <alignment horizontal="center"/>
    </xf>
    <xf numFmtId="3" fontId="80" fillId="0" borderId="58" xfId="80" applyNumberFormat="1" applyFont="1" applyFill="1" applyBorder="1"/>
    <xf numFmtId="3" fontId="56" fillId="0" borderId="89" xfId="0" applyNumberFormat="1" applyFont="1" applyBorder="1"/>
    <xf numFmtId="3" fontId="56" fillId="0" borderId="91" xfId="0" applyNumberFormat="1" applyFont="1" applyBorder="1"/>
    <xf numFmtId="3" fontId="56" fillId="31" borderId="123" xfId="0" applyNumberFormat="1" applyFont="1" applyFill="1" applyBorder="1"/>
    <xf numFmtId="3" fontId="69" fillId="0" borderId="169" xfId="0" applyNumberFormat="1" applyFont="1" applyBorder="1"/>
    <xf numFmtId="0" fontId="89" fillId="0" borderId="15" xfId="0" applyFont="1" applyBorder="1" applyAlignment="1">
      <alignment horizontal="center"/>
    </xf>
    <xf numFmtId="3" fontId="56" fillId="31" borderId="15" xfId="0" applyNumberFormat="1" applyFont="1" applyFill="1" applyBorder="1"/>
    <xf numFmtId="3" fontId="69" fillId="0" borderId="155" xfId="0" applyNumberFormat="1" applyFont="1" applyBorder="1"/>
    <xf numFmtId="3" fontId="69" fillId="0" borderId="165" xfId="0" applyNumberFormat="1" applyFont="1" applyBorder="1"/>
    <xf numFmtId="0" fontId="56" fillId="0" borderId="30" xfId="0" applyFont="1" applyBorder="1" applyAlignment="1">
      <alignment horizontal="center"/>
    </xf>
    <xf numFmtId="3" fontId="62" fillId="29" borderId="88" xfId="0" applyNumberFormat="1" applyFont="1" applyFill="1" applyBorder="1"/>
    <xf numFmtId="3" fontId="69" fillId="0" borderId="90" xfId="0" applyNumberFormat="1" applyFont="1" applyFill="1" applyBorder="1"/>
    <xf numFmtId="3" fontId="69" fillId="0" borderId="99" xfId="0" applyNumberFormat="1" applyFont="1" applyFill="1" applyBorder="1"/>
    <xf numFmtId="0" fontId="69" fillId="0" borderId="70" xfId="0" applyFont="1" applyBorder="1" applyAlignment="1">
      <alignment horizontal="left"/>
    </xf>
    <xf numFmtId="0" fontId="58" fillId="0" borderId="63" xfId="0" applyFont="1" applyFill="1" applyBorder="1" applyAlignment="1">
      <alignment horizontal="right"/>
    </xf>
    <xf numFmtId="0" fontId="58" fillId="0" borderId="151" xfId="0" applyFont="1" applyFill="1" applyBorder="1" applyAlignment="1">
      <alignment horizontal="right"/>
    </xf>
    <xf numFmtId="0" fontId="58" fillId="0" borderId="121" xfId="0" applyFont="1" applyBorder="1" applyAlignment="1">
      <alignment horizontal="right"/>
    </xf>
    <xf numFmtId="0" fontId="58" fillId="0" borderId="141" xfId="0" applyFont="1" applyBorder="1"/>
    <xf numFmtId="0" fontId="58" fillId="0" borderId="107" xfId="0" applyFont="1" applyBorder="1" applyAlignment="1">
      <alignment horizontal="right"/>
    </xf>
    <xf numFmtId="0" fontId="58" fillId="0" borderId="143" xfId="0" applyFont="1" applyBorder="1"/>
    <xf numFmtId="0" fontId="58" fillId="0" borderId="102" xfId="0" applyFont="1" applyBorder="1" applyAlignment="1">
      <alignment horizontal="right"/>
    </xf>
    <xf numFmtId="0" fontId="58" fillId="0" borderId="176" xfId="0" applyFont="1" applyBorder="1"/>
    <xf numFmtId="0" fontId="57" fillId="0" borderId="56" xfId="0" applyFont="1" applyBorder="1"/>
    <xf numFmtId="0" fontId="57" fillId="0" borderId="58" xfId="0" applyFont="1" applyBorder="1"/>
    <xf numFmtId="0" fontId="58" fillId="0" borderId="61" xfId="0" applyFont="1" applyBorder="1"/>
    <xf numFmtId="0" fontId="0" fillId="0" borderId="0" xfId="0" applyFont="1"/>
    <xf numFmtId="3" fontId="42" fillId="0" borderId="10" xfId="0" applyNumberFormat="1" applyFont="1" applyBorder="1"/>
    <xf numFmtId="0" fontId="107" fillId="36" borderId="36" xfId="0" applyFont="1" applyFill="1" applyBorder="1" applyAlignment="1">
      <alignment horizontal="center"/>
    </xf>
    <xf numFmtId="0" fontId="107" fillId="36" borderId="25" xfId="0" applyFont="1" applyFill="1" applyBorder="1" applyAlignment="1">
      <alignment horizontal="center"/>
    </xf>
    <xf numFmtId="0" fontId="107" fillId="36" borderId="140" xfId="0" applyFont="1" applyFill="1" applyBorder="1" applyAlignment="1">
      <alignment horizontal="center"/>
    </xf>
    <xf numFmtId="0" fontId="107" fillId="36" borderId="17" xfId="0" applyFont="1" applyFill="1" applyBorder="1" applyAlignment="1">
      <alignment horizontal="center"/>
    </xf>
    <xf numFmtId="3" fontId="107" fillId="36" borderId="123" xfId="0" applyNumberFormat="1" applyFont="1" applyFill="1" applyBorder="1"/>
    <xf numFmtId="3" fontId="107" fillId="36" borderId="79" xfId="0" applyNumberFormat="1" applyFont="1" applyFill="1" applyBorder="1"/>
    <xf numFmtId="3" fontId="108" fillId="36" borderId="15" xfId="0" applyNumberFormat="1" applyFont="1" applyFill="1" applyBorder="1"/>
    <xf numFmtId="3" fontId="107" fillId="36" borderId="36" xfId="0" applyNumberFormat="1" applyFont="1" applyFill="1" applyBorder="1"/>
    <xf numFmtId="3" fontId="107" fillId="36" borderId="88" xfId="0" applyNumberFormat="1" applyFont="1" applyFill="1" applyBorder="1"/>
    <xf numFmtId="3" fontId="107" fillId="36" borderId="153" xfId="0" applyNumberFormat="1" applyFont="1" applyFill="1" applyBorder="1"/>
    <xf numFmtId="3" fontId="108" fillId="36" borderId="140" xfId="0" applyNumberFormat="1" applyFont="1" applyFill="1" applyBorder="1"/>
    <xf numFmtId="3" fontId="107" fillId="36" borderId="17" xfId="0" applyNumberFormat="1" applyFont="1" applyFill="1" applyBorder="1"/>
    <xf numFmtId="3" fontId="69" fillId="0" borderId="67" xfId="0" applyNumberFormat="1" applyFont="1" applyFill="1" applyBorder="1"/>
    <xf numFmtId="3" fontId="69" fillId="0" borderId="177" xfId="0" applyNumberFormat="1" applyFont="1" applyFill="1" applyBorder="1"/>
    <xf numFmtId="0" fontId="42" fillId="0" borderId="10" xfId="0" applyFont="1" applyFill="1" applyBorder="1"/>
    <xf numFmtId="0" fontId="43" fillId="0" borderId="10" xfId="0" applyFont="1" applyFill="1" applyBorder="1" applyAlignment="1">
      <alignment horizontal="right"/>
    </xf>
    <xf numFmtId="3" fontId="43" fillId="0" borderId="10" xfId="0" applyNumberFormat="1" applyFont="1" applyBorder="1"/>
    <xf numFmtId="3" fontId="109" fillId="0" borderId="0" xfId="0" applyNumberFormat="1" applyFont="1"/>
    <xf numFmtId="10" fontId="56" fillId="0" borderId="10" xfId="0" applyNumberFormat="1" applyFont="1" applyBorder="1"/>
    <xf numFmtId="3" fontId="40" fillId="0" borderId="0" xfId="0" applyNumberFormat="1" applyFont="1" applyBorder="1"/>
    <xf numFmtId="0" fontId="43" fillId="0" borderId="0" xfId="0" applyFont="1" applyFill="1" applyBorder="1" applyAlignment="1">
      <alignment horizontal="left"/>
    </xf>
    <xf numFmtId="0" fontId="58" fillId="0" borderId="56" xfId="0" applyFont="1" applyBorder="1" applyAlignment="1">
      <alignment vertical="center"/>
    </xf>
    <xf numFmtId="0" fontId="58" fillId="0" borderId="53" xfId="0" applyFont="1" applyBorder="1" applyAlignment="1">
      <alignment vertical="center"/>
    </xf>
    <xf numFmtId="0" fontId="60" fillId="0" borderId="125" xfId="0" applyFont="1" applyBorder="1" applyAlignment="1">
      <alignment horizontal="center" vertical="center"/>
    </xf>
    <xf numFmtId="0" fontId="57" fillId="0" borderId="55" xfId="0" applyFont="1" applyBorder="1" applyAlignment="1">
      <alignment horizontal="left" vertical="center" wrapText="1"/>
    </xf>
    <xf numFmtId="3" fontId="56" fillId="0" borderId="52" xfId="0" applyNumberFormat="1" applyFont="1" applyBorder="1" applyAlignment="1">
      <alignment vertical="center"/>
    </xf>
    <xf numFmtId="3" fontId="58" fillId="0" borderId="53" xfId="0" applyNumberFormat="1" applyFont="1" applyBorder="1" applyAlignment="1">
      <alignment vertical="center"/>
    </xf>
    <xf numFmtId="3" fontId="58" fillId="0" borderId="83" xfId="0" applyNumberFormat="1" applyFont="1" applyBorder="1" applyAlignment="1">
      <alignment vertical="center"/>
    </xf>
    <xf numFmtId="3" fontId="57" fillId="0" borderId="54" xfId="0" applyNumberFormat="1" applyFont="1" applyBorder="1" applyAlignment="1">
      <alignment vertical="center"/>
    </xf>
    <xf numFmtId="0" fontId="110" fillId="0" borderId="143" xfId="0" applyFont="1" applyFill="1" applyBorder="1" applyAlignment="1">
      <alignment horizontal="left"/>
    </xf>
    <xf numFmtId="3" fontId="93" fillId="0" borderId="0" xfId="0" applyNumberFormat="1" applyFont="1" applyFill="1" applyAlignment="1">
      <alignment horizontal="left"/>
    </xf>
    <xf numFmtId="10" fontId="56" fillId="0" borderId="14" xfId="0" applyNumberFormat="1" applyFont="1" applyBorder="1"/>
    <xf numFmtId="168" fontId="57" fillId="26" borderId="21" xfId="0" applyNumberFormat="1" applyFont="1" applyFill="1" applyBorder="1" applyAlignment="1">
      <alignment horizontal="center" wrapText="1"/>
    </xf>
    <xf numFmtId="168" fontId="57" fillId="26" borderId="14" xfId="0" applyNumberFormat="1" applyFont="1" applyFill="1" applyBorder="1" applyAlignment="1">
      <alignment horizontal="center" wrapText="1"/>
    </xf>
    <xf numFmtId="0" fontId="70" fillId="0" borderId="0" xfId="0" applyFont="1" applyAlignment="1">
      <alignment horizontal="right"/>
    </xf>
    <xf numFmtId="0" fontId="76" fillId="32" borderId="0" xfId="0" applyFont="1" applyFill="1" applyBorder="1"/>
    <xf numFmtId="0" fontId="60" fillId="0" borderId="99" xfId="0" applyFont="1" applyBorder="1" applyAlignment="1">
      <alignment horizontal="center"/>
    </xf>
    <xf numFmtId="0" fontId="76" fillId="32" borderId="58" xfId="0" applyFont="1" applyFill="1" applyBorder="1" applyAlignment="1">
      <alignment horizontal="left"/>
    </xf>
    <xf numFmtId="3" fontId="76" fillId="32" borderId="25" xfId="0" applyNumberFormat="1" applyFont="1" applyFill="1" applyBorder="1"/>
    <xf numFmtId="3" fontId="76" fillId="32" borderId="0" xfId="0" applyNumberFormat="1" applyFont="1" applyFill="1" applyBorder="1"/>
    <xf numFmtId="3" fontId="76" fillId="32" borderId="98" xfId="0" applyNumberFormat="1" applyFont="1" applyFill="1" applyBorder="1"/>
    <xf numFmtId="3" fontId="76" fillId="32" borderId="99" xfId="0" applyNumberFormat="1" applyFont="1" applyFill="1" applyBorder="1"/>
    <xf numFmtId="3" fontId="76" fillId="0" borderId="57" xfId="0" applyNumberFormat="1" applyFont="1" applyBorder="1"/>
    <xf numFmtId="0" fontId="58" fillId="0" borderId="178" xfId="0" applyFont="1" applyBorder="1"/>
    <xf numFmtId="0" fontId="60" fillId="0" borderId="139" xfId="0" applyFont="1" applyBorder="1" applyAlignment="1">
      <alignment horizontal="center"/>
    </xf>
    <xf numFmtId="0" fontId="57" fillId="0" borderId="179" xfId="0" applyFont="1" applyBorder="1" applyAlignment="1">
      <alignment horizontal="left"/>
    </xf>
    <xf numFmtId="3" fontId="56" fillId="0" borderId="180" xfId="0" applyNumberFormat="1" applyFont="1" applyBorder="1"/>
    <xf numFmtId="3" fontId="58" fillId="0" borderId="178" xfId="0" applyNumberFormat="1" applyFont="1" applyBorder="1"/>
    <xf numFmtId="3" fontId="58" fillId="0" borderId="181" xfId="0" applyNumberFormat="1" applyFont="1" applyBorder="1"/>
    <xf numFmtId="3" fontId="57" fillId="0" borderId="162" xfId="0" applyNumberFormat="1" applyFont="1" applyBorder="1"/>
    <xf numFmtId="3" fontId="56" fillId="0" borderId="27" xfId="0" applyNumberFormat="1" applyFont="1" applyBorder="1"/>
    <xf numFmtId="3" fontId="56" fillId="0" borderId="137" xfId="0" applyNumberFormat="1" applyFont="1" applyBorder="1"/>
    <xf numFmtId="3" fontId="69" fillId="0" borderId="182" xfId="0" applyNumberFormat="1" applyFont="1" applyBorder="1"/>
    <xf numFmtId="0" fontId="69" fillId="0" borderId="166" xfId="0" applyFont="1" applyBorder="1" applyAlignment="1">
      <alignment horizontal="center"/>
    </xf>
    <xf numFmtId="0" fontId="60" fillId="0" borderId="0" xfId="0" applyFont="1" applyAlignment="1">
      <alignment vertical="center"/>
    </xf>
    <xf numFmtId="0" fontId="69" fillId="0" borderId="0" xfId="0" applyFont="1" applyAlignment="1">
      <alignment vertical="center"/>
    </xf>
    <xf numFmtId="3" fontId="69" fillId="0" borderId="0" xfId="0" applyNumberFormat="1" applyFont="1" applyAlignment="1">
      <alignment vertical="center"/>
    </xf>
    <xf numFmtId="3" fontId="100" fillId="0" borderId="0" xfId="0" applyNumberFormat="1" applyFont="1" applyAlignment="1">
      <alignment vertical="center"/>
    </xf>
    <xf numFmtId="3" fontId="68" fillId="0" borderId="0" xfId="0" applyNumberFormat="1" applyFont="1" applyAlignment="1">
      <alignment vertical="center"/>
    </xf>
    <xf numFmtId="3" fontId="56" fillId="0" borderId="0" xfId="0" applyNumberFormat="1" applyFont="1" applyAlignment="1">
      <alignment vertical="center"/>
    </xf>
    <xf numFmtId="0" fontId="56" fillId="0" borderId="0" xfId="0" applyFont="1" applyAlignment="1">
      <alignment vertical="center"/>
    </xf>
    <xf numFmtId="0" fontId="99" fillId="0" borderId="0" xfId="0" applyFont="1" applyAlignment="1">
      <alignment vertical="center"/>
    </xf>
    <xf numFmtId="0" fontId="98" fillId="0" borderId="0" xfId="0" applyFont="1" applyAlignment="1">
      <alignment vertical="center"/>
    </xf>
    <xf numFmtId="3" fontId="98" fillId="0" borderId="0" xfId="0" applyNumberFormat="1" applyFont="1" applyAlignment="1">
      <alignment vertical="center"/>
    </xf>
    <xf numFmtId="4" fontId="100" fillId="0" borderId="0" xfId="0" applyNumberFormat="1" applyFont="1" applyAlignment="1">
      <alignment vertical="center"/>
    </xf>
    <xf numFmtId="3" fontId="56" fillId="0" borderId="71" xfId="0" applyNumberFormat="1" applyFont="1" applyBorder="1"/>
    <xf numFmtId="3" fontId="56" fillId="0" borderId="70" xfId="0" applyNumberFormat="1" applyFont="1" applyBorder="1"/>
    <xf numFmtId="0" fontId="112" fillId="0" borderId="0" xfId="0" applyFont="1" applyAlignment="1">
      <alignment vertical="center"/>
    </xf>
    <xf numFmtId="3" fontId="83" fillId="29" borderId="79" xfId="0" applyNumberFormat="1" applyFont="1" applyFill="1" applyBorder="1"/>
    <xf numFmtId="3" fontId="83" fillId="29" borderId="123" xfId="0" applyNumberFormat="1" applyFont="1" applyFill="1" applyBorder="1"/>
    <xf numFmtId="3" fontId="83" fillId="29" borderId="88" xfId="0" applyNumberFormat="1" applyFont="1" applyFill="1" applyBorder="1"/>
    <xf numFmtId="3" fontId="113" fillId="0" borderId="0" xfId="0" applyNumberFormat="1" applyFont="1" applyAlignment="1">
      <alignment vertical="center"/>
    </xf>
    <xf numFmtId="3" fontId="114" fillId="0" borderId="0" xfId="0" applyNumberFormat="1" applyFont="1" applyAlignment="1">
      <alignment vertical="center"/>
    </xf>
    <xf numFmtId="3" fontId="93" fillId="0" borderId="0" xfId="0" applyNumberFormat="1" applyFont="1"/>
    <xf numFmtId="3" fontId="113" fillId="0" borderId="0" xfId="0" applyNumberFormat="1" applyFont="1"/>
    <xf numFmtId="4" fontId="93" fillId="0" borderId="0" xfId="0" applyNumberFormat="1" applyFont="1"/>
    <xf numFmtId="3" fontId="56" fillId="39" borderId="62" xfId="0" applyNumberFormat="1" applyFont="1" applyFill="1" applyBorder="1"/>
    <xf numFmtId="3" fontId="56" fillId="39" borderId="60" xfId="0" applyNumberFormat="1" applyFont="1" applyFill="1" applyBorder="1"/>
    <xf numFmtId="3" fontId="80" fillId="38" borderId="142" xfId="0" applyNumberFormat="1" applyFont="1" applyFill="1" applyBorder="1"/>
    <xf numFmtId="3" fontId="80" fillId="36" borderId="86" xfId="0" applyNumberFormat="1" applyFont="1" applyFill="1" applyBorder="1"/>
    <xf numFmtId="3" fontId="80" fillId="36" borderId="125" xfId="0" applyNumberFormat="1" applyFont="1" applyFill="1" applyBorder="1"/>
    <xf numFmtId="3" fontId="115" fillId="0" borderId="0" xfId="0" applyNumberFormat="1" applyFont="1"/>
    <xf numFmtId="3" fontId="115" fillId="0" borderId="140" xfId="0" applyNumberFormat="1" applyFont="1" applyFill="1" applyBorder="1"/>
    <xf numFmtId="3" fontId="115" fillId="0" borderId="40" xfId="0" applyNumberFormat="1" applyFont="1" applyFill="1" applyBorder="1"/>
    <xf numFmtId="0" fontId="61" fillId="0" borderId="0" xfId="80" applyFont="1" applyAlignment="1">
      <alignment horizontal="left"/>
    </xf>
    <xf numFmtId="0" fontId="61" fillId="0" borderId="0" xfId="80" applyFont="1" applyAlignment="1">
      <alignment horizontal="center"/>
    </xf>
    <xf numFmtId="0" fontId="61" fillId="0" borderId="0" xfId="80" applyFont="1" applyAlignment="1"/>
    <xf numFmtId="0" fontId="116" fillId="0" borderId="0" xfId="80" applyFont="1"/>
    <xf numFmtId="0" fontId="110" fillId="0" borderId="0" xfId="80" applyFont="1"/>
    <xf numFmtId="0" fontId="117" fillId="0" borderId="0" xfId="80" applyFont="1"/>
    <xf numFmtId="0" fontId="70" fillId="0" borderId="0" xfId="80" applyFont="1" applyAlignment="1">
      <alignment horizontal="left"/>
    </xf>
    <xf numFmtId="0" fontId="118" fillId="0" borderId="0" xfId="80" applyFont="1" applyAlignment="1">
      <alignment horizontal="left"/>
    </xf>
    <xf numFmtId="49" fontId="119" fillId="0" borderId="0" xfId="80" applyNumberFormat="1" applyFont="1" applyAlignment="1">
      <alignment horizontal="center" wrapText="1"/>
    </xf>
    <xf numFmtId="0" fontId="120" fillId="0" borderId="0" xfId="80" applyFont="1" applyAlignment="1">
      <alignment horizontal="left"/>
    </xf>
    <xf numFmtId="0" fontId="120" fillId="0" borderId="0" xfId="80" applyFont="1" applyAlignment="1">
      <alignment horizontal="center"/>
    </xf>
    <xf numFmtId="0" fontId="120" fillId="0" borderId="0" xfId="80" applyFont="1" applyAlignment="1"/>
    <xf numFmtId="0" fontId="120" fillId="0" borderId="0" xfId="80" applyFont="1"/>
    <xf numFmtId="0" fontId="121" fillId="0" borderId="0" xfId="80" applyFont="1"/>
    <xf numFmtId="0" fontId="116" fillId="0" borderId="0" xfId="80" applyFont="1" applyAlignment="1">
      <alignment horizontal="center"/>
    </xf>
    <xf numFmtId="0" fontId="116" fillId="0" borderId="0" xfId="80" applyFont="1" applyAlignment="1"/>
    <xf numFmtId="0" fontId="122" fillId="0" borderId="0" xfId="80" applyFont="1"/>
    <xf numFmtId="14" fontId="123" fillId="0" borderId="0" xfId="80" applyNumberFormat="1" applyFont="1"/>
    <xf numFmtId="49" fontId="119" fillId="0" borderId="0" xfId="80" applyNumberFormat="1" applyFont="1" applyAlignment="1">
      <alignment horizontal="center"/>
    </xf>
    <xf numFmtId="0" fontId="110" fillId="0" borderId="65" xfId="80" applyFont="1" applyBorder="1" applyAlignment="1">
      <alignment horizontal="center"/>
    </xf>
    <xf numFmtId="0" fontId="110" fillId="0" borderId="32" xfId="80" applyFont="1" applyBorder="1" applyAlignment="1">
      <alignment horizontal="center"/>
    </xf>
    <xf numFmtId="0" fontId="110" fillId="0" borderId="44" xfId="80" applyFont="1" applyBorder="1" applyAlignment="1"/>
    <xf numFmtId="0" fontId="110" fillId="0" borderId="183" xfId="80" applyFont="1" applyBorder="1"/>
    <xf numFmtId="0" fontId="124" fillId="0" borderId="24" xfId="80" applyFont="1" applyBorder="1" applyAlignment="1">
      <alignment horizontal="center"/>
    </xf>
    <xf numFmtId="0" fontId="124" fillId="0" borderId="33" xfId="80" applyFont="1" applyBorder="1" applyAlignment="1">
      <alignment horizontal="center"/>
    </xf>
    <xf numFmtId="0" fontId="110" fillId="0" borderId="188" xfId="80" applyFont="1" applyBorder="1" applyAlignment="1">
      <alignment horizontal="center"/>
    </xf>
    <xf numFmtId="0" fontId="110" fillId="0" borderId="189" xfId="80" applyFont="1" applyBorder="1" applyAlignment="1">
      <alignment horizontal="center"/>
    </xf>
    <xf numFmtId="0" fontId="110" fillId="0" borderId="190" xfId="80" applyFont="1" applyBorder="1" applyAlignment="1"/>
    <xf numFmtId="0" fontId="110" fillId="0" borderId="190" xfId="80" applyFont="1" applyBorder="1"/>
    <xf numFmtId="0" fontId="124" fillId="0" borderId="192" xfId="80" applyFont="1" applyBorder="1" applyAlignment="1">
      <alignment horizontal="center"/>
    </xf>
    <xf numFmtId="0" fontId="124" fillId="0" borderId="191" xfId="80" applyFont="1" applyBorder="1" applyAlignment="1">
      <alignment horizontal="center"/>
    </xf>
    <xf numFmtId="0" fontId="125" fillId="33" borderId="68" xfId="80" applyFont="1" applyFill="1" applyBorder="1" applyAlignment="1">
      <alignment horizontal="center"/>
    </xf>
    <xf numFmtId="0" fontId="125" fillId="33" borderId="12" xfId="80" applyFont="1" applyFill="1" applyBorder="1" applyAlignment="1">
      <alignment horizontal="center"/>
    </xf>
    <xf numFmtId="0" fontId="125" fillId="33" borderId="12" xfId="80" applyFont="1" applyFill="1" applyBorder="1" applyAlignment="1"/>
    <xf numFmtId="0" fontId="125" fillId="33" borderId="184" xfId="80" applyFont="1" applyFill="1" applyBorder="1" applyAlignment="1">
      <alignment horizontal="left"/>
    </xf>
    <xf numFmtId="3" fontId="125" fillId="33" borderId="35" xfId="80" applyNumberFormat="1" applyFont="1" applyFill="1" applyBorder="1" applyAlignment="1">
      <alignment horizontal="right"/>
    </xf>
    <xf numFmtId="3" fontId="125" fillId="33" borderId="27" xfId="80" applyNumberFormat="1" applyFont="1" applyFill="1" applyBorder="1" applyAlignment="1">
      <alignment horizontal="right"/>
    </xf>
    <xf numFmtId="0" fontId="110" fillId="29" borderId="63" xfId="80" applyFont="1" applyFill="1" applyBorder="1" applyAlignment="1">
      <alignment horizontal="center"/>
    </xf>
    <xf numFmtId="0" fontId="110" fillId="29" borderId="10" xfId="80" applyFont="1" applyFill="1" applyBorder="1" applyAlignment="1">
      <alignment horizontal="center"/>
    </xf>
    <xf numFmtId="0" fontId="110" fillId="29" borderId="159" xfId="80" applyFont="1" applyFill="1" applyBorder="1" applyAlignment="1"/>
    <xf numFmtId="0" fontId="110" fillId="29" borderId="159" xfId="80" applyFont="1" applyFill="1" applyBorder="1"/>
    <xf numFmtId="3" fontId="124" fillId="29" borderId="22" xfId="80" applyNumberFormat="1" applyFont="1" applyFill="1" applyBorder="1"/>
    <xf numFmtId="3" fontId="124" fillId="29" borderId="15" xfId="80" applyNumberFormat="1" applyFont="1" applyFill="1" applyBorder="1"/>
    <xf numFmtId="3" fontId="124" fillId="29" borderId="10" xfId="80" applyNumberFormat="1" applyFont="1" applyFill="1" applyBorder="1"/>
    <xf numFmtId="0" fontId="110" fillId="0" borderId="63" xfId="80" applyFont="1" applyFill="1" applyBorder="1" applyAlignment="1">
      <alignment horizontal="center"/>
    </xf>
    <xf numFmtId="0" fontId="110" fillId="0" borderId="10" xfId="80" applyFont="1" applyFill="1" applyBorder="1" applyAlignment="1">
      <alignment horizontal="center"/>
    </xf>
    <xf numFmtId="0" fontId="110" fillId="0" borderId="159" xfId="80" applyFont="1" applyFill="1" applyBorder="1" applyAlignment="1"/>
    <xf numFmtId="0" fontId="110" fillId="0" borderId="159" xfId="80" applyFont="1" applyFill="1" applyBorder="1"/>
    <xf numFmtId="3" fontId="124" fillId="42" borderId="22" xfId="80" applyNumberFormat="1" applyFont="1" applyFill="1" applyBorder="1"/>
    <xf numFmtId="3" fontId="110" fillId="0" borderId="22" xfId="80" applyNumberFormat="1" applyFont="1" applyFill="1" applyBorder="1"/>
    <xf numFmtId="3" fontId="124" fillId="0" borderId="15" xfId="80" applyNumberFormat="1" applyFont="1" applyFill="1" applyBorder="1"/>
    <xf numFmtId="3" fontId="124" fillId="0" borderId="10" xfId="80" applyNumberFormat="1" applyFont="1" applyFill="1" applyBorder="1"/>
    <xf numFmtId="3" fontId="124" fillId="29" borderId="22" xfId="80" applyNumberFormat="1" applyFont="1" applyFill="1" applyBorder="1" applyAlignment="1">
      <alignment horizontal="right"/>
    </xf>
    <xf numFmtId="3" fontId="124" fillId="29" borderId="15" xfId="80" applyNumberFormat="1" applyFont="1" applyFill="1" applyBorder="1" applyAlignment="1">
      <alignment horizontal="right"/>
    </xf>
    <xf numFmtId="3" fontId="124" fillId="29" borderId="10" xfId="80" applyNumberFormat="1" applyFont="1" applyFill="1" applyBorder="1" applyAlignment="1">
      <alignment horizontal="right"/>
    </xf>
    <xf numFmtId="0" fontId="123" fillId="0" borderId="63" xfId="80" applyFont="1" applyBorder="1" applyAlignment="1">
      <alignment horizontal="center"/>
    </xf>
    <xf numFmtId="0" fontId="123" fillId="0" borderId="159" xfId="80" applyFont="1" applyBorder="1"/>
    <xf numFmtId="3" fontId="124" fillId="42" borderId="22" xfId="80" applyNumberFormat="1" applyFont="1" applyFill="1" applyBorder="1" applyAlignment="1">
      <alignment horizontal="right"/>
    </xf>
    <xf numFmtId="3" fontId="124" fillId="0" borderId="15" xfId="80" applyNumberFormat="1" applyFont="1" applyFill="1" applyBorder="1" applyAlignment="1">
      <alignment horizontal="right"/>
    </xf>
    <xf numFmtId="3" fontId="124" fillId="0" borderId="10" xfId="80" applyNumberFormat="1" applyFont="1" applyFill="1" applyBorder="1" applyAlignment="1">
      <alignment horizontal="right"/>
    </xf>
    <xf numFmtId="3" fontId="119" fillId="0" borderId="15" xfId="80" applyNumberFormat="1" applyFont="1" applyFill="1" applyBorder="1" applyAlignment="1">
      <alignment horizontal="right"/>
    </xf>
    <xf numFmtId="3" fontId="119" fillId="0" borderId="10" xfId="80" applyNumberFormat="1" applyFont="1" applyFill="1" applyBorder="1" applyAlignment="1">
      <alignment horizontal="right"/>
    </xf>
    <xf numFmtId="0" fontId="110" fillId="29" borderId="74" xfId="80" applyFont="1" applyFill="1" applyBorder="1" applyAlignment="1">
      <alignment horizontal="center" vertical="center"/>
    </xf>
    <xf numFmtId="0" fontId="110" fillId="29" borderId="20" xfId="80" applyFont="1" applyFill="1" applyBorder="1" applyAlignment="1">
      <alignment horizontal="center" vertical="center"/>
    </xf>
    <xf numFmtId="0" fontId="110" fillId="29" borderId="172" xfId="80" applyFont="1" applyFill="1" applyBorder="1" applyAlignment="1">
      <alignment vertical="center"/>
    </xf>
    <xf numFmtId="3" fontId="124" fillId="29" borderId="19" xfId="80" applyNumberFormat="1" applyFont="1" applyFill="1" applyBorder="1" applyAlignment="1">
      <alignment horizontal="right" vertical="center"/>
    </xf>
    <xf numFmtId="3" fontId="124" fillId="41" borderId="111" xfId="80" applyNumberFormat="1" applyFont="1" applyFill="1" applyBorder="1" applyAlignment="1">
      <alignment horizontal="right" vertical="center"/>
    </xf>
    <xf numFmtId="3" fontId="124" fillId="29" borderId="20" xfId="80" applyNumberFormat="1" applyFont="1" applyFill="1" applyBorder="1" applyAlignment="1">
      <alignment horizontal="right" vertical="center"/>
    </xf>
    <xf numFmtId="0" fontId="125" fillId="33" borderId="13" xfId="80" applyFont="1" applyFill="1" applyBorder="1" applyAlignment="1">
      <alignment horizontal="center"/>
    </xf>
    <xf numFmtId="0" fontId="125" fillId="33" borderId="72" xfId="80" applyFont="1" applyFill="1" applyBorder="1" applyAlignment="1">
      <alignment horizontal="center"/>
    </xf>
    <xf numFmtId="0" fontId="125" fillId="33" borderId="14" xfId="80" applyFont="1" applyFill="1" applyBorder="1" applyAlignment="1"/>
    <xf numFmtId="0" fontId="125" fillId="33" borderId="183" xfId="80" applyFont="1" applyFill="1" applyBorder="1" applyAlignment="1">
      <alignment horizontal="left"/>
    </xf>
    <xf numFmtId="3" fontId="125" fillId="33" borderId="21" xfId="80" applyNumberFormat="1" applyFont="1" applyFill="1" applyBorder="1" applyAlignment="1">
      <alignment horizontal="right"/>
    </xf>
    <xf numFmtId="0" fontId="127" fillId="33" borderId="13" xfId="80" applyFont="1" applyFill="1" applyBorder="1" applyAlignment="1">
      <alignment horizontal="center"/>
    </xf>
    <xf numFmtId="0" fontId="119" fillId="33" borderId="21" xfId="80" applyFont="1" applyFill="1" applyBorder="1" applyAlignment="1">
      <alignment horizontal="center"/>
    </xf>
    <xf numFmtId="0" fontId="110" fillId="0" borderId="15" xfId="80" applyFont="1" applyBorder="1" applyAlignment="1">
      <alignment horizontal="center"/>
    </xf>
    <xf numFmtId="0" fontId="110" fillId="0" borderId="70" xfId="80" applyFont="1" applyBorder="1" applyAlignment="1">
      <alignment horizontal="center"/>
    </xf>
    <xf numFmtId="49" fontId="126" fillId="0" borderId="15" xfId="80" applyNumberFormat="1" applyFont="1" applyFill="1" applyBorder="1" applyAlignment="1">
      <alignment horizontal="center"/>
    </xf>
    <xf numFmtId="0" fontId="126" fillId="0" borderId="22" xfId="80" applyFont="1" applyBorder="1" applyAlignment="1">
      <alignment horizontal="center"/>
    </xf>
    <xf numFmtId="0" fontId="110" fillId="0" borderId="159" xfId="80" applyFont="1" applyBorder="1"/>
    <xf numFmtId="0" fontId="129" fillId="0" borderId="159" xfId="80" applyFont="1" applyFill="1" applyBorder="1"/>
    <xf numFmtId="3" fontId="110" fillId="0" borderId="0" xfId="80" applyNumberFormat="1" applyFont="1" applyFill="1" applyBorder="1" applyAlignment="1">
      <alignment horizontal="left" wrapText="1"/>
    </xf>
    <xf numFmtId="0" fontId="110" fillId="43" borderId="15" xfId="80" applyFont="1" applyFill="1" applyBorder="1" applyAlignment="1">
      <alignment horizontal="center"/>
    </xf>
    <xf numFmtId="0" fontId="110" fillId="43" borderId="70" xfId="80" applyFont="1" applyFill="1" applyBorder="1" applyAlignment="1">
      <alignment horizontal="center"/>
    </xf>
    <xf numFmtId="0" fontId="110" fillId="43" borderId="159" xfId="80" applyFont="1" applyFill="1" applyBorder="1" applyAlignment="1"/>
    <xf numFmtId="49" fontId="126" fillId="43" borderId="15" xfId="80" applyNumberFormat="1" applyFont="1" applyFill="1" applyBorder="1" applyAlignment="1">
      <alignment horizontal="center"/>
    </xf>
    <xf numFmtId="0" fontId="126" fillId="43" borderId="22" xfId="80" applyFont="1" applyFill="1" applyBorder="1" applyAlignment="1">
      <alignment horizontal="center"/>
    </xf>
    <xf numFmtId="0" fontId="110" fillId="0" borderId="81" xfId="80" applyFont="1" applyBorder="1" applyAlignment="1">
      <alignment horizontal="center"/>
    </xf>
    <xf numFmtId="0" fontId="126" fillId="0" borderId="38" xfId="80" applyFont="1" applyBorder="1" applyAlignment="1">
      <alignment horizontal="center"/>
    </xf>
    <xf numFmtId="0" fontId="110" fillId="34" borderId="17" xfId="80" applyFont="1" applyFill="1" applyBorder="1" applyAlignment="1">
      <alignment horizontal="center"/>
    </xf>
    <xf numFmtId="0" fontId="123" fillId="29" borderId="27" xfId="80" applyFont="1" applyFill="1" applyBorder="1" applyAlignment="1">
      <alignment horizontal="center"/>
    </xf>
    <xf numFmtId="0" fontId="123" fillId="29" borderId="69" xfId="80" applyFont="1" applyFill="1" applyBorder="1" applyAlignment="1">
      <alignment horizontal="center"/>
    </xf>
    <xf numFmtId="0" fontId="123" fillId="29" borderId="12" xfId="80" applyFont="1" applyFill="1" applyBorder="1" applyAlignment="1"/>
    <xf numFmtId="0" fontId="123" fillId="29" borderId="184" xfId="80" applyFont="1" applyFill="1" applyBorder="1" applyAlignment="1">
      <alignment horizontal="center"/>
    </xf>
    <xf numFmtId="3" fontId="130" fillId="41" borderId="22" xfId="80" applyNumberFormat="1" applyFont="1" applyFill="1" applyBorder="1"/>
    <xf numFmtId="0" fontId="131" fillId="29" borderId="35" xfId="80" applyFont="1" applyFill="1" applyBorder="1" applyAlignment="1">
      <alignment horizontal="center"/>
    </xf>
    <xf numFmtId="0" fontId="110" fillId="0" borderId="10" xfId="80" applyFont="1" applyBorder="1" applyAlignment="1"/>
    <xf numFmtId="0" fontId="132" fillId="42" borderId="22" xfId="80" applyFont="1" applyFill="1" applyBorder="1"/>
    <xf numFmtId="0" fontId="123" fillId="29" borderId="15" xfId="80" applyFont="1" applyFill="1" applyBorder="1" applyAlignment="1">
      <alignment horizontal="center"/>
    </xf>
    <xf numFmtId="0" fontId="123" fillId="41" borderId="70" xfId="80" applyFont="1" applyFill="1" applyBorder="1" applyAlignment="1">
      <alignment horizontal="center"/>
    </xf>
    <xf numFmtId="0" fontId="123" fillId="41" borderId="10" xfId="80" applyFont="1" applyFill="1" applyBorder="1" applyAlignment="1"/>
    <xf numFmtId="0" fontId="123" fillId="41" borderId="159" xfId="80" applyFont="1" applyFill="1" applyBorder="1" applyAlignment="1">
      <alignment horizontal="center"/>
    </xf>
    <xf numFmtId="3" fontId="130" fillId="29" borderId="22" xfId="80" applyNumberFormat="1" applyFont="1" applyFill="1" applyBorder="1" applyAlignment="1">
      <alignment horizontal="right"/>
    </xf>
    <xf numFmtId="0" fontId="123" fillId="41" borderId="15" xfId="80" applyFont="1" applyFill="1" applyBorder="1" applyAlignment="1">
      <alignment horizontal="center"/>
    </xf>
    <xf numFmtId="0" fontId="131" fillId="29" borderId="22" xfId="80" applyFont="1" applyFill="1" applyBorder="1" applyAlignment="1">
      <alignment horizontal="center"/>
    </xf>
    <xf numFmtId="0" fontId="110" fillId="0" borderId="27" xfId="80" applyFont="1" applyBorder="1" applyAlignment="1">
      <alignment horizontal="center"/>
    </xf>
    <xf numFmtId="0" fontId="110" fillId="0" borderId="69" xfId="80" applyFont="1" applyBorder="1" applyAlignment="1">
      <alignment horizontal="center"/>
    </xf>
    <xf numFmtId="0" fontId="110" fillId="0" borderId="12" xfId="80" applyFont="1" applyBorder="1" applyAlignment="1"/>
    <xf numFmtId="0" fontId="110" fillId="0" borderId="184" xfId="80" applyFont="1" applyBorder="1"/>
    <xf numFmtId="0" fontId="126" fillId="0" borderId="35" xfId="80" applyFont="1" applyBorder="1" applyAlignment="1">
      <alignment horizontal="center"/>
    </xf>
    <xf numFmtId="3" fontId="130" fillId="29" borderId="22" xfId="80" applyNumberFormat="1" applyFont="1" applyFill="1" applyBorder="1"/>
    <xf numFmtId="0" fontId="131" fillId="41" borderId="22" xfId="80" applyFont="1" applyFill="1" applyBorder="1" applyAlignment="1">
      <alignment horizontal="center"/>
    </xf>
    <xf numFmtId="0" fontId="110" fillId="0" borderId="37" xfId="80" applyFont="1" applyBorder="1" applyAlignment="1"/>
    <xf numFmtId="0" fontId="129" fillId="0" borderId="159" xfId="80" applyFont="1" applyBorder="1"/>
    <xf numFmtId="0" fontId="125" fillId="33" borderId="95" xfId="80" applyFont="1" applyFill="1" applyBorder="1" applyAlignment="1">
      <alignment horizontal="left"/>
    </xf>
    <xf numFmtId="3" fontId="125" fillId="33" borderId="23" xfId="80" applyNumberFormat="1" applyFont="1" applyFill="1" applyBorder="1"/>
    <xf numFmtId="3" fontId="127" fillId="33" borderId="23" xfId="80" applyNumberFormat="1" applyFont="1" applyFill="1" applyBorder="1"/>
    <xf numFmtId="3" fontId="127" fillId="33" borderId="17" xfId="80" applyNumberFormat="1" applyFont="1" applyFill="1" applyBorder="1"/>
    <xf numFmtId="0" fontId="110" fillId="0" borderId="184" xfId="80" applyFont="1" applyBorder="1" applyAlignment="1">
      <alignment horizontal="center"/>
    </xf>
    <xf numFmtId="0" fontId="110" fillId="0" borderId="184" xfId="80" applyFont="1" applyBorder="1" applyAlignment="1"/>
    <xf numFmtId="3" fontId="132" fillId="42" borderId="35" xfId="80" applyNumberFormat="1" applyFont="1" applyFill="1" applyBorder="1"/>
    <xf numFmtId="2" fontId="110" fillId="0" borderId="184" xfId="80" applyNumberFormat="1" applyFont="1" applyBorder="1"/>
    <xf numFmtId="0" fontId="110" fillId="0" borderId="63" xfId="80" applyFont="1" applyBorder="1" applyAlignment="1">
      <alignment horizontal="center"/>
    </xf>
    <xf numFmtId="0" fontId="110" fillId="0" borderId="159" xfId="80" applyFont="1" applyBorder="1" applyAlignment="1">
      <alignment horizontal="center"/>
    </xf>
    <xf numFmtId="3" fontId="132" fillId="42" borderId="22" xfId="80" applyNumberFormat="1" applyFont="1" applyFill="1" applyBorder="1"/>
    <xf numFmtId="2" fontId="110" fillId="25" borderId="159" xfId="80" applyNumberFormat="1" applyFont="1" applyFill="1" applyBorder="1"/>
    <xf numFmtId="0" fontId="110" fillId="0" borderId="159" xfId="80" applyFont="1" applyBorder="1" applyAlignment="1"/>
    <xf numFmtId="2" fontId="110" fillId="0" borderId="159" xfId="80" applyNumberFormat="1" applyFont="1" applyFill="1" applyBorder="1"/>
    <xf numFmtId="49" fontId="119" fillId="0" borderId="0" xfId="80" applyNumberFormat="1" applyFont="1" applyAlignment="1">
      <alignment horizontal="left" wrapText="1"/>
    </xf>
    <xf numFmtId="0" fontId="110" fillId="0" borderId="172" xfId="80" applyFont="1" applyBorder="1" applyAlignment="1">
      <alignment horizontal="center"/>
    </xf>
    <xf numFmtId="0" fontId="110" fillId="0" borderId="172" xfId="80" applyFont="1" applyBorder="1" applyAlignment="1"/>
    <xf numFmtId="0" fontId="110" fillId="0" borderId="172" xfId="80" applyFont="1" applyBorder="1"/>
    <xf numFmtId="3" fontId="110" fillId="0" borderId="111" xfId="80" applyNumberFormat="1" applyFont="1" applyFill="1" applyBorder="1"/>
    <xf numFmtId="2" fontId="110" fillId="25" borderId="172" xfId="80" applyNumberFormat="1" applyFont="1" applyFill="1" applyBorder="1"/>
    <xf numFmtId="2" fontId="126" fillId="0" borderId="0" xfId="80" applyNumberFormat="1" applyFont="1" applyFill="1" applyAlignment="1">
      <alignment horizontal="left" vertical="center"/>
    </xf>
    <xf numFmtId="0" fontId="116" fillId="0" borderId="0" xfId="80" applyFont="1" applyAlignment="1">
      <alignment vertical="center"/>
    </xf>
    <xf numFmtId="0" fontId="133" fillId="0" borderId="0" xfId="80" applyFont="1"/>
    <xf numFmtId="0" fontId="134" fillId="0" borderId="0" xfId="80" applyFont="1"/>
    <xf numFmtId="0" fontId="110" fillId="0" borderId="45" xfId="80" applyFont="1" applyBorder="1" applyAlignment="1">
      <alignment horizontal="center"/>
    </xf>
    <xf numFmtId="0" fontId="110" fillId="0" borderId="45" xfId="80" applyFont="1" applyBorder="1" applyAlignment="1"/>
    <xf numFmtId="0" fontId="110" fillId="0" borderId="45" xfId="80" applyFont="1" applyBorder="1"/>
    <xf numFmtId="0" fontId="132" fillId="0" borderId="45" xfId="80" applyFont="1" applyBorder="1"/>
    <xf numFmtId="0" fontId="123" fillId="0" borderId="45" xfId="80" applyFont="1" applyBorder="1" applyAlignment="1">
      <alignment horizontal="left"/>
    </xf>
    <xf numFmtId="0" fontId="131" fillId="0" borderId="45" xfId="80" applyFont="1" applyBorder="1" applyAlignment="1">
      <alignment horizontal="left"/>
    </xf>
    <xf numFmtId="0" fontId="123" fillId="0" borderId="0" xfId="80" applyFont="1" applyAlignment="1">
      <alignment horizontal="left"/>
    </xf>
    <xf numFmtId="0" fontId="131" fillId="0" borderId="0" xfId="80" applyFont="1" applyAlignment="1">
      <alignment horizontal="left"/>
    </xf>
    <xf numFmtId="0" fontId="125" fillId="0" borderId="0" xfId="80" applyFont="1" applyFill="1" applyBorder="1" applyAlignment="1">
      <alignment horizontal="center"/>
    </xf>
    <xf numFmtId="0" fontId="125" fillId="0" borderId="0" xfId="80" applyFont="1" applyFill="1" applyBorder="1" applyAlignment="1"/>
    <xf numFmtId="3" fontId="125" fillId="0" borderId="0" xfId="80" applyNumberFormat="1" applyFont="1" applyFill="1" applyBorder="1"/>
    <xf numFmtId="3" fontId="132" fillId="0" borderId="0" xfId="80" applyNumberFormat="1" applyFont="1" applyFill="1" applyBorder="1"/>
    <xf numFmtId="0" fontId="116" fillId="0" borderId="0" xfId="80" applyFont="1" applyFill="1" applyBorder="1" applyAlignment="1">
      <alignment horizontal="center"/>
    </xf>
    <xf numFmtId="0" fontId="116" fillId="0" borderId="0" xfId="80" applyFont="1" applyFill="1" applyBorder="1" applyAlignment="1"/>
    <xf numFmtId="0" fontId="135" fillId="0" borderId="0" xfId="80" applyFont="1" applyFill="1" applyBorder="1" applyAlignment="1">
      <alignment horizontal="right"/>
    </xf>
    <xf numFmtId="9" fontId="119" fillId="0" borderId="0" xfId="80" applyNumberFormat="1" applyFont="1" applyFill="1" applyBorder="1"/>
    <xf numFmtId="0" fontId="132" fillId="0" borderId="0" xfId="80" applyFont="1"/>
    <xf numFmtId="0" fontId="136" fillId="0" borderId="0" xfId="80" applyFont="1" applyFill="1" applyBorder="1" applyAlignment="1">
      <alignment horizontal="right"/>
    </xf>
    <xf numFmtId="3" fontId="119" fillId="0" borderId="0" xfId="80" applyNumberFormat="1" applyFont="1" applyFill="1" applyBorder="1"/>
    <xf numFmtId="0" fontId="135" fillId="0" borderId="0" xfId="80" applyFont="1" applyFill="1" applyBorder="1" applyAlignment="1">
      <alignment horizontal="center"/>
    </xf>
    <xf numFmtId="0" fontId="110" fillId="0" borderId="0" xfId="80" applyFont="1" applyFill="1" applyBorder="1" applyAlignment="1">
      <alignment horizontal="left"/>
    </xf>
    <xf numFmtId="0" fontId="116" fillId="0" borderId="0" xfId="80" applyFont="1" applyFill="1" applyBorder="1"/>
    <xf numFmtId="0" fontId="110" fillId="0" borderId="39" xfId="80" applyFont="1" applyBorder="1" applyAlignment="1">
      <alignment horizontal="center"/>
    </xf>
    <xf numFmtId="0" fontId="110" fillId="0" borderId="31" xfId="80" applyFont="1" applyBorder="1" applyAlignment="1">
      <alignment horizontal="center"/>
    </xf>
    <xf numFmtId="0" fontId="110" fillId="0" borderId="31" xfId="80" applyFont="1" applyBorder="1" applyAlignment="1"/>
    <xf numFmtId="0" fontId="110" fillId="0" borderId="61" xfId="80" applyFont="1" applyBorder="1"/>
    <xf numFmtId="3" fontId="124" fillId="44" borderId="23" xfId="80" applyNumberFormat="1" applyFont="1" applyFill="1" applyBorder="1"/>
    <xf numFmtId="0" fontId="124" fillId="42" borderId="39" xfId="80" applyFont="1" applyFill="1" applyBorder="1" applyAlignment="1">
      <alignment horizontal="center"/>
    </xf>
    <xf numFmtId="0" fontId="124" fillId="42" borderId="31" xfId="80" applyFont="1" applyFill="1" applyBorder="1" applyAlignment="1">
      <alignment horizontal="center"/>
    </xf>
    <xf numFmtId="0" fontId="124" fillId="42" borderId="31" xfId="80" applyFont="1" applyFill="1" applyBorder="1" applyAlignment="1"/>
    <xf numFmtId="0" fontId="124" fillId="42" borderId="61" xfId="80" applyFont="1" applyFill="1" applyBorder="1"/>
    <xf numFmtId="3" fontId="124" fillId="42" borderId="23" xfId="80" applyNumberFormat="1" applyFont="1" applyFill="1" applyBorder="1"/>
    <xf numFmtId="0" fontId="110" fillId="0" borderId="0" xfId="80" applyFont="1" applyFill="1" applyBorder="1"/>
    <xf numFmtId="0" fontId="122" fillId="0" borderId="0" xfId="80" applyFont="1" applyFill="1" applyBorder="1" applyAlignment="1">
      <alignment horizontal="center"/>
    </xf>
    <xf numFmtId="0" fontId="122" fillId="0" borderId="0" xfId="80" applyFont="1" applyFill="1" applyBorder="1" applyAlignment="1"/>
    <xf numFmtId="0" fontId="122" fillId="0" borderId="0" xfId="80" applyFont="1" applyFill="1" applyBorder="1"/>
    <xf numFmtId="0" fontId="137" fillId="0" borderId="0" xfId="80" applyFont="1" applyFill="1" applyBorder="1" applyAlignment="1">
      <alignment horizontal="center"/>
    </xf>
    <xf numFmtId="49" fontId="119" fillId="0" borderId="0" xfId="80" applyNumberFormat="1" applyFont="1" applyFill="1" applyBorder="1" applyAlignment="1">
      <alignment horizontal="center" wrapText="1"/>
    </xf>
    <xf numFmtId="0" fontId="124" fillId="0" borderId="0" xfId="80" applyFont="1"/>
    <xf numFmtId="0" fontId="135" fillId="0" borderId="0" xfId="80" applyFont="1" applyAlignment="1">
      <alignment horizontal="center"/>
    </xf>
    <xf numFmtId="3" fontId="138" fillId="33" borderId="18" xfId="80" applyNumberFormat="1" applyFont="1" applyFill="1" applyBorder="1"/>
    <xf numFmtId="167" fontId="56" fillId="0" borderId="22" xfId="0" applyNumberFormat="1" applyFont="1" applyFill="1" applyBorder="1"/>
    <xf numFmtId="167" fontId="56" fillId="0" borderId="34" xfId="0" applyNumberFormat="1" applyFont="1" applyFill="1" applyBorder="1"/>
    <xf numFmtId="3" fontId="56" fillId="36" borderId="62" xfId="0" applyNumberFormat="1" applyFont="1" applyFill="1" applyBorder="1"/>
    <xf numFmtId="3" fontId="56" fillId="36" borderId="60" xfId="0" applyNumberFormat="1" applyFont="1" applyFill="1" applyBorder="1"/>
    <xf numFmtId="3" fontId="56" fillId="41" borderId="60" xfId="0" applyNumberFormat="1" applyFont="1" applyFill="1" applyBorder="1"/>
    <xf numFmtId="0" fontId="126" fillId="0" borderId="0" xfId="80" applyFont="1" applyAlignment="1">
      <alignment wrapText="1"/>
    </xf>
    <xf numFmtId="0" fontId="126" fillId="0" borderId="0" xfId="80" applyFont="1" applyAlignment="1">
      <alignment horizontal="left"/>
    </xf>
    <xf numFmtId="0" fontId="110" fillId="0" borderId="0" xfId="80" applyFont="1" applyAlignment="1">
      <alignment wrapText="1"/>
    </xf>
    <xf numFmtId="0" fontId="139" fillId="0" borderId="0" xfId="80" applyFont="1" applyAlignment="1">
      <alignment wrapText="1"/>
    </xf>
    <xf numFmtId="0" fontId="125" fillId="33" borderId="39" xfId="80" applyFont="1" applyFill="1" applyBorder="1" applyAlignment="1">
      <alignment horizontal="center"/>
    </xf>
    <xf numFmtId="0" fontId="125" fillId="33" borderId="31" xfId="80" applyFont="1" applyFill="1" applyBorder="1" applyAlignment="1">
      <alignment horizontal="center"/>
    </xf>
    <xf numFmtId="0" fontId="138" fillId="33" borderId="160" xfId="80" applyFont="1" applyFill="1" applyBorder="1"/>
    <xf numFmtId="0" fontId="110" fillId="34" borderId="31" xfId="80" applyFont="1" applyFill="1" applyBorder="1" applyAlignment="1">
      <alignment horizontal="center"/>
    </xf>
    <xf numFmtId="0" fontId="110" fillId="34" borderId="18" xfId="80" applyFont="1" applyFill="1" applyBorder="1" applyAlignment="1"/>
    <xf numFmtId="0" fontId="110" fillId="34" borderId="59" xfId="80" applyFont="1" applyFill="1" applyBorder="1"/>
    <xf numFmtId="4" fontId="140" fillId="0" borderId="0" xfId="80" applyNumberFormat="1" applyFont="1" applyFill="1" applyBorder="1" applyAlignment="1">
      <alignment horizontal="left" wrapText="1"/>
    </xf>
    <xf numFmtId="49" fontId="141" fillId="0" borderId="0" xfId="80" applyNumberFormat="1" applyFont="1" applyAlignment="1">
      <alignment horizontal="left" wrapText="1"/>
    </xf>
    <xf numFmtId="0" fontId="56" fillId="38" borderId="39" xfId="0" applyFont="1" applyFill="1" applyBorder="1" applyAlignment="1">
      <alignment horizontal="center" wrapText="1"/>
    </xf>
    <xf numFmtId="3" fontId="56" fillId="38" borderId="60" xfId="0" applyNumberFormat="1" applyFont="1" applyFill="1" applyBorder="1"/>
    <xf numFmtId="3" fontId="83" fillId="36" borderId="105" xfId="0" applyNumberFormat="1" applyFont="1" applyFill="1" applyBorder="1"/>
    <xf numFmtId="3" fontId="80" fillId="0" borderId="142" xfId="0" applyNumberFormat="1" applyFont="1" applyFill="1" applyBorder="1"/>
    <xf numFmtId="3" fontId="124" fillId="29" borderId="159" xfId="80" applyNumberFormat="1" applyFont="1" applyFill="1" applyBorder="1"/>
    <xf numFmtId="3" fontId="124" fillId="29" borderId="159" xfId="80" applyNumberFormat="1" applyFont="1" applyFill="1" applyBorder="1" applyAlignment="1">
      <alignment horizontal="right"/>
    </xf>
    <xf numFmtId="3" fontId="124" fillId="41" borderId="172" xfId="80" applyNumberFormat="1" applyFont="1" applyFill="1" applyBorder="1" applyAlignment="1">
      <alignment horizontal="right" vertical="center"/>
    </xf>
    <xf numFmtId="3" fontId="125" fillId="33" borderId="184" xfId="80" applyNumberFormat="1" applyFont="1" applyFill="1" applyBorder="1" applyAlignment="1">
      <alignment horizontal="right"/>
    </xf>
    <xf numFmtId="3" fontId="125" fillId="33" borderId="183" xfId="80" applyNumberFormat="1" applyFont="1" applyFill="1" applyBorder="1" applyAlignment="1">
      <alignment horizontal="right"/>
    </xf>
    <xf numFmtId="3" fontId="124" fillId="43" borderId="159" xfId="80" applyNumberFormat="1" applyFont="1" applyFill="1" applyBorder="1"/>
    <xf numFmtId="3" fontId="110" fillId="34" borderId="59" xfId="80" applyNumberFormat="1" applyFont="1" applyFill="1" applyBorder="1"/>
    <xf numFmtId="3" fontId="130" fillId="41" borderId="159" xfId="80" applyNumberFormat="1" applyFont="1" applyFill="1" applyBorder="1"/>
    <xf numFmtId="3" fontId="130" fillId="29" borderId="159" xfId="80" applyNumberFormat="1" applyFont="1" applyFill="1" applyBorder="1" applyAlignment="1">
      <alignment horizontal="right"/>
    </xf>
    <xf numFmtId="3" fontId="130" fillId="29" borderId="159" xfId="80" applyNumberFormat="1" applyFont="1" applyFill="1" applyBorder="1"/>
    <xf numFmtId="3" fontId="125" fillId="33" borderId="59" xfId="80" applyNumberFormat="1" applyFont="1" applyFill="1" applyBorder="1"/>
    <xf numFmtId="0" fontId="124" fillId="42" borderId="33" xfId="80" applyFont="1" applyFill="1" applyBorder="1" applyAlignment="1">
      <alignment horizontal="center"/>
    </xf>
    <xf numFmtId="0" fontId="124" fillId="42" borderId="38" xfId="80" applyFont="1" applyFill="1" applyBorder="1" applyAlignment="1">
      <alignment horizontal="center"/>
    </xf>
    <xf numFmtId="3" fontId="138" fillId="33" borderId="23" xfId="80" applyNumberFormat="1" applyFont="1" applyFill="1" applyBorder="1"/>
    <xf numFmtId="3" fontId="124" fillId="44" borderId="59" xfId="80" applyNumberFormat="1" applyFont="1" applyFill="1" applyBorder="1"/>
    <xf numFmtId="3" fontId="124" fillId="42" borderId="59" xfId="80" applyNumberFormat="1" applyFont="1" applyFill="1" applyBorder="1"/>
    <xf numFmtId="0" fontId="110" fillId="0" borderId="170" xfId="80" applyFont="1" applyFill="1" applyBorder="1"/>
    <xf numFmtId="0" fontId="126" fillId="34" borderId="61" xfId="80" applyFont="1" applyFill="1" applyBorder="1" applyAlignment="1">
      <alignment horizontal="center"/>
    </xf>
    <xf numFmtId="0" fontId="126" fillId="34" borderId="17" xfId="80" applyFont="1" applyFill="1" applyBorder="1" applyAlignment="1">
      <alignment horizontal="center"/>
    </xf>
    <xf numFmtId="0" fontId="110" fillId="0" borderId="172" xfId="80" applyFont="1" applyFill="1" applyBorder="1"/>
    <xf numFmtId="49" fontId="126" fillId="0" borderId="19" xfId="80" applyNumberFormat="1" applyFont="1" applyFill="1" applyBorder="1" applyAlignment="1">
      <alignment horizontal="center"/>
    </xf>
    <xf numFmtId="0" fontId="126" fillId="0" borderId="111" xfId="80" applyFont="1" applyBorder="1" applyAlignment="1">
      <alignment horizontal="center"/>
    </xf>
    <xf numFmtId="49" fontId="142" fillId="0" borderId="15" xfId="80" applyNumberFormat="1" applyFont="1" applyFill="1" applyBorder="1" applyAlignment="1">
      <alignment horizontal="center"/>
    </xf>
    <xf numFmtId="3" fontId="124" fillId="44" borderId="18" xfId="80" applyNumberFormat="1" applyFont="1" applyFill="1" applyBorder="1"/>
    <xf numFmtId="3" fontId="124" fillId="0" borderId="159" xfId="80" applyNumberFormat="1" applyFont="1" applyFill="1" applyBorder="1"/>
    <xf numFmtId="3" fontId="124" fillId="0" borderId="159" xfId="80" applyNumberFormat="1" applyFont="1" applyFill="1" applyBorder="1" applyAlignment="1">
      <alignment horizontal="right"/>
    </xf>
    <xf numFmtId="3" fontId="124" fillId="0" borderId="170" xfId="80" applyNumberFormat="1" applyFont="1" applyFill="1" applyBorder="1"/>
    <xf numFmtId="3" fontId="124" fillId="0" borderId="172" xfId="80" applyNumberFormat="1" applyFont="1" applyFill="1" applyBorder="1"/>
    <xf numFmtId="3" fontId="124" fillId="0" borderId="184" xfId="80" applyNumberFormat="1" applyFont="1" applyFill="1" applyBorder="1" applyAlignment="1">
      <alignment horizontal="right"/>
    </xf>
    <xf numFmtId="3" fontId="130" fillId="0" borderId="159" xfId="80" applyNumberFormat="1" applyFont="1" applyFill="1" applyBorder="1"/>
    <xf numFmtId="0" fontId="124" fillId="0" borderId="159" xfId="80" applyFont="1" applyFill="1" applyBorder="1"/>
    <xf numFmtId="3" fontId="124" fillId="0" borderId="170" xfId="80" applyNumberFormat="1" applyFont="1" applyFill="1" applyBorder="1" applyAlignment="1">
      <alignment horizontal="right"/>
    </xf>
    <xf numFmtId="3" fontId="124" fillId="0" borderId="184" xfId="80" applyNumberFormat="1" applyFont="1" applyFill="1" applyBorder="1"/>
    <xf numFmtId="0" fontId="58" fillId="0" borderId="43" xfId="0" applyFont="1" applyBorder="1" applyAlignment="1">
      <alignment horizontal="center"/>
    </xf>
    <xf numFmtId="0" fontId="58" fillId="0" borderId="105" xfId="0" applyFont="1" applyBorder="1" applyAlignment="1">
      <alignment horizontal="center"/>
    </xf>
    <xf numFmtId="3" fontId="58" fillId="0" borderId="139" xfId="0" applyNumberFormat="1" applyFont="1" applyBorder="1"/>
    <xf numFmtId="3" fontId="56" fillId="0" borderId="52" xfId="0" applyNumberFormat="1" applyFont="1" applyBorder="1"/>
    <xf numFmtId="3" fontId="58" fillId="0" borderId="53" xfId="0" applyNumberFormat="1" applyFont="1" applyBorder="1"/>
    <xf numFmtId="3" fontId="58" fillId="0" borderId="83" xfId="0" applyNumberFormat="1" applyFont="1" applyBorder="1"/>
    <xf numFmtId="3" fontId="57" fillId="0" borderId="54" xfId="0" applyNumberFormat="1" applyFont="1" applyBorder="1"/>
    <xf numFmtId="3" fontId="58" fillId="0" borderId="29" xfId="0" applyNumberFormat="1" applyFont="1" applyBorder="1"/>
    <xf numFmtId="3" fontId="58" fillId="0" borderId="86" xfId="0" applyNumberFormat="1" applyFont="1" applyBorder="1"/>
    <xf numFmtId="3" fontId="57" fillId="0" borderId="80" xfId="0" applyNumberFormat="1" applyFont="1" applyBorder="1"/>
    <xf numFmtId="0" fontId="56" fillId="35" borderId="10" xfId="0" applyFont="1" applyFill="1" applyBorder="1"/>
    <xf numFmtId="169" fontId="56" fillId="0" borderId="0" xfId="0" applyNumberFormat="1" applyFont="1"/>
    <xf numFmtId="2" fontId="56" fillId="0" borderId="0" xfId="0" applyNumberFormat="1" applyFont="1"/>
    <xf numFmtId="0" fontId="71" fillId="0" borderId="66" xfId="0" applyFont="1" applyFill="1" applyBorder="1" applyAlignment="1"/>
    <xf numFmtId="166" fontId="57" fillId="0" borderId="10" xfId="0" applyNumberFormat="1" applyFont="1" applyFill="1" applyBorder="1"/>
    <xf numFmtId="3" fontId="56" fillId="41" borderId="62" xfId="0" applyNumberFormat="1" applyFont="1" applyFill="1" applyBorder="1"/>
    <xf numFmtId="3" fontId="56" fillId="36" borderId="64" xfId="0" applyNumberFormat="1" applyFont="1" applyFill="1" applyBorder="1"/>
    <xf numFmtId="3" fontId="56" fillId="41" borderId="64" xfId="0" applyNumberFormat="1" applyFont="1" applyFill="1" applyBorder="1"/>
    <xf numFmtId="3" fontId="56" fillId="39" borderId="64" xfId="0" applyNumberFormat="1" applyFont="1" applyFill="1" applyBorder="1"/>
    <xf numFmtId="3" fontId="56" fillId="36" borderId="16" xfId="0" applyNumberFormat="1" applyFont="1" applyFill="1" applyBorder="1"/>
    <xf numFmtId="3" fontId="56" fillId="39" borderId="16" xfId="0" applyNumberFormat="1" applyFont="1" applyFill="1" applyBorder="1"/>
    <xf numFmtId="3" fontId="80" fillId="0" borderId="118" xfId="0" applyNumberFormat="1" applyFont="1" applyFill="1" applyBorder="1"/>
    <xf numFmtId="3" fontId="124" fillId="26" borderId="60" xfId="0" applyNumberFormat="1" applyFont="1" applyFill="1" applyBorder="1"/>
    <xf numFmtId="4" fontId="57" fillId="0" borderId="27" xfId="0" applyNumberFormat="1" applyFont="1" applyFill="1" applyBorder="1"/>
    <xf numFmtId="167" fontId="57" fillId="0" borderId="12" xfId="0" applyNumberFormat="1" applyFont="1" applyFill="1" applyBorder="1"/>
    <xf numFmtId="3" fontId="57" fillId="40" borderId="35" xfId="0" applyNumberFormat="1" applyFont="1" applyFill="1" applyBorder="1"/>
    <xf numFmtId="4" fontId="57" fillId="0" borderId="12" xfId="0" applyNumberFormat="1" applyFont="1" applyFill="1" applyBorder="1"/>
    <xf numFmtId="3" fontId="57" fillId="0" borderId="12" xfId="0" applyNumberFormat="1" applyFont="1" applyFill="1" applyBorder="1"/>
    <xf numFmtId="166" fontId="57" fillId="0" borderId="12" xfId="0" applyNumberFormat="1" applyFont="1" applyFill="1" applyBorder="1"/>
    <xf numFmtId="3" fontId="57" fillId="0" borderId="27" xfId="0" applyNumberFormat="1" applyFont="1" applyFill="1" applyBorder="1"/>
    <xf numFmtId="3" fontId="57" fillId="26" borderId="185" xfId="0" applyNumberFormat="1" applyFont="1" applyFill="1" applyBorder="1"/>
    <xf numFmtId="0" fontId="57" fillId="0" borderId="48" xfId="0" applyFont="1" applyFill="1" applyBorder="1" applyAlignment="1">
      <alignment horizontal="center" wrapText="1"/>
    </xf>
    <xf numFmtId="0" fontId="57" fillId="0" borderId="43" xfId="0" applyFont="1" applyFill="1" applyBorder="1" applyAlignment="1">
      <alignment horizontal="center" wrapText="1"/>
    </xf>
    <xf numFmtId="49" fontId="57" fillId="0" borderId="19" xfId="0" applyNumberFormat="1" applyFont="1" applyFill="1" applyBorder="1" applyAlignment="1">
      <alignment horizontal="center" vertical="top" wrapText="1"/>
    </xf>
    <xf numFmtId="49" fontId="57" fillId="0" borderId="20" xfId="0" applyNumberFormat="1" applyFont="1" applyFill="1" applyBorder="1" applyAlignment="1">
      <alignment horizontal="center" vertical="top" wrapText="1"/>
    </xf>
    <xf numFmtId="49" fontId="57" fillId="40" borderId="111" xfId="0" applyNumberFormat="1" applyFont="1" applyFill="1" applyBorder="1" applyAlignment="1">
      <alignment horizontal="center" vertical="top" wrapText="1"/>
    </xf>
    <xf numFmtId="49" fontId="57" fillId="26" borderId="50" xfId="0" applyNumberFormat="1" applyFont="1" applyFill="1" applyBorder="1" applyAlignment="1">
      <alignment horizontal="center" wrapText="1"/>
    </xf>
    <xf numFmtId="3" fontId="143" fillId="0" borderId="37" xfId="0" applyNumberFormat="1" applyFont="1" applyFill="1" applyBorder="1"/>
    <xf numFmtId="3" fontId="59" fillId="0" borderId="38" xfId="0" applyNumberFormat="1" applyFont="1" applyFill="1" applyBorder="1"/>
    <xf numFmtId="3" fontId="58" fillId="0" borderId="38" xfId="0" applyNumberFormat="1" applyFont="1" applyFill="1" applyBorder="1"/>
    <xf numFmtId="0" fontId="62" fillId="0" borderId="59" xfId="0" applyFont="1" applyFill="1" applyBorder="1"/>
    <xf numFmtId="3" fontId="59" fillId="0" borderId="17" xfId="0" applyNumberFormat="1" applyFont="1" applyFill="1" applyBorder="1"/>
    <xf numFmtId="3" fontId="59" fillId="0" borderId="18" xfId="0" applyNumberFormat="1" applyFont="1" applyFill="1" applyBorder="1"/>
    <xf numFmtId="3" fontId="59" fillId="0" borderId="23" xfId="0" applyNumberFormat="1" applyFont="1" applyFill="1" applyBorder="1"/>
    <xf numFmtId="3" fontId="59" fillId="0" borderId="160" xfId="0" applyNumberFormat="1" applyFont="1" applyFill="1" applyBorder="1"/>
    <xf numFmtId="0" fontId="62" fillId="0" borderId="17" xfId="0" applyFont="1" applyFill="1" applyBorder="1"/>
    <xf numFmtId="3" fontId="67" fillId="0" borderId="0" xfId="0" applyNumberFormat="1" applyFont="1" applyFill="1"/>
    <xf numFmtId="3" fontId="42" fillId="0" borderId="12" xfId="0" applyNumberFormat="1" applyFont="1" applyBorder="1"/>
    <xf numFmtId="3" fontId="42" fillId="0" borderId="37" xfId="0" applyNumberFormat="1" applyFont="1" applyBorder="1"/>
    <xf numFmtId="3" fontId="42" fillId="0" borderId="37" xfId="0" applyNumberFormat="1" applyFont="1" applyFill="1" applyBorder="1"/>
    <xf numFmtId="3" fontId="41" fillId="0" borderId="18" xfId="0" applyNumberFormat="1" applyFont="1" applyBorder="1"/>
    <xf numFmtId="0" fontId="58" fillId="0" borderId="40" xfId="0" applyFont="1" applyBorder="1" applyAlignment="1">
      <alignment horizontal="center" wrapText="1"/>
    </xf>
    <xf numFmtId="0" fontId="58" fillId="0" borderId="40" xfId="0" applyFont="1" applyBorder="1" applyAlignment="1">
      <alignment horizontal="center"/>
    </xf>
    <xf numFmtId="0" fontId="58" fillId="38" borderId="40" xfId="0" applyFont="1" applyFill="1" applyBorder="1" applyAlignment="1">
      <alignment horizontal="center"/>
    </xf>
    <xf numFmtId="0" fontId="58" fillId="36" borderId="40" xfId="0" applyFont="1" applyFill="1" applyBorder="1" applyAlignment="1">
      <alignment horizontal="center"/>
    </xf>
    <xf numFmtId="0" fontId="58" fillId="38" borderId="41" xfId="0" applyFont="1" applyFill="1" applyBorder="1" applyAlignment="1">
      <alignment horizontal="center"/>
    </xf>
    <xf numFmtId="0" fontId="0" fillId="0" borderId="0" xfId="0" applyFill="1"/>
    <xf numFmtId="3" fontId="42" fillId="0" borderId="12" xfId="0" applyNumberFormat="1" applyFont="1" applyFill="1" applyBorder="1"/>
    <xf numFmtId="3" fontId="42" fillId="0" borderId="10" xfId="0" applyNumberFormat="1" applyFont="1" applyFill="1" applyBorder="1"/>
    <xf numFmtId="3" fontId="41" fillId="0" borderId="18" xfId="0" applyNumberFormat="1" applyFont="1" applyFill="1" applyBorder="1"/>
    <xf numFmtId="3" fontId="43" fillId="0" borderId="10" xfId="0" applyNumberFormat="1" applyFont="1" applyFill="1" applyBorder="1"/>
    <xf numFmtId="0" fontId="40" fillId="0" borderId="0" xfId="100" applyFont="1"/>
    <xf numFmtId="0" fontId="8" fillId="0" borderId="0" xfId="100"/>
    <xf numFmtId="3" fontId="51" fillId="29" borderId="60" xfId="100" applyNumberFormat="1" applyFont="1" applyFill="1" applyBorder="1"/>
    <xf numFmtId="0" fontId="43" fillId="0" borderId="0" xfId="100" applyFont="1" applyAlignment="1">
      <alignment horizontal="right"/>
    </xf>
    <xf numFmtId="0" fontId="56" fillId="0" borderId="31" xfId="100" applyFont="1" applyBorder="1"/>
    <xf numFmtId="0" fontId="124" fillId="0" borderId="44" xfId="80" applyFont="1" applyFill="1" applyBorder="1" applyAlignment="1">
      <alignment horizontal="center"/>
    </xf>
    <xf numFmtId="0" fontId="124" fillId="0" borderId="170" xfId="80" applyFont="1" applyFill="1" applyBorder="1" applyAlignment="1">
      <alignment horizontal="center"/>
    </xf>
    <xf numFmtId="49" fontId="126" fillId="0" borderId="36" xfId="80" applyNumberFormat="1" applyFont="1" applyFill="1" applyBorder="1" applyAlignment="1">
      <alignment horizontal="center"/>
    </xf>
    <xf numFmtId="3" fontId="58" fillId="0" borderId="37" xfId="0" applyNumberFormat="1" applyFont="1" applyFill="1" applyBorder="1"/>
    <xf numFmtId="0" fontId="120" fillId="0" borderId="14" xfId="0" applyFont="1" applyFill="1" applyBorder="1" applyAlignment="1">
      <alignment horizontal="center"/>
    </xf>
    <xf numFmtId="0" fontId="120" fillId="0" borderId="21" xfId="0" applyFont="1" applyFill="1" applyBorder="1" applyAlignment="1">
      <alignment horizontal="center"/>
    </xf>
    <xf numFmtId="0" fontId="120" fillId="36" borderId="46" xfId="0" applyFont="1" applyFill="1" applyBorder="1" applyAlignment="1">
      <alignment horizontal="center"/>
    </xf>
    <xf numFmtId="0" fontId="120" fillId="41" borderId="46" xfId="0" applyFont="1" applyFill="1" applyBorder="1" applyAlignment="1">
      <alignment horizontal="center"/>
    </xf>
    <xf numFmtId="0" fontId="120" fillId="39" borderId="46" xfId="0" applyFont="1" applyFill="1" applyBorder="1" applyAlignment="1">
      <alignment horizontal="center"/>
    </xf>
    <xf numFmtId="0" fontId="120" fillId="0" borderId="20" xfId="0" applyFont="1" applyFill="1" applyBorder="1" applyAlignment="1">
      <alignment horizontal="center" wrapText="1"/>
    </xf>
    <xf numFmtId="0" fontId="120" fillId="0" borderId="111" xfId="0" applyFont="1" applyFill="1" applyBorder="1" applyAlignment="1">
      <alignment horizontal="center" wrapText="1"/>
    </xf>
    <xf numFmtId="0" fontId="120" fillId="36" borderId="50" xfId="0" applyFont="1" applyFill="1" applyBorder="1" applyAlignment="1">
      <alignment horizontal="center"/>
    </xf>
    <xf numFmtId="0" fontId="120" fillId="41" borderId="50" xfId="0" applyFont="1" applyFill="1" applyBorder="1" applyAlignment="1">
      <alignment horizontal="center"/>
    </xf>
    <xf numFmtId="0" fontId="120" fillId="39" borderId="50" xfId="0" applyFont="1" applyFill="1" applyBorder="1" applyAlignment="1">
      <alignment horizontal="center"/>
    </xf>
    <xf numFmtId="165" fontId="147" fillId="0" borderId="0" xfId="103" applyNumberFormat="1" applyFont="1"/>
    <xf numFmtId="165" fontId="149" fillId="0" borderId="0" xfId="103" applyNumberFormat="1" applyFont="1"/>
    <xf numFmtId="165" fontId="155" fillId="0" borderId="0" xfId="103" applyNumberFormat="1" applyFont="1"/>
    <xf numFmtId="165" fontId="155" fillId="0" borderId="0" xfId="103" applyNumberFormat="1" applyFont="1" applyFill="1" applyAlignment="1"/>
    <xf numFmtId="165" fontId="51" fillId="0" borderId="0" xfId="103" applyNumberFormat="1" applyFont="1"/>
    <xf numFmtId="165" fontId="51" fillId="0" borderId="0" xfId="103" applyNumberFormat="1" applyFont="1" applyFill="1" applyBorder="1"/>
    <xf numFmtId="165" fontId="155" fillId="0" borderId="0" xfId="103" applyNumberFormat="1" applyFont="1" applyFill="1"/>
    <xf numFmtId="49" fontId="155" fillId="0" borderId="0" xfId="103" applyNumberFormat="1" applyFont="1"/>
    <xf numFmtId="165" fontId="155" fillId="0" borderId="0" xfId="103" applyNumberFormat="1" applyFont="1" applyAlignment="1">
      <alignment wrapText="1"/>
    </xf>
    <xf numFmtId="3" fontId="155" fillId="0" borderId="0" xfId="103" applyNumberFormat="1" applyFont="1"/>
    <xf numFmtId="0" fontId="155" fillId="0" borderId="0" xfId="103" applyNumberFormat="1" applyFont="1" applyAlignment="1">
      <alignment wrapText="1"/>
    </xf>
    <xf numFmtId="0" fontId="56" fillId="0" borderId="31" xfId="0" applyFont="1" applyBorder="1" applyAlignment="1">
      <alignment horizontal="center"/>
    </xf>
    <xf numFmtId="0" fontId="144" fillId="0" borderId="0" xfId="105" applyFont="1"/>
    <xf numFmtId="0" fontId="5" fillId="0" borderId="0" xfId="105"/>
    <xf numFmtId="0" fontId="145" fillId="0" borderId="0" xfId="105" applyFont="1"/>
    <xf numFmtId="14" fontId="5" fillId="0" borderId="0" xfId="105" applyNumberFormat="1"/>
    <xf numFmtId="0" fontId="111" fillId="45" borderId="39" xfId="105" applyFont="1" applyFill="1" applyBorder="1" applyAlignment="1">
      <alignment horizontal="right"/>
    </xf>
    <xf numFmtId="3" fontId="111" fillId="45" borderId="61" xfId="105" applyNumberFormat="1" applyFont="1" applyFill="1" applyBorder="1"/>
    <xf numFmtId="0" fontId="103" fillId="0" borderId="0" xfId="105" applyFont="1"/>
    <xf numFmtId="0" fontId="5" fillId="0" borderId="0" xfId="105" applyFill="1"/>
    <xf numFmtId="3" fontId="69" fillId="0" borderId="0" xfId="0" applyNumberFormat="1" applyFont="1" applyBorder="1" applyAlignment="1">
      <alignment horizontal="center" vertical="center"/>
    </xf>
    <xf numFmtId="0" fontId="0" fillId="0" borderId="10" xfId="0" applyBorder="1"/>
    <xf numFmtId="3" fontId="162" fillId="0" borderId="15" xfId="0" applyNumberFormat="1" applyFont="1" applyBorder="1"/>
    <xf numFmtId="0" fontId="0" fillId="0" borderId="22" xfId="0" applyBorder="1"/>
    <xf numFmtId="0" fontId="0" fillId="49" borderId="10" xfId="0" applyFill="1" applyBorder="1"/>
    <xf numFmtId="0" fontId="0" fillId="49" borderId="22" xfId="0" applyFill="1" applyBorder="1"/>
    <xf numFmtId="0" fontId="0" fillId="49" borderId="12" xfId="0" applyFill="1" applyBorder="1"/>
    <xf numFmtId="0" fontId="0" fillId="49" borderId="35" xfId="0" applyFill="1" applyBorder="1"/>
    <xf numFmtId="3" fontId="162" fillId="0" borderId="36" xfId="0" applyNumberFormat="1" applyFont="1" applyBorder="1"/>
    <xf numFmtId="0" fontId="0" fillId="0" borderId="37" xfId="0" applyBorder="1"/>
    <xf numFmtId="0" fontId="0" fillId="0" borderId="38" xfId="0" applyBorder="1"/>
    <xf numFmtId="3" fontId="163" fillId="0" borderId="17" xfId="0" applyNumberFormat="1" applyFont="1" applyBorder="1"/>
    <xf numFmtId="0" fontId="111" fillId="0" borderId="12" xfId="0" applyFont="1" applyBorder="1" applyAlignment="1">
      <alignment horizontal="center"/>
    </xf>
    <xf numFmtId="0" fontId="111" fillId="0" borderId="12" xfId="0" applyFont="1" applyFill="1" applyBorder="1" applyAlignment="1">
      <alignment horizontal="center"/>
    </xf>
    <xf numFmtId="0" fontId="165" fillId="0" borderId="12" xfId="0" applyFont="1" applyFill="1" applyBorder="1" applyAlignment="1">
      <alignment horizontal="center" vertical="center"/>
    </xf>
    <xf numFmtId="0" fontId="161" fillId="0" borderId="27" xfId="0" applyFont="1" applyBorder="1" applyAlignment="1">
      <alignment horizontal="center" vertical="center" wrapText="1"/>
    </xf>
    <xf numFmtId="0" fontId="165" fillId="0" borderId="35" xfId="0" applyFont="1" applyFill="1" applyBorder="1" applyAlignment="1">
      <alignment horizontal="center" vertical="center"/>
    </xf>
    <xf numFmtId="0" fontId="111" fillId="0" borderId="186" xfId="0" applyFont="1" applyBorder="1" applyAlignment="1">
      <alignment horizontal="center"/>
    </xf>
    <xf numFmtId="3" fontId="42" fillId="0" borderId="186" xfId="0" applyNumberFormat="1" applyFont="1" applyBorder="1"/>
    <xf numFmtId="3" fontId="42" fillId="0" borderId="71" xfId="0" applyNumberFormat="1" applyFont="1" applyBorder="1"/>
    <xf numFmtId="3" fontId="42" fillId="0" borderId="77" xfId="0" applyNumberFormat="1" applyFont="1" applyBorder="1"/>
    <xf numFmtId="3" fontId="41" fillId="0" borderId="160" xfId="0" applyNumberFormat="1" applyFont="1" applyBorder="1"/>
    <xf numFmtId="0" fontId="40" fillId="0" borderId="185" xfId="0" applyFont="1" applyBorder="1" applyAlignment="1">
      <alignment horizontal="center" vertical="center"/>
    </xf>
    <xf numFmtId="0" fontId="42" fillId="0" borderId="185" xfId="0" applyFont="1" applyBorder="1"/>
    <xf numFmtId="0" fontId="42" fillId="0" borderId="64" xfId="0" applyFont="1" applyBorder="1"/>
    <xf numFmtId="0" fontId="42" fillId="0" borderId="73" xfId="0" applyFont="1" applyBorder="1"/>
    <xf numFmtId="0" fontId="41" fillId="0" borderId="60" xfId="0" applyFont="1" applyBorder="1"/>
    <xf numFmtId="0" fontId="161" fillId="0" borderId="18" xfId="0" applyFont="1" applyBorder="1"/>
    <xf numFmtId="0" fontId="161" fillId="0" borderId="23" xfId="0" applyFont="1" applyBorder="1"/>
    <xf numFmtId="0" fontId="56" fillId="0" borderId="96" xfId="0" applyFont="1" applyBorder="1" applyAlignment="1">
      <alignment horizontal="center"/>
    </xf>
    <xf numFmtId="0" fontId="166" fillId="0" borderId="0" xfId="0" applyFont="1" applyFill="1" applyBorder="1" applyAlignment="1">
      <alignment horizontal="left"/>
    </xf>
    <xf numFmtId="165" fontId="154" fillId="0" borderId="0" xfId="103" applyNumberFormat="1" applyFont="1"/>
    <xf numFmtId="165" fontId="154" fillId="0" borderId="0" xfId="103" applyNumberFormat="1" applyFont="1" applyFill="1"/>
    <xf numFmtId="165" fontId="151" fillId="0" borderId="0" xfId="103" applyNumberFormat="1" applyFont="1"/>
    <xf numFmtId="165" fontId="176" fillId="0" borderId="0" xfId="103" applyNumberFormat="1" applyFont="1" applyFill="1"/>
    <xf numFmtId="165" fontId="177" fillId="0" borderId="0" xfId="103" applyNumberFormat="1" applyFont="1"/>
    <xf numFmtId="165" fontId="51" fillId="0" borderId="0" xfId="103" applyNumberFormat="1" applyFont="1" applyAlignment="1">
      <alignment vertical="top"/>
    </xf>
    <xf numFmtId="0" fontId="179" fillId="46" borderId="13" xfId="0" applyFont="1" applyFill="1" applyBorder="1" applyAlignment="1">
      <alignment horizontal="center" vertical="center"/>
    </xf>
    <xf numFmtId="0" fontId="179" fillId="52" borderId="14" xfId="0" applyFont="1" applyFill="1" applyBorder="1" applyAlignment="1">
      <alignment horizontal="center" vertical="center" wrapText="1"/>
    </xf>
    <xf numFmtId="0" fontId="179" fillId="51" borderId="14" xfId="0" applyFont="1" applyFill="1" applyBorder="1" applyAlignment="1">
      <alignment horizontal="center" vertical="center" wrapText="1"/>
    </xf>
    <xf numFmtId="0" fontId="179" fillId="38" borderId="183" xfId="0" applyFont="1" applyFill="1" applyBorder="1" applyAlignment="1">
      <alignment horizontal="center" vertical="center" wrapText="1"/>
    </xf>
    <xf numFmtId="0" fontId="179" fillId="46" borderId="62" xfId="0" applyFont="1" applyFill="1" applyBorder="1" applyAlignment="1">
      <alignment horizontal="center" vertical="center" wrapText="1"/>
    </xf>
    <xf numFmtId="0" fontId="180" fillId="0" borderId="15" xfId="0" applyFont="1" applyBorder="1"/>
    <xf numFmtId="3" fontId="0" fillId="0" borderId="159" xfId="0" applyNumberFormat="1" applyBorder="1"/>
    <xf numFmtId="3" fontId="0" fillId="0" borderId="64" xfId="0" applyNumberFormat="1" applyBorder="1"/>
    <xf numFmtId="0" fontId="179" fillId="46" borderId="19" xfId="0" applyFont="1" applyFill="1" applyBorder="1"/>
    <xf numFmtId="3" fontId="111" fillId="46" borderId="20" xfId="0" applyNumberFormat="1" applyFont="1" applyFill="1" applyBorder="1"/>
    <xf numFmtId="0" fontId="80" fillId="0" borderId="121" xfId="0" applyFont="1" applyFill="1" applyBorder="1"/>
    <xf numFmtId="3" fontId="80" fillId="36" borderId="197" xfId="0" applyNumberFormat="1" applyFont="1" applyFill="1" applyBorder="1"/>
    <xf numFmtId="3" fontId="80" fillId="0" borderId="124" xfId="0" applyNumberFormat="1" applyFont="1" applyFill="1" applyBorder="1"/>
    <xf numFmtId="3" fontId="80" fillId="0" borderId="125" xfId="0" applyNumberFormat="1" applyFont="1" applyFill="1" applyBorder="1"/>
    <xf numFmtId="10" fontId="80" fillId="0" borderId="125" xfId="0" applyNumberFormat="1" applyFont="1" applyFill="1" applyBorder="1"/>
    <xf numFmtId="3" fontId="80" fillId="36" borderId="99" xfId="0" applyNumberFormat="1" applyFont="1" applyFill="1" applyBorder="1"/>
    <xf numFmtId="3" fontId="80" fillId="0" borderId="198" xfId="0" applyNumberFormat="1" applyFont="1" applyFill="1" applyBorder="1"/>
    <xf numFmtId="4" fontId="80" fillId="0" borderId="121" xfId="0" applyNumberFormat="1" applyFont="1" applyFill="1" applyBorder="1"/>
    <xf numFmtId="0" fontId="80" fillId="0" borderId="39" xfId="0" applyFont="1" applyFill="1" applyBorder="1"/>
    <xf numFmtId="0" fontId="80" fillId="36" borderId="199" xfId="0" applyFont="1" applyFill="1" applyBorder="1" applyAlignment="1">
      <alignment horizontal="center"/>
    </xf>
    <xf numFmtId="0" fontId="80" fillId="0" borderId="93" xfId="0" applyFont="1" applyFill="1" applyBorder="1" applyAlignment="1">
      <alignment horizontal="center"/>
    </xf>
    <xf numFmtId="0" fontId="80" fillId="0" borderId="94" xfId="0" applyFont="1" applyFill="1" applyBorder="1" applyAlignment="1">
      <alignment horizontal="center"/>
    </xf>
    <xf numFmtId="0" fontId="80" fillId="36" borderId="94" xfId="0" applyFont="1" applyFill="1" applyBorder="1" applyAlignment="1">
      <alignment horizontal="center"/>
    </xf>
    <xf numFmtId="1" fontId="80" fillId="0" borderId="95" xfId="0" applyNumberFormat="1" applyFont="1" applyFill="1" applyBorder="1" applyAlignment="1">
      <alignment horizontal="center"/>
    </xf>
    <xf numFmtId="1" fontId="80" fillId="0" borderId="39" xfId="0" applyNumberFormat="1" applyFont="1" applyFill="1" applyBorder="1" applyAlignment="1">
      <alignment horizontal="center"/>
    </xf>
    <xf numFmtId="16" fontId="80" fillId="36" borderId="60" xfId="0" applyNumberFormat="1" applyFont="1" applyFill="1" applyBorder="1" applyAlignment="1">
      <alignment horizontal="center"/>
    </xf>
    <xf numFmtId="1" fontId="80" fillId="38" borderId="60" xfId="0" applyNumberFormat="1" applyFont="1" applyFill="1" applyBorder="1" applyAlignment="1">
      <alignment horizontal="center"/>
    </xf>
    <xf numFmtId="0" fontId="83" fillId="0" borderId="56" xfId="0" applyFont="1" applyFill="1" applyBorder="1" applyAlignment="1">
      <alignment horizontal="center"/>
    </xf>
    <xf numFmtId="0" fontId="124" fillId="0" borderId="0" xfId="0" applyFont="1" applyFill="1"/>
    <xf numFmtId="0" fontId="56" fillId="53" borderId="0" xfId="0" applyFont="1" applyFill="1"/>
    <xf numFmtId="3" fontId="62" fillId="0" borderId="55" xfId="0" applyNumberFormat="1" applyFont="1" applyFill="1" applyBorder="1"/>
    <xf numFmtId="3" fontId="62" fillId="0" borderId="58" xfId="0" applyNumberFormat="1" applyFont="1" applyFill="1" applyBorder="1"/>
    <xf numFmtId="3" fontId="56" fillId="0" borderId="43" xfId="0" applyNumberFormat="1" applyFont="1" applyFill="1" applyBorder="1"/>
    <xf numFmtId="0" fontId="56" fillId="0" borderId="212" xfId="0" applyFont="1" applyFill="1" applyBorder="1" applyAlignment="1">
      <alignment horizontal="center"/>
    </xf>
    <xf numFmtId="0" fontId="56" fillId="0" borderId="13" xfId="0" applyFont="1" applyFill="1" applyBorder="1"/>
    <xf numFmtId="3" fontId="56" fillId="0" borderId="14" xfId="0" applyNumberFormat="1" applyFont="1" applyFill="1" applyBorder="1"/>
    <xf numFmtId="0" fontId="56" fillId="0" borderId="21" xfId="0" applyFont="1" applyFill="1" applyBorder="1"/>
    <xf numFmtId="0" fontId="56" fillId="0" borderId="15" xfId="0" applyFont="1" applyFill="1" applyBorder="1"/>
    <xf numFmtId="0" fontId="56" fillId="0" borderId="22" xfId="0" applyFont="1" applyFill="1" applyBorder="1"/>
    <xf numFmtId="0" fontId="56" fillId="0" borderId="68" xfId="0" applyFont="1" applyFill="1" applyBorder="1" applyAlignment="1">
      <alignment horizontal="center"/>
    </xf>
    <xf numFmtId="0" fontId="56" fillId="0" borderId="187" xfId="0" applyFont="1" applyFill="1" applyBorder="1"/>
    <xf numFmtId="10" fontId="56" fillId="0" borderId="12" xfId="0" applyNumberFormat="1" applyFont="1" applyBorder="1"/>
    <xf numFmtId="3" fontId="56" fillId="36" borderId="185" xfId="0" applyNumberFormat="1" applyFont="1" applyFill="1" applyBorder="1"/>
    <xf numFmtId="0" fontId="56" fillId="0" borderId="68" xfId="0" applyFont="1" applyFill="1" applyBorder="1" applyAlignment="1">
      <alignment horizontal="right"/>
    </xf>
    <xf numFmtId="3" fontId="58" fillId="0" borderId="12" xfId="0" applyNumberFormat="1" applyFont="1" applyFill="1" applyBorder="1"/>
    <xf numFmtId="3" fontId="58" fillId="0" borderId="186" xfId="0" applyNumberFormat="1" applyFont="1" applyFill="1" applyBorder="1"/>
    <xf numFmtId="3" fontId="58" fillId="0" borderId="35" xfId="0" applyNumberFormat="1" applyFont="1" applyFill="1" applyBorder="1"/>
    <xf numFmtId="3" fontId="87" fillId="0" borderId="198" xfId="0" applyNumberFormat="1" applyFont="1" applyBorder="1"/>
    <xf numFmtId="3" fontId="217" fillId="42" borderId="22" xfId="80" applyNumberFormat="1" applyFont="1" applyFill="1" applyBorder="1"/>
    <xf numFmtId="3" fontId="128" fillId="42" borderId="22" xfId="80" applyNumberFormat="1" applyFont="1" applyFill="1" applyBorder="1"/>
    <xf numFmtId="3" fontId="128" fillId="43" borderId="159" xfId="80" applyNumberFormat="1" applyFont="1" applyFill="1" applyBorder="1"/>
    <xf numFmtId="3" fontId="218" fillId="34" borderId="23" xfId="80" applyNumberFormat="1" applyFont="1" applyFill="1" applyBorder="1"/>
    <xf numFmtId="3" fontId="128" fillId="42" borderId="22" xfId="80" applyNumberFormat="1" applyFont="1" applyFill="1" applyBorder="1" applyAlignment="1">
      <alignment horizontal="right"/>
    </xf>
    <xf numFmtId="0" fontId="128" fillId="42" borderId="22" xfId="80" applyFont="1" applyFill="1" applyBorder="1"/>
    <xf numFmtId="3" fontId="128" fillId="0" borderId="22" xfId="80" applyNumberFormat="1" applyFont="1" applyFill="1" applyBorder="1"/>
    <xf numFmtId="10" fontId="119" fillId="0" borderId="0" xfId="80" applyNumberFormat="1" applyFont="1" applyFill="1" applyBorder="1"/>
    <xf numFmtId="3" fontId="51" fillId="0" borderId="0" xfId="100" applyNumberFormat="1" applyFont="1" applyFill="1" applyBorder="1"/>
    <xf numFmtId="0" fontId="56" fillId="0" borderId="39" xfId="100" applyFont="1" applyBorder="1" applyAlignment="1">
      <alignment horizontal="center"/>
    </xf>
    <xf numFmtId="0" fontId="56" fillId="0" borderId="59" xfId="100" applyFont="1" applyBorder="1"/>
    <xf numFmtId="0" fontId="62" fillId="29" borderId="60" xfId="100" applyFont="1" applyFill="1" applyBorder="1" applyAlignment="1">
      <alignment horizontal="center"/>
    </xf>
    <xf numFmtId="0" fontId="62" fillId="0" borderId="31" xfId="100" applyFont="1" applyFill="1" applyBorder="1" applyAlignment="1">
      <alignment horizontal="center"/>
    </xf>
    <xf numFmtId="0" fontId="56" fillId="0" borderId="60" xfId="100" applyFont="1" applyBorder="1"/>
    <xf numFmtId="0" fontId="56" fillId="0" borderId="23" xfId="100" applyFont="1" applyBorder="1"/>
    <xf numFmtId="0" fontId="62" fillId="41" borderId="60" xfId="100" applyFont="1" applyFill="1" applyBorder="1" applyAlignment="1">
      <alignment horizontal="center" vertical="center" wrapText="1"/>
    </xf>
    <xf numFmtId="0" fontId="62" fillId="0" borderId="31" xfId="100" applyFont="1" applyFill="1" applyBorder="1" applyAlignment="1">
      <alignment horizontal="center" vertical="center"/>
    </xf>
    <xf numFmtId="0" fontId="120" fillId="0" borderId="60" xfId="100" applyFont="1" applyBorder="1" applyAlignment="1">
      <alignment horizontal="center" vertical="center" wrapText="1"/>
    </xf>
    <xf numFmtId="3" fontId="62" fillId="41" borderId="46" xfId="100" applyNumberFormat="1" applyFont="1" applyFill="1" applyBorder="1" applyAlignment="1">
      <alignment horizontal="center" vertical="center" wrapText="1"/>
    </xf>
    <xf numFmtId="3" fontId="117" fillId="0" borderId="53" xfId="100" applyNumberFormat="1" applyFont="1" applyFill="1" applyBorder="1" applyAlignment="1">
      <alignment horizontal="center" vertical="center"/>
    </xf>
    <xf numFmtId="10" fontId="56" fillId="0" borderId="54" xfId="100" applyNumberFormat="1" applyFont="1" applyBorder="1" applyAlignment="1">
      <alignment horizontal="center" vertical="center"/>
    </xf>
    <xf numFmtId="0" fontId="2" fillId="41" borderId="57" xfId="318" applyFill="1" applyBorder="1" applyAlignment="1">
      <alignment horizontal="center" vertical="center" wrapText="1"/>
    </xf>
    <xf numFmtId="3" fontId="117" fillId="0" borderId="178" xfId="100" applyNumberFormat="1" applyFont="1" applyFill="1" applyBorder="1" applyAlignment="1">
      <alignment horizontal="center" vertical="center"/>
    </xf>
    <xf numFmtId="10" fontId="56" fillId="0" borderId="162" xfId="100" applyNumberFormat="1" applyFont="1" applyBorder="1" applyAlignment="1">
      <alignment horizontal="center" vertical="center"/>
    </xf>
    <xf numFmtId="0" fontId="2" fillId="41" borderId="50" xfId="318" applyFill="1" applyBorder="1" applyAlignment="1">
      <alignment horizontal="center" vertical="center" wrapText="1"/>
    </xf>
    <xf numFmtId="3" fontId="117" fillId="0" borderId="75" xfId="100" applyNumberFormat="1" applyFont="1" applyFill="1" applyBorder="1" applyAlignment="1">
      <alignment horizontal="center" vertical="center"/>
    </xf>
    <xf numFmtId="10" fontId="56" fillId="0" borderId="16" xfId="100" applyNumberFormat="1" applyFont="1" applyBorder="1" applyAlignment="1">
      <alignment horizontal="center" vertical="center"/>
    </xf>
    <xf numFmtId="3" fontId="117" fillId="0" borderId="81" xfId="100" applyNumberFormat="1" applyFont="1" applyFill="1" applyBorder="1" applyAlignment="1">
      <alignment horizontal="center" vertical="center"/>
    </xf>
    <xf numFmtId="10" fontId="56" fillId="0" borderId="73" xfId="100" applyNumberFormat="1" applyFont="1" applyBorder="1" applyAlignment="1">
      <alignment horizontal="center" vertical="center"/>
    </xf>
    <xf numFmtId="3" fontId="219" fillId="38" borderId="60" xfId="100" applyNumberFormat="1" applyFont="1" applyFill="1" applyBorder="1" applyAlignment="1">
      <alignment horizontal="center" vertical="center"/>
    </xf>
    <xf numFmtId="3" fontId="62" fillId="38" borderId="31" xfId="100" applyNumberFormat="1" applyFont="1" applyFill="1" applyBorder="1"/>
    <xf numFmtId="10" fontId="56" fillId="38" borderId="60" xfId="100" applyNumberFormat="1" applyFont="1" applyFill="1" applyBorder="1"/>
    <xf numFmtId="0" fontId="120" fillId="0" borderId="24" xfId="100" applyFont="1" applyBorder="1" applyAlignment="1">
      <alignment horizontal="center"/>
    </xf>
    <xf numFmtId="0" fontId="120" fillId="0" borderId="32" xfId="100" applyFont="1" applyBorder="1" applyAlignment="1">
      <alignment horizontal="center"/>
    </xf>
    <xf numFmtId="0" fontId="120" fillId="0" borderId="44" xfId="100" applyFont="1" applyBorder="1" applyAlignment="1">
      <alignment horizontal="left"/>
    </xf>
    <xf numFmtId="3" fontId="62" fillId="29" borderId="46" xfId="100" applyNumberFormat="1" applyFont="1" applyFill="1" applyBorder="1" applyAlignment="1">
      <alignment horizontal="center" vertical="center"/>
    </xf>
    <xf numFmtId="3" fontId="117" fillId="0" borderId="45" xfId="100" applyNumberFormat="1" applyFont="1" applyFill="1" applyBorder="1" applyAlignment="1">
      <alignment horizontal="center" vertical="center"/>
    </xf>
    <xf numFmtId="10" fontId="56" fillId="0" borderId="46" xfId="100" applyNumberFormat="1" applyFont="1" applyBorder="1" applyAlignment="1">
      <alignment horizontal="center" vertical="center"/>
    </xf>
    <xf numFmtId="0" fontId="120" fillId="0" borderId="17" xfId="100" applyFont="1" applyBorder="1" applyAlignment="1">
      <alignment horizontal="center"/>
    </xf>
    <xf numFmtId="0" fontId="120" fillId="0" borderId="31" xfId="100" applyFont="1" applyBorder="1" applyAlignment="1">
      <alignment horizontal="center"/>
    </xf>
    <xf numFmtId="0" fontId="120" fillId="0" borderId="59" xfId="100" applyFont="1" applyBorder="1" applyAlignment="1">
      <alignment horizontal="left"/>
    </xf>
    <xf numFmtId="3" fontId="62" fillId="29" borderId="60" xfId="100" applyNumberFormat="1" applyFont="1" applyFill="1" applyBorder="1" applyAlignment="1">
      <alignment horizontal="center" vertical="center"/>
    </xf>
    <xf numFmtId="3" fontId="117" fillId="0" borderId="31" xfId="100" applyNumberFormat="1" applyFont="1" applyFill="1" applyBorder="1" applyAlignment="1">
      <alignment horizontal="center"/>
    </xf>
    <xf numFmtId="10" fontId="56" fillId="0" borderId="60" xfId="100" applyNumberFormat="1" applyFont="1" applyBorder="1" applyAlignment="1">
      <alignment horizontal="center" vertical="center"/>
    </xf>
    <xf numFmtId="3" fontId="89" fillId="38" borderId="60" xfId="100" applyNumberFormat="1" applyFont="1" applyFill="1" applyBorder="1" applyAlignment="1">
      <alignment horizontal="center" vertical="center"/>
    </xf>
    <xf numFmtId="3" fontId="89" fillId="38" borderId="31" xfId="100" applyNumberFormat="1" applyFont="1" applyFill="1" applyBorder="1"/>
    <xf numFmtId="0" fontId="44" fillId="38" borderId="60" xfId="100" applyFont="1" applyFill="1" applyBorder="1"/>
    <xf numFmtId="0" fontId="120" fillId="0" borderId="17" xfId="100" applyFont="1" applyBorder="1" applyAlignment="1">
      <alignment horizontal="center" vertical="top"/>
    </xf>
    <xf numFmtId="0" fontId="120" fillId="0" borderId="18" xfId="100" applyFont="1" applyBorder="1" applyAlignment="1">
      <alignment horizontal="center" vertical="top"/>
    </xf>
    <xf numFmtId="0" fontId="120" fillId="0" borderId="31" xfId="100" applyFont="1" applyBorder="1" applyAlignment="1">
      <alignment horizontal="left" vertical="top"/>
    </xf>
    <xf numFmtId="3" fontId="62" fillId="41" borderId="60" xfId="100" applyNumberFormat="1" applyFont="1" applyFill="1" applyBorder="1" applyAlignment="1">
      <alignment horizontal="center"/>
    </xf>
    <xf numFmtId="10" fontId="56" fillId="0" borderId="60" xfId="100" applyNumberFormat="1" applyFont="1" applyBorder="1" applyAlignment="1">
      <alignment horizontal="center"/>
    </xf>
    <xf numFmtId="3" fontId="117" fillId="0" borderId="72" xfId="100" applyNumberFormat="1" applyFont="1" applyFill="1" applyBorder="1" applyAlignment="1">
      <alignment horizontal="center"/>
    </xf>
    <xf numFmtId="10" fontId="56" fillId="0" borderId="62" xfId="100" applyNumberFormat="1" applyFont="1" applyBorder="1" applyAlignment="1">
      <alignment horizontal="center"/>
    </xf>
    <xf numFmtId="3" fontId="117" fillId="0" borderId="75" xfId="100" applyNumberFormat="1" applyFont="1" applyFill="1" applyBorder="1" applyAlignment="1">
      <alignment horizontal="center"/>
    </xf>
    <xf numFmtId="10" fontId="56" fillId="0" borderId="16" xfId="100" applyNumberFormat="1" applyFont="1" applyBorder="1" applyAlignment="1">
      <alignment horizontal="center"/>
    </xf>
    <xf numFmtId="0" fontId="120" fillId="0" borderId="59" xfId="100" applyFont="1" applyBorder="1" applyAlignment="1">
      <alignment horizontal="left" vertical="top"/>
    </xf>
    <xf numFmtId="3" fontId="62" fillId="41" borderId="60" xfId="100" applyNumberFormat="1" applyFont="1" applyFill="1" applyBorder="1" applyAlignment="1">
      <alignment horizontal="center" vertical="center"/>
    </xf>
    <xf numFmtId="3" fontId="117" fillId="0" borderId="69" xfId="100" applyNumberFormat="1" applyFont="1" applyFill="1" applyBorder="1" applyAlignment="1">
      <alignment horizontal="center"/>
    </xf>
    <xf numFmtId="10" fontId="56" fillId="0" borderId="185" xfId="100" applyNumberFormat="1" applyFont="1" applyBorder="1" applyAlignment="1">
      <alignment horizontal="center"/>
    </xf>
    <xf numFmtId="3" fontId="117" fillId="0" borderId="0" xfId="100" applyNumberFormat="1" applyFont="1" applyFill="1" applyBorder="1" applyAlignment="1">
      <alignment horizontal="center"/>
    </xf>
    <xf numFmtId="10" fontId="56" fillId="0" borderId="57" xfId="100" applyNumberFormat="1" applyFont="1" applyBorder="1" applyAlignment="1">
      <alignment horizontal="center"/>
    </xf>
    <xf numFmtId="3" fontId="117" fillId="0" borderId="63" xfId="100" applyNumberFormat="1" applyFont="1" applyBorder="1" applyAlignment="1">
      <alignment horizontal="center" vertical="center"/>
    </xf>
    <xf numFmtId="0" fontId="117" fillId="0" borderId="64" xfId="100" applyFont="1" applyBorder="1" applyAlignment="1">
      <alignment horizontal="center" vertical="center"/>
    </xf>
    <xf numFmtId="3" fontId="117" fillId="0" borderId="74" xfId="100" applyNumberFormat="1" applyFont="1" applyBorder="1" applyAlignment="1">
      <alignment horizontal="center" vertical="center"/>
    </xf>
    <xf numFmtId="0" fontId="117" fillId="0" borderId="16" xfId="100" applyFont="1" applyBorder="1" applyAlignment="1">
      <alignment horizontal="center" vertical="center"/>
    </xf>
    <xf numFmtId="3" fontId="117" fillId="0" borderId="43" xfId="100" applyNumberFormat="1" applyFont="1" applyFill="1" applyBorder="1" applyAlignment="1">
      <alignment horizontal="center"/>
    </xf>
    <xf numFmtId="10" fontId="56" fillId="0" borderId="50" xfId="100" applyNumberFormat="1" applyFont="1" applyBorder="1" applyAlignment="1">
      <alignment horizontal="center"/>
    </xf>
    <xf numFmtId="0" fontId="120" fillId="0" borderId="40" xfId="100" applyFont="1" applyBorder="1" applyAlignment="1">
      <alignment horizontal="center" vertical="top"/>
    </xf>
    <xf numFmtId="0" fontId="120" fillId="0" borderId="49" xfId="100" applyFont="1" applyBorder="1" applyAlignment="1">
      <alignment horizontal="left" vertical="top"/>
    </xf>
    <xf numFmtId="3" fontId="117" fillId="0" borderId="72" xfId="100" applyNumberFormat="1" applyFont="1" applyBorder="1" applyAlignment="1">
      <alignment horizontal="center" vertical="center"/>
    </xf>
    <xf numFmtId="0" fontId="117" fillId="0" borderId="62" xfId="100" applyFont="1" applyBorder="1" applyAlignment="1">
      <alignment horizontal="center" vertical="center"/>
    </xf>
    <xf numFmtId="3" fontId="117" fillId="0" borderId="70" xfId="100" applyNumberFormat="1" applyFont="1" applyBorder="1" applyAlignment="1">
      <alignment horizontal="center" vertical="center"/>
    </xf>
    <xf numFmtId="3" fontId="117" fillId="0" borderId="75" xfId="100" applyNumberFormat="1" applyFont="1" applyBorder="1" applyAlignment="1">
      <alignment horizontal="center" vertical="center"/>
    </xf>
    <xf numFmtId="0" fontId="120" fillId="0" borderId="13" xfId="100" applyFont="1" applyBorder="1" applyAlignment="1">
      <alignment horizontal="center" vertical="top" wrapText="1"/>
    </xf>
    <xf numFmtId="0" fontId="120" fillId="0" borderId="14" xfId="100" applyFont="1" applyBorder="1" applyAlignment="1">
      <alignment horizontal="center" vertical="top" wrapText="1"/>
    </xf>
    <xf numFmtId="0" fontId="120" fillId="0" borderId="183" xfId="100" applyFont="1" applyBorder="1" applyAlignment="1">
      <alignment vertical="top" wrapText="1"/>
    </xf>
    <xf numFmtId="0" fontId="56" fillId="0" borderId="0" xfId="100" applyFont="1" applyBorder="1" applyAlignment="1">
      <alignment horizontal="center"/>
    </xf>
    <xf numFmtId="0" fontId="220" fillId="0" borderId="0" xfId="318" applyFont="1" applyAlignment="1">
      <alignment vertical="center" wrapText="1"/>
    </xf>
    <xf numFmtId="0" fontId="111" fillId="42" borderId="60" xfId="318" applyFont="1" applyFill="1" applyBorder="1" applyAlignment="1">
      <alignment horizontal="center" vertical="center" wrapText="1"/>
    </xf>
    <xf numFmtId="0" fontId="111" fillId="42" borderId="60" xfId="318" applyFont="1" applyFill="1" applyBorder="1" applyAlignment="1">
      <alignment vertical="center" wrapText="1"/>
    </xf>
    <xf numFmtId="0" fontId="111" fillId="85" borderId="60" xfId="318" applyFont="1" applyFill="1" applyBorder="1" applyAlignment="1">
      <alignment horizontal="center" vertical="center" wrapText="1"/>
    </xf>
    <xf numFmtId="0" fontId="111" fillId="0" borderId="0" xfId="318" applyFont="1" applyAlignment="1">
      <alignment vertical="center" wrapText="1"/>
    </xf>
    <xf numFmtId="0" fontId="111" fillId="43" borderId="17" xfId="318" applyFont="1" applyFill="1" applyBorder="1" applyAlignment="1">
      <alignment horizontal="center" vertical="center" wrapText="1"/>
    </xf>
    <xf numFmtId="0" fontId="111" fillId="43" borderId="18" xfId="318" applyFont="1" applyFill="1" applyBorder="1" applyAlignment="1">
      <alignment vertical="center" wrapText="1"/>
    </xf>
    <xf numFmtId="3" fontId="111" fillId="43" borderId="60" xfId="318" applyNumberFormat="1" applyFont="1" applyFill="1" applyBorder="1" applyAlignment="1">
      <alignment horizontal="center" vertical="center" wrapText="1"/>
    </xf>
    <xf numFmtId="3" fontId="111" fillId="43" borderId="18" xfId="318" applyNumberFormat="1" applyFont="1" applyFill="1" applyBorder="1" applyAlignment="1">
      <alignment horizontal="center" vertical="center" wrapText="1"/>
    </xf>
    <xf numFmtId="0" fontId="111" fillId="43" borderId="18" xfId="318" applyFont="1" applyFill="1" applyBorder="1" applyAlignment="1">
      <alignment horizontal="center" vertical="center" wrapText="1"/>
    </xf>
    <xf numFmtId="0" fontId="111" fillId="43" borderId="23" xfId="318" applyFont="1" applyFill="1" applyBorder="1" applyAlignment="1">
      <alignment horizontal="center" vertical="center" wrapText="1"/>
    </xf>
    <xf numFmtId="0" fontId="111" fillId="0" borderId="27" xfId="318" applyFont="1" applyBorder="1" applyAlignment="1">
      <alignment horizontal="center" vertical="center" wrapText="1"/>
    </xf>
    <xf numFmtId="0" fontId="2" fillId="0" borderId="12" xfId="318" applyBorder="1" applyAlignment="1">
      <alignment vertical="center" wrapText="1"/>
    </xf>
    <xf numFmtId="0" fontId="2" fillId="0" borderId="185" xfId="318" applyBorder="1" applyAlignment="1">
      <alignment vertical="center" wrapText="1"/>
    </xf>
    <xf numFmtId="3" fontId="2" fillId="0" borderId="12" xfId="318" applyNumberFormat="1" applyBorder="1" applyAlignment="1">
      <alignment horizontal="center" vertical="center" wrapText="1"/>
    </xf>
    <xf numFmtId="0" fontId="2" fillId="0" borderId="12" xfId="318" applyBorder="1" applyAlignment="1">
      <alignment horizontal="center" vertical="center" wrapText="1"/>
    </xf>
    <xf numFmtId="0" fontId="2" fillId="0" borderId="0" xfId="318" applyAlignment="1">
      <alignment vertical="center" wrapText="1"/>
    </xf>
    <xf numFmtId="0" fontId="111" fillId="0" borderId="15" xfId="318" applyFont="1" applyBorder="1" applyAlignment="1">
      <alignment horizontal="center" vertical="center" wrapText="1"/>
    </xf>
    <xf numFmtId="0" fontId="2" fillId="0" borderId="10" xfId="318" applyBorder="1" applyAlignment="1">
      <alignment vertical="center" wrapText="1"/>
    </xf>
    <xf numFmtId="0" fontId="2" fillId="0" borderId="64" xfId="318" applyBorder="1" applyAlignment="1">
      <alignment vertical="center" wrapText="1"/>
    </xf>
    <xf numFmtId="3" fontId="2" fillId="0" borderId="10" xfId="318" applyNumberFormat="1" applyBorder="1" applyAlignment="1">
      <alignment horizontal="center" vertical="center" wrapText="1"/>
    </xf>
    <xf numFmtId="0" fontId="2" fillId="0" borderId="10" xfId="318" applyBorder="1" applyAlignment="1">
      <alignment horizontal="center" vertical="center" wrapText="1"/>
    </xf>
    <xf numFmtId="0" fontId="111" fillId="0" borderId="36" xfId="318" applyFont="1" applyBorder="1" applyAlignment="1">
      <alignment horizontal="center" vertical="center" wrapText="1"/>
    </xf>
    <xf numFmtId="0" fontId="2" fillId="0" borderId="37" xfId="318" applyBorder="1" applyAlignment="1">
      <alignment vertical="center" wrapText="1"/>
    </xf>
    <xf numFmtId="0" fontId="2" fillId="0" borderId="73" xfId="318" applyBorder="1" applyAlignment="1">
      <alignment vertical="center" wrapText="1"/>
    </xf>
    <xf numFmtId="3" fontId="2" fillId="0" borderId="37" xfId="318" applyNumberFormat="1" applyBorder="1" applyAlignment="1">
      <alignment horizontal="center" vertical="center" wrapText="1"/>
    </xf>
    <xf numFmtId="0" fontId="2" fillId="0" borderId="37" xfId="318" applyBorder="1" applyAlignment="1">
      <alignment horizontal="center" vertical="center" wrapText="1"/>
    </xf>
    <xf numFmtId="0" fontId="2" fillId="0" borderId="38" xfId="318" applyBorder="1" applyAlignment="1">
      <alignment horizontal="center" vertical="center" wrapText="1"/>
    </xf>
    <xf numFmtId="0" fontId="111" fillId="43" borderId="60" xfId="318" applyFont="1" applyFill="1" applyBorder="1" applyAlignment="1">
      <alignment horizontal="center" vertical="center" wrapText="1"/>
    </xf>
    <xf numFmtId="3" fontId="111" fillId="43" borderId="18" xfId="318" applyNumberFormat="1" applyFont="1" applyFill="1" applyBorder="1" applyAlignment="1">
      <alignment horizontal="center" vertical="center" wrapText="1" shrinkToFit="1"/>
    </xf>
    <xf numFmtId="0" fontId="221" fillId="0" borderId="12" xfId="318" applyFont="1" applyBorder="1" applyAlignment="1">
      <alignment horizontal="center" vertical="center" wrapText="1"/>
    </xf>
    <xf numFmtId="3" fontId="2" fillId="0" borderId="26" xfId="318" applyNumberFormat="1" applyBorder="1" applyAlignment="1">
      <alignment horizontal="center" vertical="center" wrapText="1"/>
    </xf>
    <xf numFmtId="0" fontId="221" fillId="0" borderId="26" xfId="318" applyFont="1" applyBorder="1" applyAlignment="1">
      <alignment horizontal="center" vertical="center" wrapText="1"/>
    </xf>
    <xf numFmtId="0" fontId="222" fillId="86" borderId="18" xfId="318" applyFont="1" applyFill="1" applyBorder="1" applyAlignment="1">
      <alignment horizontal="center" vertical="center" wrapText="1"/>
    </xf>
    <xf numFmtId="0" fontId="222" fillId="86" borderId="23" xfId="318" applyFont="1" applyFill="1" applyBorder="1" applyAlignment="1">
      <alignment horizontal="center" vertical="center" wrapText="1"/>
    </xf>
    <xf numFmtId="0" fontId="111" fillId="0" borderId="19" xfId="318" applyFont="1" applyBorder="1" applyAlignment="1">
      <alignment horizontal="center" vertical="center" wrapText="1"/>
    </xf>
    <xf numFmtId="0" fontId="2" fillId="0" borderId="20" xfId="318" applyBorder="1" applyAlignment="1">
      <alignment vertical="center" wrapText="1"/>
    </xf>
    <xf numFmtId="0" fontId="2" fillId="0" borderId="16" xfId="318" applyBorder="1" applyAlignment="1">
      <alignment vertical="center" wrapText="1"/>
    </xf>
    <xf numFmtId="3" fontId="2" fillId="0" borderId="40" xfId="318" applyNumberFormat="1" applyBorder="1" applyAlignment="1">
      <alignment horizontal="center" vertical="center" wrapText="1"/>
    </xf>
    <xf numFmtId="0" fontId="221" fillId="0" borderId="40" xfId="318" applyFont="1" applyBorder="1" applyAlignment="1">
      <alignment horizontal="center" vertical="center" wrapText="1"/>
    </xf>
    <xf numFmtId="0" fontId="111" fillId="0" borderId="0" xfId="318" applyFont="1" applyAlignment="1">
      <alignment horizontal="center"/>
    </xf>
    <xf numFmtId="0" fontId="2" fillId="0" borderId="0" xfId="318"/>
    <xf numFmtId="0" fontId="40" fillId="87" borderId="14" xfId="0" applyFont="1" applyFill="1" applyBorder="1" applyAlignment="1">
      <alignment horizontal="center"/>
    </xf>
    <xf numFmtId="165" fontId="223" fillId="0" borderId="0" xfId="318" applyNumberFormat="1" applyFont="1" applyAlignment="1">
      <alignment vertical="center"/>
    </xf>
    <xf numFmtId="49" fontId="223" fillId="0" borderId="0" xfId="318" applyNumberFormat="1" applyFont="1" applyAlignment="1">
      <alignment vertical="center"/>
    </xf>
    <xf numFmtId="165" fontId="223" fillId="0" borderId="0" xfId="318" applyNumberFormat="1" applyFont="1" applyAlignment="1">
      <alignment vertical="center" wrapText="1"/>
    </xf>
    <xf numFmtId="165" fontId="224" fillId="0" borderId="0" xfId="318" applyNumberFormat="1" applyFont="1" applyAlignment="1">
      <alignment vertical="center"/>
    </xf>
    <xf numFmtId="49" fontId="148" fillId="0" borderId="0" xfId="318" applyNumberFormat="1" applyFont="1" applyAlignment="1"/>
    <xf numFmtId="165" fontId="148" fillId="0" borderId="0" xfId="318" applyNumberFormat="1" applyFont="1"/>
    <xf numFmtId="165" fontId="48" fillId="0" borderId="0" xfId="318" applyNumberFormat="1" applyFont="1" applyAlignment="1"/>
    <xf numFmtId="165" fontId="147" fillId="0" borderId="0" xfId="318" applyNumberFormat="1" applyFont="1" applyFill="1"/>
    <xf numFmtId="165" fontId="167" fillId="0" borderId="0" xfId="318" applyNumberFormat="1" applyFont="1" applyAlignment="1">
      <alignment vertical="top"/>
    </xf>
    <xf numFmtId="49" fontId="168" fillId="0" borderId="0" xfId="318" applyNumberFormat="1" applyFont="1"/>
    <xf numFmtId="165" fontId="168" fillId="0" borderId="0" xfId="318" applyNumberFormat="1" applyFont="1" applyAlignment="1">
      <alignment wrapText="1"/>
    </xf>
    <xf numFmtId="165" fontId="169" fillId="0" borderId="0" xfId="318" applyNumberFormat="1" applyFont="1"/>
    <xf numFmtId="165" fontId="168" fillId="0" borderId="0" xfId="318" applyNumberFormat="1" applyFont="1" applyBorder="1" applyAlignment="1"/>
    <xf numFmtId="165" fontId="48" fillId="0" borderId="0" xfId="318" applyNumberFormat="1" applyFont="1" applyBorder="1" applyAlignment="1"/>
    <xf numFmtId="165" fontId="149" fillId="0" borderId="0" xfId="318" applyNumberFormat="1" applyFont="1" applyFill="1"/>
    <xf numFmtId="49" fontId="151" fillId="45" borderId="78" xfId="318" applyNumberFormat="1" applyFont="1" applyFill="1" applyBorder="1" applyAlignment="1">
      <alignment horizontal="center" wrapText="1"/>
    </xf>
    <xf numFmtId="165" fontId="151" fillId="45" borderId="32" xfId="318" applyNumberFormat="1" applyFont="1" applyFill="1" applyBorder="1" applyAlignment="1">
      <alignment wrapText="1"/>
    </xf>
    <xf numFmtId="165" fontId="51" fillId="45" borderId="45" xfId="318" applyNumberFormat="1" applyFont="1" applyFill="1" applyBorder="1"/>
    <xf numFmtId="3" fontId="151" fillId="45" borderId="32" xfId="318" applyNumberFormat="1" applyFont="1" applyFill="1" applyBorder="1"/>
    <xf numFmtId="3" fontId="152" fillId="45" borderId="46" xfId="318" applyNumberFormat="1" applyFont="1" applyFill="1" applyBorder="1" applyAlignment="1">
      <alignment horizontal="center"/>
    </xf>
    <xf numFmtId="165" fontId="150" fillId="35" borderId="45" xfId="318" applyNumberFormat="1" applyFont="1" applyFill="1" applyBorder="1"/>
    <xf numFmtId="49" fontId="151" fillId="45" borderId="10" xfId="318" applyNumberFormat="1" applyFont="1" applyFill="1" applyBorder="1" applyAlignment="1">
      <alignment wrapText="1"/>
    </xf>
    <xf numFmtId="165" fontId="151" fillId="45" borderId="10" xfId="318" applyNumberFormat="1" applyFont="1" applyFill="1" applyBorder="1" applyAlignment="1">
      <alignment wrapText="1"/>
    </xf>
    <xf numFmtId="165" fontId="51" fillId="45" borderId="10" xfId="318" applyNumberFormat="1" applyFont="1" applyFill="1" applyBorder="1" applyAlignment="1"/>
    <xf numFmtId="3" fontId="151" fillId="45" borderId="10" xfId="318" applyNumberFormat="1" applyFont="1" applyFill="1" applyBorder="1" applyAlignment="1"/>
    <xf numFmtId="3" fontId="151" fillId="45" borderId="64" xfId="318" applyNumberFormat="1" applyFont="1" applyFill="1" applyBorder="1" applyAlignment="1">
      <alignment horizontal="center"/>
    </xf>
    <xf numFmtId="1" fontId="151" fillId="35" borderId="71" xfId="318" applyNumberFormat="1" applyFont="1" applyFill="1" applyBorder="1" applyAlignment="1">
      <alignment horizontal="center"/>
    </xf>
    <xf numFmtId="1" fontId="151" fillId="51" borderId="22" xfId="318" applyNumberFormat="1" applyFont="1" applyFill="1" applyBorder="1" applyAlignment="1">
      <alignment horizontal="center"/>
    </xf>
    <xf numFmtId="165" fontId="150" fillId="35" borderId="0" xfId="318" applyNumberFormat="1" applyFont="1" applyFill="1" applyBorder="1" applyAlignment="1"/>
    <xf numFmtId="49" fontId="170" fillId="45" borderId="193" xfId="318" applyNumberFormat="1" applyFont="1" applyFill="1" applyBorder="1" applyAlignment="1">
      <alignment horizontal="center" wrapText="1"/>
    </xf>
    <xf numFmtId="165" fontId="153" fillId="45" borderId="40" xfId="318" applyNumberFormat="1" applyFont="1" applyFill="1" applyBorder="1" applyAlignment="1">
      <alignment wrapText="1"/>
    </xf>
    <xf numFmtId="165" fontId="51" fillId="45" borderId="43" xfId="318" applyNumberFormat="1" applyFont="1" applyFill="1" applyBorder="1"/>
    <xf numFmtId="3" fontId="153" fillId="45" borderId="40" xfId="318" applyNumberFormat="1" applyFont="1" applyFill="1" applyBorder="1" applyAlignment="1">
      <alignment horizontal="center" wrapText="1"/>
    </xf>
    <xf numFmtId="3" fontId="153" fillId="45" borderId="50" xfId="318" applyNumberFormat="1" applyFont="1" applyFill="1" applyBorder="1" applyAlignment="1">
      <alignment horizontal="center" wrapText="1"/>
    </xf>
    <xf numFmtId="3" fontId="170" fillId="47" borderId="193" xfId="318" applyNumberFormat="1" applyFont="1" applyFill="1" applyBorder="1" applyAlignment="1">
      <alignment horizontal="center" wrapText="1"/>
    </xf>
    <xf numFmtId="3" fontId="170" fillId="47" borderId="40" xfId="318" applyNumberFormat="1" applyFont="1" applyFill="1" applyBorder="1" applyAlignment="1">
      <alignment horizontal="center" wrapText="1"/>
    </xf>
    <xf numFmtId="3" fontId="170" fillId="47" borderId="41" xfId="318" applyNumberFormat="1" applyFont="1" applyFill="1" applyBorder="1" applyAlignment="1">
      <alignment horizontal="center" wrapText="1"/>
    </xf>
    <xf numFmtId="165" fontId="51" fillId="35" borderId="43" xfId="318" applyNumberFormat="1" applyFont="1" applyFill="1" applyBorder="1"/>
    <xf numFmtId="165" fontId="51" fillId="0" borderId="0" xfId="318" applyNumberFormat="1" applyFont="1" applyFill="1" applyBorder="1"/>
    <xf numFmtId="49" fontId="171" fillId="0" borderId="83" xfId="318" applyNumberFormat="1" applyFont="1" applyFill="1" applyBorder="1"/>
    <xf numFmtId="165" fontId="171" fillId="0" borderId="83" xfId="318" applyNumberFormat="1" applyFont="1" applyFill="1" applyBorder="1" applyAlignment="1">
      <alignment horizontal="left" wrapText="1"/>
    </xf>
    <xf numFmtId="165" fontId="156" fillId="0" borderId="83" xfId="318" applyNumberFormat="1" applyFont="1" applyFill="1" applyBorder="1" applyAlignment="1">
      <alignment horizontal="left" wrapText="1"/>
    </xf>
    <xf numFmtId="3" fontId="171" fillId="0" borderId="84" xfId="318" applyNumberFormat="1" applyFont="1" applyFill="1" applyBorder="1" applyAlignment="1">
      <alignment horizontal="right"/>
    </xf>
    <xf numFmtId="3" fontId="154" fillId="0" borderId="54" xfId="318" applyNumberFormat="1" applyFont="1" applyFill="1" applyBorder="1"/>
    <xf numFmtId="3" fontId="154" fillId="0" borderId="82" xfId="318" applyNumberFormat="1" applyFont="1" applyFill="1" applyBorder="1"/>
    <xf numFmtId="3" fontId="154" fillId="0" borderId="83" xfId="318" applyNumberFormat="1" applyFont="1" applyFill="1" applyBorder="1"/>
    <xf numFmtId="3" fontId="171" fillId="0" borderId="115" xfId="318" applyNumberFormat="1" applyFont="1" applyFill="1" applyBorder="1"/>
    <xf numFmtId="165" fontId="171" fillId="0" borderId="0" xfId="318" applyNumberFormat="1" applyFont="1" applyFill="1"/>
    <xf numFmtId="49" fontId="151" fillId="0" borderId="86" xfId="318" applyNumberFormat="1" applyFont="1" applyFill="1" applyBorder="1"/>
    <xf numFmtId="165" fontId="151" fillId="0" borderId="86" xfId="318" applyNumberFormat="1" applyFont="1" applyFill="1" applyBorder="1" applyAlignment="1">
      <alignment horizontal="left" wrapText="1"/>
    </xf>
    <xf numFmtId="165" fontId="51" fillId="0" borderId="86" xfId="318" applyNumberFormat="1" applyFont="1" applyFill="1" applyBorder="1" applyAlignment="1">
      <alignment horizontal="left"/>
    </xf>
    <xf numFmtId="3" fontId="159" fillId="0" borderId="87" xfId="318" applyNumberFormat="1" applyFont="1" applyFill="1" applyBorder="1" applyAlignment="1">
      <alignment horizontal="right"/>
    </xf>
    <xf numFmtId="3" fontId="151" fillId="42" borderId="80" xfId="318" applyNumberFormat="1" applyFont="1" applyFill="1" applyBorder="1"/>
    <xf numFmtId="3" fontId="151" fillId="0" borderId="85" xfId="318" applyNumberFormat="1" applyFont="1" applyFill="1" applyBorder="1"/>
    <xf numFmtId="3" fontId="151" fillId="0" borderId="86" xfId="318" applyNumberFormat="1" applyFont="1" applyFill="1" applyBorder="1"/>
    <xf numFmtId="3" fontId="151" fillId="0" borderId="118" xfId="318" applyNumberFormat="1" applyFont="1" applyFill="1" applyBorder="1"/>
    <xf numFmtId="165" fontId="151" fillId="0" borderId="0" xfId="318" applyNumberFormat="1" applyFont="1" applyFill="1"/>
    <xf numFmtId="165" fontId="171" fillId="48" borderId="214" xfId="318" applyNumberFormat="1" applyFont="1" applyFill="1" applyBorder="1" applyAlignment="1">
      <alignment vertical="top"/>
    </xf>
    <xf numFmtId="49" fontId="171" fillId="48" borderId="134" xfId="318" applyNumberFormat="1" applyFont="1" applyFill="1" applyBorder="1"/>
    <xf numFmtId="165" fontId="171" fillId="48" borderId="134" xfId="318" applyNumberFormat="1" applyFont="1" applyFill="1" applyBorder="1" applyAlignment="1">
      <alignment horizontal="left" wrapText="1"/>
    </xf>
    <xf numFmtId="165" fontId="156" fillId="48" borderId="134" xfId="318" applyNumberFormat="1" applyFont="1" applyFill="1" applyBorder="1" applyAlignment="1">
      <alignment horizontal="left"/>
    </xf>
    <xf numFmtId="3" fontId="171" fillId="48" borderId="168" xfId="318" applyNumberFormat="1" applyFont="1" applyFill="1" applyBorder="1" applyAlignment="1">
      <alignment horizontal="right"/>
    </xf>
    <xf numFmtId="3" fontId="154" fillId="50" borderId="145" xfId="318" applyNumberFormat="1" applyFont="1" applyFill="1" applyBorder="1"/>
    <xf numFmtId="3" fontId="173" fillId="48" borderId="154" xfId="318" applyNumberFormat="1" applyFont="1" applyFill="1" applyBorder="1"/>
    <xf numFmtId="3" fontId="171" fillId="48" borderId="134" xfId="318" applyNumberFormat="1" applyFont="1" applyFill="1" applyBorder="1"/>
    <xf numFmtId="3" fontId="171" fillId="48" borderId="215" xfId="318" applyNumberFormat="1" applyFont="1" applyFill="1" applyBorder="1"/>
    <xf numFmtId="165" fontId="171" fillId="48" borderId="0" xfId="318" applyNumberFormat="1" applyFont="1" applyFill="1"/>
    <xf numFmtId="49" fontId="154" fillId="0" borderId="139" xfId="318" applyNumberFormat="1" applyFont="1" applyFill="1" applyBorder="1"/>
    <xf numFmtId="165" fontId="171" fillId="0" borderId="139" xfId="318" applyNumberFormat="1" applyFont="1" applyFill="1" applyBorder="1" applyAlignment="1">
      <alignment horizontal="left" wrapText="1"/>
    </xf>
    <xf numFmtId="165" fontId="156" fillId="0" borderId="139" xfId="318" applyNumberFormat="1" applyFont="1" applyFill="1" applyBorder="1" applyAlignment="1">
      <alignment horizontal="left" wrapText="1"/>
    </xf>
    <xf numFmtId="3" fontId="171" fillId="0" borderId="195" xfId="318" applyNumberFormat="1" applyFont="1" applyFill="1" applyBorder="1" applyAlignment="1">
      <alignment horizontal="right"/>
    </xf>
    <xf numFmtId="3" fontId="154" fillId="0" borderId="162" xfId="318" applyNumberFormat="1" applyFont="1" applyFill="1" applyBorder="1"/>
    <xf numFmtId="3" fontId="154" fillId="0" borderId="181" xfId="318" applyNumberFormat="1" applyFont="1" applyFill="1" applyBorder="1"/>
    <xf numFmtId="3" fontId="171" fillId="0" borderId="139" xfId="318" applyNumberFormat="1" applyFont="1" applyFill="1" applyBorder="1"/>
    <xf numFmtId="3" fontId="171" fillId="0" borderId="217" xfId="318" applyNumberFormat="1" applyFont="1" applyFill="1" applyBorder="1"/>
    <xf numFmtId="49" fontId="171" fillId="0" borderId="86" xfId="318" applyNumberFormat="1" applyFont="1" applyFill="1" applyBorder="1"/>
    <xf numFmtId="165" fontId="171" fillId="0" borderId="86" xfId="318" applyNumberFormat="1" applyFont="1" applyFill="1" applyBorder="1" applyAlignment="1">
      <alignment horizontal="left" wrapText="1"/>
    </xf>
    <xf numFmtId="165" fontId="156" fillId="0" borderId="86" xfId="318" applyNumberFormat="1" applyFont="1" applyFill="1" applyBorder="1" applyAlignment="1">
      <alignment horizontal="left" wrapText="1"/>
    </xf>
    <xf numFmtId="3" fontId="171" fillId="0" borderId="87" xfId="318" applyNumberFormat="1" applyFont="1" applyFill="1" applyBorder="1" applyAlignment="1">
      <alignment horizontal="right"/>
    </xf>
    <xf numFmtId="3" fontId="154" fillId="0" borderId="80" xfId="318" applyNumberFormat="1" applyFont="1" applyFill="1" applyBorder="1"/>
    <xf numFmtId="3" fontId="154" fillId="0" borderId="85" xfId="318" applyNumberFormat="1" applyFont="1" applyFill="1" applyBorder="1"/>
    <xf numFmtId="3" fontId="171" fillId="0" borderId="118" xfId="318" applyNumberFormat="1" applyFont="1" applyFill="1" applyBorder="1"/>
    <xf numFmtId="3" fontId="171" fillId="0" borderId="86" xfId="318" applyNumberFormat="1" applyFont="1" applyFill="1" applyBorder="1"/>
    <xf numFmtId="3" fontId="159" fillId="42" borderId="80" xfId="318" applyNumberFormat="1" applyFont="1" applyFill="1" applyBorder="1" applyAlignment="1">
      <alignment horizontal="right"/>
    </xf>
    <xf numFmtId="3" fontId="159" fillId="0" borderId="29" xfId="318" applyNumberFormat="1" applyFont="1" applyFill="1" applyBorder="1" applyAlignment="1">
      <alignment horizontal="right"/>
    </xf>
    <xf numFmtId="3" fontId="159" fillId="0" borderId="118" xfId="318" applyNumberFormat="1" applyFont="1" applyFill="1" applyBorder="1" applyAlignment="1">
      <alignment horizontal="right"/>
    </xf>
    <xf numFmtId="3" fontId="171" fillId="50" borderId="145" xfId="318" applyNumberFormat="1" applyFont="1" applyFill="1" applyBorder="1"/>
    <xf numFmtId="49" fontId="171" fillId="0" borderId="139" xfId="318" applyNumberFormat="1" applyFont="1" applyFill="1" applyBorder="1"/>
    <xf numFmtId="165" fontId="171" fillId="0" borderId="171" xfId="318" applyNumberFormat="1" applyFont="1" applyFill="1" applyBorder="1" applyAlignment="1">
      <alignment horizontal="left" wrapText="1"/>
    </xf>
    <xf numFmtId="165" fontId="156" fillId="0" borderId="139" xfId="318" applyNumberFormat="1" applyFont="1" applyFill="1" applyBorder="1" applyAlignment="1">
      <alignment horizontal="left"/>
    </xf>
    <xf numFmtId="3" fontId="171" fillId="0" borderId="162" xfId="318" applyNumberFormat="1" applyFont="1" applyFill="1" applyBorder="1"/>
    <xf numFmtId="3" fontId="154" fillId="0" borderId="181" xfId="318" applyNumberFormat="1" applyFont="1" applyFill="1" applyBorder="1" applyAlignment="1">
      <alignment horizontal="right" vertical="center"/>
    </xf>
    <xf numFmtId="49" fontId="171" fillId="0" borderId="87" xfId="318" applyNumberFormat="1" applyFont="1" applyFill="1" applyBorder="1"/>
    <xf numFmtId="165" fontId="171" fillId="0" borderId="0" xfId="318" applyNumberFormat="1" applyFont="1" applyFill="1" applyBorder="1" applyAlignment="1">
      <alignment horizontal="left" wrapText="1"/>
    </xf>
    <xf numFmtId="165" fontId="156" fillId="0" borderId="85" xfId="318" applyNumberFormat="1" applyFont="1" applyFill="1" applyBorder="1" applyAlignment="1">
      <alignment horizontal="left"/>
    </xf>
    <xf numFmtId="3" fontId="154" fillId="0" borderId="86" xfId="318" applyNumberFormat="1" applyFont="1" applyFill="1" applyBorder="1"/>
    <xf numFmtId="165" fontId="151" fillId="0" borderId="125" xfId="318" applyNumberFormat="1" applyFont="1" applyFill="1" applyBorder="1" applyAlignment="1">
      <alignment horizontal="left" wrapText="1"/>
    </xf>
    <xf numFmtId="49" fontId="171" fillId="0" borderId="139" xfId="318" applyNumberFormat="1" applyFont="1" applyFill="1" applyBorder="1" applyAlignment="1">
      <alignment vertical="center"/>
    </xf>
    <xf numFmtId="49" fontId="171" fillId="0" borderId="86" xfId="318" applyNumberFormat="1" applyFont="1" applyFill="1" applyBorder="1" applyAlignment="1">
      <alignment vertical="center"/>
    </xf>
    <xf numFmtId="165" fontId="156" fillId="0" borderId="86" xfId="318" applyNumberFormat="1" applyFont="1" applyFill="1" applyBorder="1" applyAlignment="1">
      <alignment horizontal="left"/>
    </xf>
    <xf numFmtId="49" fontId="172" fillId="0" borderId="86" xfId="318" applyNumberFormat="1" applyFont="1" applyFill="1" applyBorder="1" applyAlignment="1">
      <alignment vertical="center"/>
    </xf>
    <xf numFmtId="165" fontId="172" fillId="0" borderId="86" xfId="318" applyNumberFormat="1" applyFont="1" applyFill="1" applyBorder="1" applyAlignment="1">
      <alignment horizontal="left" wrapText="1"/>
    </xf>
    <xf numFmtId="165" fontId="174" fillId="0" borderId="86" xfId="318" applyNumberFormat="1" applyFont="1" applyFill="1" applyBorder="1" applyAlignment="1">
      <alignment horizontal="left"/>
    </xf>
    <xf numFmtId="3" fontId="175" fillId="0" borderId="87" xfId="318" applyNumberFormat="1" applyFont="1" applyFill="1" applyBorder="1" applyAlignment="1">
      <alignment horizontal="right"/>
    </xf>
    <xf numFmtId="3" fontId="151" fillId="0" borderId="143" xfId="318" applyNumberFormat="1" applyFont="1" applyFill="1" applyBorder="1"/>
    <xf numFmtId="3" fontId="172" fillId="0" borderId="85" xfId="318" applyNumberFormat="1" applyFont="1" applyFill="1" applyBorder="1"/>
    <xf numFmtId="165" fontId="172" fillId="42" borderId="214" xfId="318" applyNumberFormat="1" applyFont="1" applyFill="1" applyBorder="1" applyAlignment="1">
      <alignment vertical="top"/>
    </xf>
    <xf numFmtId="49" fontId="171" fillId="42" borderId="134" xfId="318" applyNumberFormat="1" applyFont="1" applyFill="1" applyBorder="1" applyAlignment="1">
      <alignment vertical="center"/>
    </xf>
    <xf numFmtId="165" fontId="171" fillId="42" borderId="134" xfId="318" applyNumberFormat="1" applyFont="1" applyFill="1" applyBorder="1" applyAlignment="1">
      <alignment horizontal="left" wrapText="1"/>
    </xf>
    <xf numFmtId="165" fontId="156" fillId="42" borderId="134" xfId="318" applyNumberFormat="1" applyFont="1" applyFill="1" applyBorder="1" applyAlignment="1">
      <alignment horizontal="left"/>
    </xf>
    <xf numFmtId="3" fontId="171" fillId="42" borderId="168" xfId="318" applyNumberFormat="1" applyFont="1" applyFill="1" applyBorder="1" applyAlignment="1">
      <alignment horizontal="right"/>
    </xf>
    <xf numFmtId="3" fontId="154" fillId="42" borderId="154" xfId="318" applyNumberFormat="1" applyFont="1" applyFill="1" applyBorder="1"/>
    <xf numFmtId="3" fontId="171" fillId="42" borderId="134" xfId="318" applyNumberFormat="1" applyFont="1" applyFill="1" applyBorder="1"/>
    <xf numFmtId="3" fontId="171" fillId="42" borderId="215" xfId="318" applyNumberFormat="1" applyFont="1" applyFill="1" applyBorder="1"/>
    <xf numFmtId="165" fontId="171" fillId="48" borderId="134" xfId="318" applyNumberFormat="1" applyFont="1" applyFill="1" applyBorder="1" applyAlignment="1">
      <alignment horizontal="left"/>
    </xf>
    <xf numFmtId="165" fontId="156" fillId="0" borderId="125" xfId="318" applyNumberFormat="1" applyFont="1" applyFill="1" applyBorder="1" applyAlignment="1">
      <alignment horizontal="left" wrapText="1"/>
    </xf>
    <xf numFmtId="165" fontId="154" fillId="88" borderId="86" xfId="318" applyNumberFormat="1" applyFont="1" applyFill="1" applyBorder="1" applyAlignment="1">
      <alignment horizontal="left" wrapText="1"/>
    </xf>
    <xf numFmtId="165" fontId="155" fillId="88" borderId="86" xfId="318" applyNumberFormat="1" applyFont="1" applyFill="1" applyBorder="1" applyAlignment="1">
      <alignment horizontal="left" wrapText="1"/>
    </xf>
    <xf numFmtId="3" fontId="154" fillId="88" borderId="87" xfId="318" applyNumberFormat="1" applyFont="1" applyFill="1" applyBorder="1" applyAlignment="1">
      <alignment horizontal="right"/>
    </xf>
    <xf numFmtId="3" fontId="154" fillId="88" borderId="80" xfId="318" applyNumberFormat="1" applyFont="1" applyFill="1" applyBorder="1"/>
    <xf numFmtId="3" fontId="154" fillId="88" borderId="85" xfId="318" applyNumberFormat="1" applyFont="1" applyFill="1" applyBorder="1"/>
    <xf numFmtId="3" fontId="154" fillId="88" borderId="86" xfId="318" applyNumberFormat="1" applyFont="1" applyFill="1" applyBorder="1"/>
    <xf numFmtId="3" fontId="154" fillId="88" borderId="118" xfId="318" applyNumberFormat="1" applyFont="1" applyFill="1" applyBorder="1"/>
    <xf numFmtId="49" fontId="148" fillId="0" borderId="105" xfId="318" applyNumberFormat="1" applyFont="1" applyFill="1" applyBorder="1"/>
    <xf numFmtId="165" fontId="153" fillId="0" borderId="105" xfId="318" applyNumberFormat="1" applyFont="1" applyFill="1" applyBorder="1" applyAlignment="1">
      <alignment horizontal="left" wrapText="1"/>
    </xf>
    <xf numFmtId="165" fontId="148" fillId="0" borderId="105" xfId="318" applyNumberFormat="1" applyFont="1" applyFill="1" applyBorder="1" applyAlignment="1">
      <alignment horizontal="left"/>
    </xf>
    <xf numFmtId="3" fontId="153" fillId="42" borderId="219" xfId="318" applyNumberFormat="1" applyFont="1" applyFill="1" applyBorder="1" applyAlignment="1">
      <alignment horizontal="right"/>
    </xf>
    <xf numFmtId="3" fontId="148" fillId="42" borderId="106" xfId="318" applyNumberFormat="1" applyFont="1" applyFill="1" applyBorder="1"/>
    <xf numFmtId="3" fontId="148" fillId="42" borderId="220" xfId="318" applyNumberFormat="1" applyFont="1" applyFill="1" applyBorder="1"/>
    <xf numFmtId="165" fontId="148" fillId="0" borderId="0" xfId="318" applyNumberFormat="1" applyFont="1" applyFill="1"/>
    <xf numFmtId="165" fontId="158" fillId="0" borderId="0" xfId="103" applyNumberFormat="1" applyFont="1" applyFill="1"/>
    <xf numFmtId="165" fontId="171" fillId="48" borderId="201" xfId="318" applyNumberFormat="1" applyFont="1" applyFill="1" applyBorder="1" applyAlignment="1">
      <alignment vertical="top"/>
    </xf>
    <xf numFmtId="49" fontId="171" fillId="48" borderId="99" xfId="318" applyNumberFormat="1" applyFont="1" applyFill="1" applyBorder="1"/>
    <xf numFmtId="165" fontId="171" fillId="48" borderId="99" xfId="318" applyNumberFormat="1" applyFont="1" applyFill="1" applyBorder="1" applyAlignment="1">
      <alignment wrapText="1"/>
    </xf>
    <xf numFmtId="165" fontId="156" fillId="48" borderId="99" xfId="318" applyNumberFormat="1" applyFont="1" applyFill="1" applyBorder="1" applyAlignment="1"/>
    <xf numFmtId="3" fontId="171" fillId="48" borderId="167" xfId="318" applyNumberFormat="1" applyFont="1" applyFill="1" applyBorder="1" applyAlignment="1">
      <alignment horizontal="right"/>
    </xf>
    <xf numFmtId="3" fontId="154" fillId="50" borderId="57" xfId="318" applyNumberFormat="1" applyFont="1" applyFill="1" applyBorder="1"/>
    <xf numFmtId="3" fontId="173" fillId="48" borderId="98" xfId="318" applyNumberFormat="1" applyFont="1" applyFill="1" applyBorder="1"/>
    <xf numFmtId="3" fontId="171" fillId="48" borderId="99" xfId="318" applyNumberFormat="1" applyFont="1" applyFill="1" applyBorder="1"/>
    <xf numFmtId="3" fontId="171" fillId="48" borderId="147" xfId="318" applyNumberFormat="1" applyFont="1" applyFill="1" applyBorder="1"/>
    <xf numFmtId="165" fontId="226" fillId="48" borderId="31" xfId="318" applyNumberFormat="1" applyFont="1" applyFill="1" applyBorder="1" applyAlignment="1">
      <alignment wrapText="1"/>
    </xf>
    <xf numFmtId="165" fontId="227" fillId="48" borderId="31" xfId="318" applyNumberFormat="1" applyFont="1" applyFill="1" applyBorder="1" applyAlignment="1"/>
    <xf numFmtId="3" fontId="225" fillId="48" borderId="31" xfId="318" applyNumberFormat="1" applyFont="1" applyFill="1" applyBorder="1" applyAlignment="1">
      <alignment horizontal="right"/>
    </xf>
    <xf numFmtId="3" fontId="225" fillId="50" borderId="60" xfId="318" applyNumberFormat="1" applyFont="1" applyFill="1" applyBorder="1"/>
    <xf numFmtId="3" fontId="225" fillId="48" borderId="160" xfId="318" applyNumberFormat="1" applyFont="1" applyFill="1" applyBorder="1"/>
    <xf numFmtId="3" fontId="225" fillId="48" borderId="18" xfId="318" applyNumberFormat="1" applyFont="1" applyFill="1" applyBorder="1"/>
    <xf numFmtId="3" fontId="225" fillId="48" borderId="23" xfId="318" applyNumberFormat="1" applyFont="1" applyFill="1" applyBorder="1"/>
    <xf numFmtId="165" fontId="225" fillId="48" borderId="0" xfId="318" applyNumberFormat="1" applyFont="1" applyFill="1"/>
    <xf numFmtId="165" fontId="225" fillId="0" borderId="0" xfId="103" applyNumberFormat="1" applyFont="1" applyFill="1"/>
    <xf numFmtId="165" fontId="225" fillId="0" borderId="30" xfId="103" applyNumberFormat="1" applyFont="1" applyFill="1" applyBorder="1"/>
    <xf numFmtId="165" fontId="167" fillId="0" borderId="40" xfId="318" applyNumberFormat="1" applyFont="1" applyFill="1" applyBorder="1" applyAlignment="1">
      <alignment wrapText="1"/>
    </xf>
    <xf numFmtId="165" fontId="157" fillId="0" borderId="49" xfId="318" applyNumberFormat="1" applyFont="1" applyFill="1" applyBorder="1" applyAlignment="1"/>
    <xf numFmtId="3" fontId="167" fillId="0" borderId="48" xfId="318" applyNumberFormat="1" applyFont="1" applyFill="1" applyBorder="1" applyAlignment="1">
      <alignment horizontal="right"/>
    </xf>
    <xf numFmtId="3" fontId="167" fillId="0" borderId="50" xfId="318" applyNumberFormat="1" applyFont="1" applyFill="1" applyBorder="1" applyAlignment="1">
      <alignment horizontal="right"/>
    </xf>
    <xf numFmtId="165" fontId="167" fillId="0" borderId="0" xfId="318" applyNumberFormat="1" applyFont="1" applyFill="1"/>
    <xf numFmtId="165" fontId="156" fillId="0" borderId="0" xfId="318" applyNumberFormat="1" applyFont="1" applyFill="1"/>
    <xf numFmtId="3" fontId="150" fillId="0" borderId="0" xfId="318" applyNumberFormat="1" applyFont="1" applyFill="1"/>
    <xf numFmtId="3" fontId="158" fillId="0" borderId="0" xfId="318" applyNumberFormat="1" applyFont="1" applyFill="1"/>
    <xf numFmtId="165" fontId="150" fillId="0" borderId="0" xfId="318" applyNumberFormat="1" applyFont="1" applyFill="1"/>
    <xf numFmtId="170" fontId="155" fillId="0" borderId="0" xfId="319" applyNumberFormat="1" applyFont="1"/>
    <xf numFmtId="0" fontId="57" fillId="0" borderId="76" xfId="0" applyFont="1" applyBorder="1" applyAlignment="1">
      <alignment wrapText="1"/>
    </xf>
    <xf numFmtId="49" fontId="57" fillId="0" borderId="71" xfId="0" applyNumberFormat="1" applyFont="1" applyFill="1" applyBorder="1" applyAlignment="1">
      <alignment horizontal="center" vertical="top" wrapText="1"/>
    </xf>
    <xf numFmtId="49" fontId="57" fillId="0" borderId="194" xfId="0" applyNumberFormat="1" applyFont="1" applyFill="1" applyBorder="1" applyAlignment="1">
      <alignment horizontal="center" vertical="top" wrapText="1"/>
    </xf>
    <xf numFmtId="3" fontId="57" fillId="0" borderId="186" xfId="0" applyNumberFormat="1" applyFont="1" applyFill="1" applyBorder="1"/>
    <xf numFmtId="3" fontId="57" fillId="0" borderId="71" xfId="0" applyNumberFormat="1" applyFont="1" applyFill="1" applyBorder="1"/>
    <xf numFmtId="4" fontId="57" fillId="0" borderId="71" xfId="0" applyNumberFormat="1" applyFont="1" applyFill="1" applyBorder="1"/>
    <xf numFmtId="4" fontId="57" fillId="0" borderId="163" xfId="0" applyNumberFormat="1" applyFont="1" applyFill="1" applyBorder="1"/>
    <xf numFmtId="3" fontId="58" fillId="0" borderId="226" xfId="0" applyNumberFormat="1" applyFont="1" applyBorder="1"/>
    <xf numFmtId="0" fontId="120" fillId="0" borderId="15" xfId="0" applyFont="1" applyBorder="1"/>
    <xf numFmtId="3" fontId="0" fillId="0" borderId="225" xfId="0" applyNumberFormat="1" applyBorder="1"/>
    <xf numFmtId="0" fontId="58" fillId="0" borderId="227" xfId="0" applyFont="1" applyFill="1" applyBorder="1"/>
    <xf numFmtId="0" fontId="181" fillId="0" borderId="0" xfId="0" applyFont="1" applyAlignment="1">
      <alignment wrapText="1"/>
    </xf>
    <xf numFmtId="3" fontId="0" fillId="0" borderId="223" xfId="0" applyNumberFormat="1" applyBorder="1"/>
    <xf numFmtId="3" fontId="59" fillId="0" borderId="226" xfId="0" applyNumberFormat="1" applyFont="1" applyBorder="1"/>
    <xf numFmtId="0" fontId="58" fillId="0" borderId="226" xfId="0" applyFont="1" applyBorder="1"/>
    <xf numFmtId="0" fontId="58" fillId="0" borderId="229" xfId="0" applyFont="1" applyFill="1" applyBorder="1" applyAlignment="1">
      <alignment horizontal="right"/>
    </xf>
    <xf numFmtId="0" fontId="181" fillId="0" borderId="45" xfId="0" applyFont="1" applyBorder="1" applyAlignment="1">
      <alignment wrapText="1"/>
    </xf>
    <xf numFmtId="0" fontId="180" fillId="0" borderId="221" xfId="0" applyFont="1" applyBorder="1"/>
    <xf numFmtId="3" fontId="181" fillId="0" borderId="0" xfId="0" applyNumberFormat="1" applyFont="1" applyAlignment="1">
      <alignment wrapText="1"/>
    </xf>
    <xf numFmtId="0" fontId="161" fillId="53" borderId="19" xfId="0" applyFont="1" applyFill="1" applyBorder="1" applyAlignment="1">
      <alignment horizontal="center" vertical="center" wrapText="1"/>
    </xf>
    <xf numFmtId="0" fontId="40" fillId="43" borderId="14" xfId="0" applyFont="1" applyFill="1" applyBorder="1" applyAlignment="1">
      <alignment horizontal="center"/>
    </xf>
    <xf numFmtId="0" fontId="111" fillId="43" borderId="194" xfId="0" applyFont="1" applyFill="1" applyBorder="1" applyAlignment="1">
      <alignment horizontal="center" vertical="center"/>
    </xf>
    <xf numFmtId="0" fontId="111" fillId="43" borderId="20" xfId="0" applyFont="1" applyFill="1" applyBorder="1" applyAlignment="1">
      <alignment horizontal="center" vertical="center"/>
    </xf>
    <xf numFmtId="0" fontId="111" fillId="87" borderId="20" xfId="0" applyFont="1" applyFill="1" applyBorder="1" applyAlignment="1">
      <alignment horizontal="center" vertical="center"/>
    </xf>
    <xf numFmtId="0" fontId="165" fillId="53" borderId="20" xfId="0" applyFont="1" applyFill="1" applyBorder="1" applyAlignment="1">
      <alignment horizontal="center" vertical="center"/>
    </xf>
    <xf numFmtId="0" fontId="165" fillId="53" borderId="111" xfId="0" applyFont="1" applyFill="1" applyBorder="1" applyAlignment="1">
      <alignment horizontal="center" vertical="center"/>
    </xf>
    <xf numFmtId="0" fontId="103" fillId="43" borderId="60" xfId="0" applyFont="1" applyFill="1" applyBorder="1"/>
    <xf numFmtId="3" fontId="0" fillId="0" borderId="60" xfId="0" applyNumberFormat="1" applyBorder="1"/>
    <xf numFmtId="3" fontId="0" fillId="0" borderId="0" xfId="0" applyNumberFormat="1" applyFont="1" applyBorder="1"/>
    <xf numFmtId="3" fontId="0" fillId="0" borderId="62" xfId="0" applyNumberFormat="1" applyFont="1" applyBorder="1"/>
    <xf numFmtId="3" fontId="0" fillId="0" borderId="64" xfId="0" applyNumberFormat="1" applyFont="1" applyBorder="1"/>
    <xf numFmtId="3" fontId="40" fillId="0" borderId="16" xfId="0" applyNumberFormat="1" applyFont="1" applyBorder="1"/>
    <xf numFmtId="0" fontId="58" fillId="0" borderId="193" xfId="0" applyFont="1" applyBorder="1" applyAlignment="1">
      <alignment horizontal="center"/>
    </xf>
    <xf numFmtId="0" fontId="122" fillId="0" borderId="78" xfId="0" applyFont="1" applyBorder="1" applyAlignment="1">
      <alignment horizontal="center"/>
    </xf>
    <xf numFmtId="0" fontId="122" fillId="0" borderId="32" xfId="0" applyFont="1" applyBorder="1" applyAlignment="1">
      <alignment horizontal="center"/>
    </xf>
    <xf numFmtId="0" fontId="122" fillId="0" borderId="32" xfId="0" applyFont="1" applyBorder="1"/>
    <xf numFmtId="0" fontId="122" fillId="38" borderId="32" xfId="0" applyFont="1" applyFill="1" applyBorder="1" applyAlignment="1">
      <alignment horizontal="center"/>
    </xf>
    <xf numFmtId="0" fontId="122" fillId="36" borderId="32" xfId="0" applyFont="1" applyFill="1" applyBorder="1" applyAlignment="1">
      <alignment horizontal="center"/>
    </xf>
    <xf numFmtId="0" fontId="122" fillId="38" borderId="33" xfId="0" applyFont="1" applyFill="1" applyBorder="1" applyAlignment="1">
      <alignment horizontal="center"/>
    </xf>
    <xf numFmtId="0" fontId="122" fillId="0" borderId="163" xfId="0" applyFont="1" applyBorder="1" applyAlignment="1">
      <alignment horizontal="center"/>
    </xf>
    <xf numFmtId="0" fontId="122" fillId="0" borderId="26" xfId="0" applyFont="1" applyBorder="1" applyAlignment="1">
      <alignment horizontal="center"/>
    </xf>
    <xf numFmtId="0" fontId="122" fillId="38" borderId="26" xfId="0" applyFont="1" applyFill="1" applyBorder="1" applyAlignment="1">
      <alignment horizontal="center"/>
    </xf>
    <xf numFmtId="0" fontId="122" fillId="36" borderId="26" xfId="0" applyFont="1" applyFill="1" applyBorder="1" applyAlignment="1">
      <alignment horizontal="center" wrapText="1"/>
    </xf>
    <xf numFmtId="0" fontId="122" fillId="38" borderId="34" xfId="0" applyFont="1" applyFill="1" applyBorder="1" applyAlignment="1">
      <alignment horizontal="center"/>
    </xf>
    <xf numFmtId="0" fontId="122" fillId="0" borderId="186" xfId="0" applyFont="1" applyBorder="1" applyAlignment="1">
      <alignment horizontal="center"/>
    </xf>
    <xf numFmtId="0" fontId="122" fillId="0" borderId="12" xfId="0" applyFont="1" applyBorder="1" applyAlignment="1">
      <alignment horizontal="center" wrapText="1"/>
    </xf>
    <xf numFmtId="0" fontId="122" fillId="0" borderId="12" xfId="0" applyFont="1" applyBorder="1" applyAlignment="1">
      <alignment horizontal="center"/>
    </xf>
    <xf numFmtId="0" fontId="122" fillId="38" borderId="12" xfId="0" applyFont="1" applyFill="1" applyBorder="1" applyAlignment="1">
      <alignment horizontal="center"/>
    </xf>
    <xf numFmtId="0" fontId="122" fillId="36" borderId="12" xfId="0" applyFont="1" applyFill="1" applyBorder="1" applyAlignment="1">
      <alignment horizontal="center"/>
    </xf>
    <xf numFmtId="0" fontId="122" fillId="38" borderId="10" xfId="0" applyFont="1" applyFill="1" applyBorder="1" applyAlignment="1">
      <alignment horizontal="center"/>
    </xf>
    <xf numFmtId="0" fontId="122" fillId="38" borderId="35" xfId="0" applyFont="1" applyFill="1" applyBorder="1" applyAlignment="1">
      <alignment horizontal="center"/>
    </xf>
    <xf numFmtId="3" fontId="116" fillId="0" borderId="12" xfId="0" applyNumberFormat="1" applyFont="1" applyBorder="1"/>
    <xf numFmtId="0" fontId="111" fillId="46" borderId="13" xfId="105" applyFont="1" applyFill="1" applyBorder="1"/>
    <xf numFmtId="0" fontId="111" fillId="46" borderId="14" xfId="105" applyFont="1" applyFill="1" applyBorder="1"/>
    <xf numFmtId="0" fontId="111" fillId="46" borderId="21" xfId="105" applyFont="1" applyFill="1" applyBorder="1"/>
    <xf numFmtId="3" fontId="104" fillId="0" borderId="221" xfId="105" applyNumberFormat="1" applyFont="1" applyFill="1" applyBorder="1" applyAlignment="1">
      <alignment horizontal="center" vertical="center"/>
    </xf>
    <xf numFmtId="1" fontId="104" fillId="0" borderId="223" xfId="105" applyNumberFormat="1" applyFont="1" applyFill="1" applyBorder="1" applyAlignment="1">
      <alignment horizontal="center" vertical="center"/>
    </xf>
    <xf numFmtId="3" fontId="104" fillId="0" borderId="22" xfId="105" applyNumberFormat="1" applyFont="1" applyFill="1" applyBorder="1" applyAlignment="1">
      <alignment vertical="center"/>
    </xf>
    <xf numFmtId="3" fontId="146" fillId="46" borderId="222" xfId="105" applyNumberFormat="1" applyFont="1" applyFill="1" applyBorder="1" applyAlignment="1">
      <alignment horizontal="center" vertical="center"/>
    </xf>
    <xf numFmtId="3" fontId="146" fillId="46" borderId="224" xfId="105" applyNumberFormat="1" applyFont="1" applyFill="1" applyBorder="1" applyAlignment="1">
      <alignment horizontal="center" vertical="center"/>
    </xf>
    <xf numFmtId="3" fontId="146" fillId="46" borderId="111" xfId="105" applyNumberFormat="1" applyFont="1" applyFill="1" applyBorder="1" applyAlignment="1">
      <alignment vertical="center"/>
    </xf>
    <xf numFmtId="0" fontId="240" fillId="0" borderId="0" xfId="0" applyFont="1" applyFill="1"/>
    <xf numFmtId="0" fontId="40" fillId="0" borderId="60" xfId="0" applyFont="1" applyBorder="1"/>
    <xf numFmtId="3" fontId="103" fillId="43" borderId="60" xfId="0" applyNumberFormat="1" applyFont="1" applyFill="1" applyBorder="1"/>
    <xf numFmtId="0" fontId="56" fillId="0" borderId="0" xfId="0" applyFont="1" applyFill="1" applyAlignment="1">
      <alignment wrapText="1"/>
    </xf>
    <xf numFmtId="0" fontId="120" fillId="0" borderId="42" xfId="0" applyFont="1" applyFill="1" applyBorder="1" applyAlignment="1">
      <alignment horizontal="center" vertical="center" wrapText="1"/>
    </xf>
    <xf numFmtId="0" fontId="120" fillId="0" borderId="45" xfId="0" applyFont="1" applyBorder="1" applyAlignment="1">
      <alignment horizontal="center" vertical="center" wrapText="1"/>
    </xf>
    <xf numFmtId="0" fontId="120" fillId="0" borderId="56" xfId="0" applyFont="1" applyBorder="1" applyAlignment="1">
      <alignment horizontal="center" vertical="center" wrapText="1"/>
    </xf>
    <xf numFmtId="0" fontId="120" fillId="0" borderId="0" xfId="0" applyFont="1" applyBorder="1" applyAlignment="1">
      <alignment horizontal="center" vertical="center" wrapText="1"/>
    </xf>
    <xf numFmtId="0" fontId="120" fillId="0" borderId="24" xfId="0" applyFont="1" applyFill="1" applyBorder="1" applyAlignment="1">
      <alignment horizontal="center" vertical="center"/>
    </xf>
    <xf numFmtId="0" fontId="120" fillId="0" borderId="140" xfId="0" applyFont="1" applyFill="1" applyBorder="1" applyAlignment="1">
      <alignment horizontal="center" vertical="center"/>
    </xf>
    <xf numFmtId="0" fontId="56" fillId="0" borderId="222" xfId="0" applyFont="1" applyFill="1" applyBorder="1" applyAlignment="1">
      <alignment horizontal="left"/>
    </xf>
    <xf numFmtId="0" fontId="56" fillId="0" borderId="224" xfId="0" applyFont="1" applyFill="1" applyBorder="1" applyAlignment="1">
      <alignment horizontal="left"/>
    </xf>
    <xf numFmtId="0" fontId="56" fillId="0" borderId="228" xfId="0" applyFont="1" applyFill="1" applyBorder="1" applyAlignment="1">
      <alignment horizontal="left"/>
    </xf>
    <xf numFmtId="0" fontId="57" fillId="0" borderId="42" xfId="0" applyFont="1" applyFill="1" applyBorder="1" applyAlignment="1">
      <alignment wrapText="1"/>
    </xf>
    <xf numFmtId="0" fontId="57" fillId="0" borderId="45" xfId="0" applyFont="1" applyBorder="1" applyAlignment="1">
      <alignment wrapText="1"/>
    </xf>
    <xf numFmtId="0" fontId="58" fillId="0" borderId="42" xfId="0" applyFont="1" applyFill="1" applyBorder="1" applyAlignment="1">
      <alignment wrapText="1"/>
    </xf>
    <xf numFmtId="0" fontId="58" fillId="0" borderId="45" xfId="0" applyFont="1" applyBorder="1" applyAlignment="1">
      <alignment wrapText="1"/>
    </xf>
    <xf numFmtId="0" fontId="58" fillId="0" borderId="56" xfId="0" applyFont="1" applyBorder="1" applyAlignment="1">
      <alignment wrapText="1"/>
    </xf>
    <xf numFmtId="0" fontId="58" fillId="0" borderId="0" xfId="0" applyFont="1" applyBorder="1" applyAlignment="1">
      <alignment wrapText="1"/>
    </xf>
    <xf numFmtId="0" fontId="57" fillId="0" borderId="68" xfId="0" applyFont="1" applyFill="1" applyBorder="1" applyAlignment="1">
      <alignment horizontal="center" wrapText="1"/>
    </xf>
    <xf numFmtId="0" fontId="57" fillId="0" borderId="187" xfId="0" applyFont="1" applyFill="1" applyBorder="1" applyAlignment="1">
      <alignment horizontal="center" wrapText="1"/>
    </xf>
    <xf numFmtId="49" fontId="57" fillId="26" borderId="46" xfId="0" applyNumberFormat="1" applyFont="1" applyFill="1" applyBorder="1" applyAlignment="1">
      <alignment horizontal="center" wrapText="1"/>
    </xf>
    <xf numFmtId="49" fontId="57" fillId="26" borderId="185" xfId="0" applyNumberFormat="1" applyFont="1" applyFill="1" applyBorder="1" applyAlignment="1">
      <alignment horizontal="center" wrapText="1"/>
    </xf>
    <xf numFmtId="0" fontId="62" fillId="0" borderId="59" xfId="0" applyFont="1" applyFill="1" applyBorder="1" applyAlignment="1">
      <alignment horizontal="center"/>
    </xf>
    <xf numFmtId="0" fontId="56" fillId="0" borderId="31" xfId="0" applyFont="1" applyBorder="1" applyAlignment="1">
      <alignment horizontal="center"/>
    </xf>
    <xf numFmtId="0" fontId="56" fillId="0" borderId="61" xfId="0" applyFont="1" applyBorder="1" applyAlignment="1">
      <alignment horizontal="center"/>
    </xf>
    <xf numFmtId="0" fontId="62" fillId="0" borderId="65" xfId="0" applyFont="1" applyFill="1" applyBorder="1" applyAlignment="1">
      <alignment horizontal="center"/>
    </xf>
    <xf numFmtId="0" fontId="62" fillId="0" borderId="72" xfId="0" applyFont="1" applyFill="1" applyBorder="1" applyAlignment="1">
      <alignment horizontal="center"/>
    </xf>
    <xf numFmtId="0" fontId="62" fillId="0" borderId="66" xfId="0" applyFont="1" applyFill="1" applyBorder="1" applyAlignment="1">
      <alignment horizontal="center"/>
    </xf>
    <xf numFmtId="0" fontId="56" fillId="0" borderId="72" xfId="0" applyFont="1" applyFill="1" applyBorder="1" applyAlignment="1">
      <alignment horizontal="center"/>
    </xf>
    <xf numFmtId="0" fontId="56" fillId="0" borderId="66" xfId="0" applyFont="1" applyFill="1" applyBorder="1" applyAlignment="1">
      <alignment horizontal="center"/>
    </xf>
    <xf numFmtId="0" fontId="80" fillId="0" borderId="183" xfId="0" applyFont="1" applyFill="1" applyBorder="1" applyAlignment="1">
      <alignment horizontal="left"/>
    </xf>
    <xf numFmtId="0" fontId="56" fillId="0" borderId="72" xfId="0" applyFont="1" applyBorder="1" applyAlignment="1">
      <alignment horizontal="left"/>
    </xf>
    <xf numFmtId="0" fontId="56" fillId="0" borderId="66" xfId="0" applyFont="1" applyBorder="1" applyAlignment="1">
      <alignment horizontal="left"/>
    </xf>
    <xf numFmtId="0" fontId="56" fillId="0" borderId="48" xfId="0" applyFont="1" applyFill="1" applyBorder="1" applyAlignment="1">
      <alignment horizontal="center"/>
    </xf>
    <xf numFmtId="0" fontId="56" fillId="0" borderId="51" xfId="0" applyFont="1" applyFill="1" applyBorder="1" applyAlignment="1">
      <alignment horizontal="center"/>
    </xf>
    <xf numFmtId="0" fontId="57" fillId="0" borderId="20" xfId="0" applyFont="1" applyFill="1" applyBorder="1" applyAlignment="1">
      <alignment horizontal="left"/>
    </xf>
    <xf numFmtId="0" fontId="57" fillId="0" borderId="14" xfId="0" applyFont="1" applyFill="1" applyBorder="1" applyAlignment="1">
      <alignment horizontal="left"/>
    </xf>
    <xf numFmtId="0" fontId="57" fillId="0" borderId="10" xfId="0" applyFont="1" applyFill="1" applyBorder="1" applyAlignment="1">
      <alignment horizontal="left"/>
    </xf>
    <xf numFmtId="0" fontId="80" fillId="38" borderId="46" xfId="0" applyFont="1" applyFill="1" applyBorder="1" applyAlignment="1">
      <alignment horizontal="center" vertical="center"/>
    </xf>
    <xf numFmtId="0" fontId="80" fillId="38" borderId="57" xfId="0" applyFont="1" applyFill="1" applyBorder="1" applyAlignment="1">
      <alignment horizontal="center" vertical="center"/>
    </xf>
    <xf numFmtId="0" fontId="80" fillId="38" borderId="50" xfId="0" applyFont="1" applyFill="1" applyBorder="1" applyAlignment="1">
      <alignment horizontal="center" vertical="center"/>
    </xf>
    <xf numFmtId="0" fontId="80" fillId="0" borderId="196" xfId="0" applyFont="1" applyFill="1" applyBorder="1" applyAlignment="1">
      <alignment horizontal="center" vertical="center"/>
    </xf>
    <xf numFmtId="0" fontId="80" fillId="0" borderId="147" xfId="0" applyFont="1" applyFill="1" applyBorder="1" applyAlignment="1">
      <alignment horizontal="center" vertical="center"/>
    </xf>
    <xf numFmtId="0" fontId="80" fillId="0" borderId="114" xfId="0" applyFont="1" applyFill="1" applyBorder="1" applyAlignment="1">
      <alignment horizontal="center" vertical="center"/>
    </xf>
    <xf numFmtId="0" fontId="80" fillId="0" borderId="46" xfId="0" applyFont="1" applyFill="1" applyBorder="1" applyAlignment="1">
      <alignment horizontal="center" vertical="center" wrapText="1"/>
    </xf>
    <xf numFmtId="0" fontId="80" fillId="0" borderId="57" xfId="0" applyFont="1" applyFill="1" applyBorder="1" applyAlignment="1">
      <alignment horizontal="center" vertical="center"/>
    </xf>
    <xf numFmtId="0" fontId="80" fillId="0" borderId="50" xfId="0" applyFont="1" applyFill="1" applyBorder="1" applyAlignment="1">
      <alignment horizontal="center" vertical="center"/>
    </xf>
    <xf numFmtId="0" fontId="80" fillId="36" borderId="200" xfId="0" applyFont="1" applyFill="1" applyBorder="1" applyAlignment="1">
      <alignment horizontal="center" vertical="center"/>
    </xf>
    <xf numFmtId="0" fontId="80" fillId="36" borderId="201" xfId="0" applyFont="1" applyFill="1" applyBorder="1" applyAlignment="1">
      <alignment horizontal="center" vertical="center"/>
    </xf>
    <xf numFmtId="0" fontId="80" fillId="36" borderId="202" xfId="0" applyFont="1" applyFill="1" applyBorder="1" applyAlignment="1">
      <alignment horizontal="center" vertical="center"/>
    </xf>
    <xf numFmtId="0" fontId="80" fillId="0" borderId="97" xfId="0" applyFont="1" applyFill="1" applyBorder="1" applyAlignment="1">
      <alignment horizontal="center" vertical="center" wrapText="1"/>
    </xf>
    <xf numFmtId="0" fontId="80" fillId="0" borderId="99" xfId="0" applyFont="1" applyFill="1" applyBorder="1" applyAlignment="1">
      <alignment horizontal="center" vertical="center" wrapText="1"/>
    </xf>
    <xf numFmtId="0" fontId="80" fillId="0" borderId="101" xfId="0" applyFont="1" applyFill="1" applyBorder="1" applyAlignment="1">
      <alignment horizontal="center" vertical="center" wrapText="1"/>
    </xf>
    <xf numFmtId="0" fontId="80" fillId="36" borderId="46" xfId="0" applyFont="1" applyFill="1" applyBorder="1" applyAlignment="1">
      <alignment horizontal="center" vertical="center"/>
    </xf>
    <xf numFmtId="0" fontId="80" fillId="36" borderId="57" xfId="0" applyFont="1" applyFill="1" applyBorder="1" applyAlignment="1">
      <alignment horizontal="center" vertical="center"/>
    </xf>
    <xf numFmtId="0" fontId="80" fillId="36" borderId="50" xfId="0" applyFont="1" applyFill="1" applyBorder="1" applyAlignment="1">
      <alignment horizontal="center" vertical="center"/>
    </xf>
    <xf numFmtId="3" fontId="80" fillId="36" borderId="97" xfId="0" applyNumberFormat="1" applyFont="1" applyFill="1" applyBorder="1" applyAlignment="1">
      <alignment horizontal="center" vertical="center" wrapText="1"/>
    </xf>
    <xf numFmtId="3" fontId="80" fillId="36" borderId="99" xfId="0" applyNumberFormat="1" applyFont="1" applyFill="1" applyBorder="1" applyAlignment="1">
      <alignment horizontal="center" vertical="center"/>
    </xf>
    <xf numFmtId="3" fontId="80" fillId="36" borderId="101" xfId="0" applyNumberFormat="1" applyFont="1" applyFill="1" applyBorder="1" applyAlignment="1">
      <alignment horizontal="center" vertical="center"/>
    </xf>
    <xf numFmtId="0" fontId="80" fillId="0" borderId="97" xfId="0" applyFont="1" applyFill="1" applyBorder="1" applyAlignment="1">
      <alignment horizontal="center" vertical="top" wrapText="1"/>
    </xf>
    <xf numFmtId="0" fontId="80" fillId="0" borderId="99" xfId="0" applyFont="1" applyFill="1" applyBorder="1" applyAlignment="1">
      <alignment horizontal="center" vertical="top" wrapText="1"/>
    </xf>
    <xf numFmtId="0" fontId="80" fillId="0" borderId="101" xfId="0" applyFont="1" applyFill="1" applyBorder="1" applyAlignment="1">
      <alignment horizontal="center" vertical="top" wrapText="1"/>
    </xf>
    <xf numFmtId="0" fontId="62" fillId="0" borderId="65" xfId="0" applyFont="1" applyBorder="1" applyAlignment="1">
      <alignment horizontal="center"/>
    </xf>
    <xf numFmtId="0" fontId="62" fillId="0" borderId="72" xfId="0" applyFont="1" applyBorder="1" applyAlignment="1">
      <alignment horizontal="center"/>
    </xf>
    <xf numFmtId="0" fontId="62" fillId="0" borderId="66" xfId="0" applyFont="1" applyBorder="1" applyAlignment="1">
      <alignment horizontal="center"/>
    </xf>
    <xf numFmtId="0" fontId="56" fillId="0" borderId="42" xfId="0" applyFont="1" applyBorder="1" applyAlignment="1">
      <alignment horizontal="center"/>
    </xf>
    <xf numFmtId="0" fontId="56" fillId="0" borderId="45" xfId="0" applyFont="1" applyBorder="1" applyAlignment="1">
      <alignment horizontal="center"/>
    </xf>
    <xf numFmtId="0" fontId="56" fillId="0" borderId="47" xfId="0" applyFont="1" applyBorder="1" applyAlignment="1">
      <alignment horizontal="center"/>
    </xf>
    <xf numFmtId="0" fontId="56" fillId="0" borderId="70" xfId="0" applyFont="1" applyBorder="1" applyAlignment="1">
      <alignment horizontal="center"/>
    </xf>
    <xf numFmtId="3" fontId="113" fillId="0" borderId="183" xfId="0" applyNumberFormat="1" applyFont="1" applyBorder="1" applyAlignment="1">
      <alignment horizontal="center" vertical="center"/>
    </xf>
    <xf numFmtId="3" fontId="113" fillId="0" borderId="72" xfId="0" applyNumberFormat="1" applyFont="1" applyBorder="1" applyAlignment="1">
      <alignment horizontal="center" vertical="center"/>
    </xf>
    <xf numFmtId="3" fontId="113" fillId="0" borderId="76" xfId="0" applyNumberFormat="1" applyFont="1" applyBorder="1" applyAlignment="1">
      <alignment horizontal="center" vertical="center"/>
    </xf>
    <xf numFmtId="0" fontId="69" fillId="0" borderId="184" xfId="0" applyFont="1" applyBorder="1" applyAlignment="1">
      <alignment horizontal="center"/>
    </xf>
    <xf numFmtId="0" fontId="69" fillId="0" borderId="69" xfId="0" applyFont="1" applyBorder="1" applyAlignment="1">
      <alignment horizontal="center"/>
    </xf>
    <xf numFmtId="3" fontId="69" fillId="0" borderId="183" xfId="0" applyNumberFormat="1" applyFont="1" applyBorder="1" applyAlignment="1">
      <alignment horizontal="center" vertical="center"/>
    </xf>
    <xf numFmtId="3" fontId="69" fillId="0" borderId="76" xfId="0" applyNumberFormat="1" applyFont="1" applyBorder="1" applyAlignment="1">
      <alignment horizontal="center" vertical="center"/>
    </xf>
    <xf numFmtId="0" fontId="56" fillId="0" borderId="159" xfId="0" applyFont="1" applyBorder="1" applyAlignment="1">
      <alignment horizontal="center"/>
    </xf>
    <xf numFmtId="0" fontId="56" fillId="0" borderId="65" xfId="0" applyFont="1" applyBorder="1" applyAlignment="1">
      <alignment horizontal="center"/>
    </xf>
    <xf numFmtId="0" fontId="56" fillId="0" borderId="72" xfId="0" applyFont="1" applyBorder="1" applyAlignment="1">
      <alignment horizontal="center"/>
    </xf>
    <xf numFmtId="0" fontId="56" fillId="0" borderId="66" xfId="0" applyFont="1" applyBorder="1" applyAlignment="1">
      <alignment horizontal="center"/>
    </xf>
    <xf numFmtId="3" fontId="56" fillId="0" borderId="184" xfId="0" applyNumberFormat="1" applyFont="1" applyBorder="1" applyAlignment="1">
      <alignment horizontal="center"/>
    </xf>
    <xf numFmtId="3" fontId="56" fillId="0" borderId="186" xfId="0" applyNumberFormat="1" applyFont="1" applyBorder="1" applyAlignment="1">
      <alignment horizontal="center"/>
    </xf>
    <xf numFmtId="0" fontId="56" fillId="0" borderId="37" xfId="0" applyFont="1" applyBorder="1" applyAlignment="1">
      <alignment horizontal="center" vertical="center"/>
    </xf>
    <xf numFmtId="0" fontId="56" fillId="0" borderId="40" xfId="0" applyFont="1" applyBorder="1" applyAlignment="1">
      <alignment horizontal="center" vertical="center"/>
    </xf>
    <xf numFmtId="3" fontId="69" fillId="0" borderId="159" xfId="0" applyNumberFormat="1" applyFont="1" applyBorder="1" applyAlignment="1">
      <alignment horizontal="center" vertical="center"/>
    </xf>
    <xf numFmtId="3" fontId="69" fillId="0" borderId="71" xfId="0" applyNumberFormat="1" applyFont="1" applyBorder="1" applyAlignment="1">
      <alignment horizontal="center" vertical="center"/>
    </xf>
    <xf numFmtId="3" fontId="69" fillId="0" borderId="70" xfId="0" applyNumberFormat="1" applyFont="1" applyBorder="1" applyAlignment="1">
      <alignment horizontal="center" vertical="center"/>
    </xf>
    <xf numFmtId="3" fontId="69" fillId="0" borderId="77" xfId="0" applyNumberFormat="1" applyFont="1" applyBorder="1" applyAlignment="1">
      <alignment horizontal="center" vertical="center"/>
    </xf>
    <xf numFmtId="0" fontId="56" fillId="0" borderId="67" xfId="0" applyFont="1" applyBorder="1" applyAlignment="1">
      <alignment horizontal="center"/>
    </xf>
    <xf numFmtId="0" fontId="69" fillId="0" borderId="76" xfId="0" applyFont="1" applyBorder="1" applyAlignment="1">
      <alignment horizontal="center" vertical="center"/>
    </xf>
    <xf numFmtId="0" fontId="0" fillId="43" borderId="72" xfId="0" applyFill="1" applyBorder="1" applyAlignment="1">
      <alignment horizontal="center"/>
    </xf>
    <xf numFmtId="0" fontId="0" fillId="43" borderId="76" xfId="0" applyFill="1" applyBorder="1" applyAlignment="1">
      <alignment horizontal="center"/>
    </xf>
    <xf numFmtId="0" fontId="161" fillId="53" borderId="13" xfId="0" applyFont="1" applyFill="1" applyBorder="1" applyAlignment="1">
      <alignment horizontal="center" vertical="center" wrapText="1"/>
    </xf>
    <xf numFmtId="0" fontId="161" fillId="53" borderId="14" xfId="0" applyFont="1" applyFill="1" applyBorder="1" applyAlignment="1">
      <alignment horizontal="center" vertical="center" wrapText="1"/>
    </xf>
    <xf numFmtId="0" fontId="161" fillId="53" borderId="21" xfId="0" applyFont="1" applyFill="1" applyBorder="1" applyAlignment="1">
      <alignment horizontal="center" vertical="center" wrapText="1"/>
    </xf>
    <xf numFmtId="0" fontId="40" fillId="43" borderId="46" xfId="0" applyFont="1" applyFill="1" applyBorder="1" applyAlignment="1">
      <alignment horizontal="center" vertical="center"/>
    </xf>
    <xf numFmtId="0" fontId="40" fillId="43" borderId="50" xfId="0" applyFont="1" applyFill="1" applyBorder="1" applyAlignment="1">
      <alignment horizontal="center" vertical="center"/>
    </xf>
    <xf numFmtId="165" fontId="178" fillId="0" borderId="45" xfId="318" applyNumberFormat="1" applyFont="1" applyFill="1" applyBorder="1" applyAlignment="1">
      <alignment horizontal="left"/>
    </xf>
    <xf numFmtId="165" fontId="151" fillId="45" borderId="24" xfId="318" applyNumberFormat="1" applyFont="1" applyFill="1" applyBorder="1" applyAlignment="1">
      <alignment horizontal="center" vertical="center" textRotation="90" wrapText="1"/>
    </xf>
    <xf numFmtId="165" fontId="151" fillId="45" borderId="25" xfId="318" applyNumberFormat="1" applyFont="1" applyFill="1" applyBorder="1" applyAlignment="1">
      <alignment horizontal="center" vertical="center" textRotation="90" wrapText="1"/>
    </xf>
    <xf numFmtId="165" fontId="151" fillId="45" borderId="140" xfId="318" applyNumberFormat="1" applyFont="1" applyFill="1" applyBorder="1" applyAlignment="1">
      <alignment horizontal="center" vertical="center" textRotation="90" wrapText="1"/>
    </xf>
    <xf numFmtId="3" fontId="151" fillId="47" borderId="65" xfId="318" applyNumberFormat="1" applyFont="1" applyFill="1" applyBorder="1" applyAlignment="1">
      <alignment horizontal="center"/>
    </xf>
    <xf numFmtId="3" fontId="151" fillId="47" borderId="72" xfId="318" applyNumberFormat="1" applyFont="1" applyFill="1" applyBorder="1" applyAlignment="1">
      <alignment horizontal="center"/>
    </xf>
    <xf numFmtId="3" fontId="151" fillId="47" borderId="66" xfId="318" applyNumberFormat="1" applyFont="1" applyFill="1" applyBorder="1" applyAlignment="1">
      <alignment horizontal="center"/>
    </xf>
    <xf numFmtId="165" fontId="151" fillId="0" borderId="0" xfId="318" applyNumberFormat="1" applyFont="1" applyFill="1" applyBorder="1" applyAlignment="1">
      <alignment horizontal="center" wrapText="1"/>
    </xf>
    <xf numFmtId="165" fontId="172" fillId="0" borderId="213" xfId="318" applyNumberFormat="1" applyFont="1" applyFill="1" applyBorder="1" applyAlignment="1">
      <alignment horizontal="center" vertical="top"/>
    </xf>
    <xf numFmtId="165" fontId="172" fillId="0" borderId="149" xfId="318" applyNumberFormat="1" applyFont="1" applyFill="1" applyBorder="1" applyAlignment="1">
      <alignment horizontal="center" vertical="top"/>
    </xf>
    <xf numFmtId="165" fontId="172" fillId="0" borderId="216" xfId="318" applyNumberFormat="1" applyFont="1" applyFill="1" applyBorder="1" applyAlignment="1">
      <alignment horizontal="center" vertical="top"/>
    </xf>
    <xf numFmtId="165" fontId="172" fillId="0" borderId="218" xfId="318" applyNumberFormat="1" applyFont="1" applyFill="1" applyBorder="1" applyAlignment="1">
      <alignment horizontal="center" vertical="top"/>
    </xf>
    <xf numFmtId="165" fontId="172" fillId="0" borderId="201" xfId="318" applyNumberFormat="1" applyFont="1" applyFill="1" applyBorder="1" applyAlignment="1">
      <alignment horizontal="center" vertical="top"/>
    </xf>
    <xf numFmtId="165" fontId="172" fillId="0" borderId="197" xfId="318" applyNumberFormat="1" applyFont="1" applyFill="1" applyBorder="1" applyAlignment="1">
      <alignment horizontal="center" vertical="top"/>
    </xf>
    <xf numFmtId="165" fontId="172" fillId="0" borderId="148" xfId="318" applyNumberFormat="1" applyFont="1" applyFill="1" applyBorder="1" applyAlignment="1">
      <alignment horizontal="center" vertical="top"/>
    </xf>
    <xf numFmtId="165" fontId="225" fillId="48" borderId="39" xfId="318" applyNumberFormat="1" applyFont="1" applyFill="1" applyBorder="1" applyAlignment="1">
      <alignment horizontal="center"/>
    </xf>
    <xf numFmtId="165" fontId="225" fillId="48" borderId="31" xfId="318" applyNumberFormat="1" applyFont="1" applyFill="1" applyBorder="1" applyAlignment="1">
      <alignment horizontal="center"/>
    </xf>
    <xf numFmtId="165" fontId="167" fillId="0" borderId="48" xfId="318" applyNumberFormat="1" applyFont="1" applyFill="1" applyBorder="1" applyAlignment="1">
      <alignment horizontal="center"/>
    </xf>
    <xf numFmtId="165" fontId="167" fillId="0" borderId="193" xfId="318" applyNumberFormat="1" applyFont="1" applyFill="1" applyBorder="1" applyAlignment="1">
      <alignment horizontal="center"/>
    </xf>
    <xf numFmtId="0" fontId="61" fillId="0" borderId="42" xfId="0" applyFont="1" applyBorder="1" applyAlignment="1">
      <alignment horizontal="center"/>
    </xf>
    <xf numFmtId="0" fontId="56" fillId="0" borderId="96" xfId="0" applyFont="1" applyBorder="1" applyAlignment="1">
      <alignment horizontal="center"/>
    </xf>
    <xf numFmtId="0" fontId="58" fillId="0" borderId="84" xfId="0" applyFont="1" applyBorder="1" applyAlignment="1">
      <alignment horizontal="center"/>
    </xf>
    <xf numFmtId="0" fontId="58" fillId="0" borderId="53" xfId="0" applyFont="1" applyBorder="1" applyAlignment="1">
      <alignment horizontal="center"/>
    </xf>
    <xf numFmtId="0" fontId="58" fillId="0" borderId="55" xfId="0" applyFont="1" applyBorder="1" applyAlignment="1">
      <alignment horizontal="center"/>
    </xf>
    <xf numFmtId="0" fontId="49" fillId="0" borderId="43" xfId="0" applyFont="1" applyBorder="1" applyAlignment="1">
      <alignment horizontal="center"/>
    </xf>
    <xf numFmtId="0" fontId="50" fillId="0" borderId="100" xfId="0" applyFont="1" applyBorder="1" applyAlignment="1">
      <alignment horizontal="center"/>
    </xf>
    <xf numFmtId="0" fontId="120" fillId="38" borderId="39" xfId="100" applyFont="1" applyFill="1" applyBorder="1" applyAlignment="1">
      <alignment horizontal="left"/>
    </xf>
    <xf numFmtId="0" fontId="120" fillId="38" borderId="31" xfId="100" applyFont="1" applyFill="1" applyBorder="1" applyAlignment="1">
      <alignment horizontal="left"/>
    </xf>
    <xf numFmtId="0" fontId="120" fillId="0" borderId="24" xfId="100" applyFont="1" applyBorder="1" applyAlignment="1">
      <alignment horizontal="center" vertical="top" wrapText="1"/>
    </xf>
    <xf numFmtId="0" fontId="111" fillId="0" borderId="140" xfId="318" applyFont="1" applyBorder="1" applyAlignment="1">
      <alignment horizontal="center" vertical="top" wrapText="1"/>
    </xf>
    <xf numFmtId="0" fontId="120" fillId="0" borderId="32" xfId="100" applyFont="1" applyBorder="1" applyAlignment="1">
      <alignment horizontal="center" vertical="top" wrapText="1"/>
    </xf>
    <xf numFmtId="0" fontId="111" fillId="0" borderId="40" xfId="318" applyFont="1" applyBorder="1" applyAlignment="1">
      <alignment horizontal="center" vertical="top" wrapText="1"/>
    </xf>
    <xf numFmtId="0" fontId="120" fillId="0" borderId="44" xfId="100" applyFont="1" applyBorder="1" applyAlignment="1">
      <alignment horizontal="left" vertical="top" wrapText="1"/>
    </xf>
    <xf numFmtId="0" fontId="111" fillId="0" borderId="49" xfId="318" applyFont="1" applyBorder="1" applyAlignment="1">
      <alignment horizontal="left" vertical="top" wrapText="1"/>
    </xf>
    <xf numFmtId="0" fontId="120" fillId="0" borderId="13" xfId="100" applyFont="1" applyBorder="1" applyAlignment="1">
      <alignment horizontal="center" vertical="top" wrapText="1"/>
    </xf>
    <xf numFmtId="0" fontId="2" fillId="0" borderId="15" xfId="318" applyBorder="1" applyAlignment="1">
      <alignment horizontal="center" vertical="top" wrapText="1"/>
    </xf>
    <xf numFmtId="0" fontId="2" fillId="0" borderId="19" xfId="318" applyBorder="1" applyAlignment="1">
      <alignment horizontal="center" vertical="top" wrapText="1"/>
    </xf>
    <xf numFmtId="0" fontId="120" fillId="0" borderId="14" xfId="100" applyFont="1" applyBorder="1" applyAlignment="1">
      <alignment horizontal="center" vertical="top" wrapText="1"/>
    </xf>
    <xf numFmtId="0" fontId="2" fillId="0" borderId="10" xfId="318" applyBorder="1" applyAlignment="1">
      <alignment horizontal="center" vertical="top" wrapText="1"/>
    </xf>
    <xf numFmtId="0" fontId="2" fillId="0" borderId="20" xfId="318" applyBorder="1" applyAlignment="1">
      <alignment horizontal="center" vertical="top" wrapText="1"/>
    </xf>
    <xf numFmtId="0" fontId="120" fillId="0" borderId="183" xfId="100" applyFont="1" applyBorder="1" applyAlignment="1">
      <alignment vertical="top" wrapText="1"/>
    </xf>
    <xf numFmtId="0" fontId="111" fillId="0" borderId="159" xfId="318" applyFont="1" applyBorder="1" applyAlignment="1">
      <alignment vertical="top" wrapText="1"/>
    </xf>
    <xf numFmtId="0" fontId="2" fillId="0" borderId="159" xfId="318" applyBorder="1" applyAlignment="1">
      <alignment vertical="top" wrapText="1"/>
    </xf>
    <xf numFmtId="0" fontId="2" fillId="0" borderId="172" xfId="318" applyBorder="1" applyAlignment="1">
      <alignment vertical="top" wrapText="1"/>
    </xf>
    <xf numFmtId="0" fontId="111" fillId="0" borderId="25" xfId="318" applyFont="1" applyBorder="1" applyAlignment="1">
      <alignment horizontal="center" vertical="top" wrapText="1"/>
    </xf>
    <xf numFmtId="0" fontId="2" fillId="0" borderId="25" xfId="318" applyBorder="1" applyAlignment="1">
      <alignment horizontal="center" vertical="top" wrapText="1"/>
    </xf>
    <xf numFmtId="0" fontId="2" fillId="0" borderId="140" xfId="318" applyBorder="1" applyAlignment="1">
      <alignment horizontal="center" vertical="top" wrapText="1"/>
    </xf>
    <xf numFmtId="0" fontId="111" fillId="0" borderId="26" xfId="318" applyFont="1" applyBorder="1" applyAlignment="1">
      <alignment horizontal="center" vertical="top" wrapText="1"/>
    </xf>
    <xf numFmtId="0" fontId="2" fillId="0" borderId="26" xfId="318" applyBorder="1" applyAlignment="1">
      <alignment horizontal="center" vertical="top" wrapText="1"/>
    </xf>
    <xf numFmtId="0" fontId="2" fillId="0" borderId="40" xfId="318" applyBorder="1" applyAlignment="1">
      <alignment horizontal="center" vertical="top" wrapText="1"/>
    </xf>
    <xf numFmtId="0" fontId="120" fillId="0" borderId="33" xfId="100" applyFont="1" applyBorder="1" applyAlignment="1">
      <alignment horizontal="left" vertical="top" wrapText="1"/>
    </xf>
    <xf numFmtId="0" fontId="111" fillId="0" borderId="34" xfId="318" applyFont="1" applyBorder="1" applyAlignment="1">
      <alignment horizontal="left" vertical="top" wrapText="1"/>
    </xf>
    <xf numFmtId="0" fontId="2" fillId="0" borderId="34" xfId="318" applyBorder="1" applyAlignment="1">
      <alignment horizontal="left" vertical="top" wrapText="1"/>
    </xf>
    <xf numFmtId="0" fontId="2" fillId="0" borderId="41" xfId="318" applyBorder="1" applyAlignment="1">
      <alignment horizontal="left" vertical="top" wrapText="1"/>
    </xf>
    <xf numFmtId="0" fontId="111" fillId="0" borderId="15" xfId="318" applyFont="1" applyBorder="1" applyAlignment="1">
      <alignment horizontal="center" vertical="top" wrapText="1"/>
    </xf>
    <xf numFmtId="0" fontId="111" fillId="0" borderId="19" xfId="318" applyFont="1" applyBorder="1" applyAlignment="1">
      <alignment horizontal="center" vertical="top" wrapText="1"/>
    </xf>
    <xf numFmtId="0" fontId="111" fillId="0" borderId="10" xfId="318" applyFont="1" applyBorder="1" applyAlignment="1">
      <alignment horizontal="center" vertical="top" wrapText="1"/>
    </xf>
    <xf numFmtId="0" fontId="111" fillId="0" borderId="20" xfId="318" applyFont="1" applyBorder="1" applyAlignment="1">
      <alignment horizontal="center" vertical="top" wrapText="1"/>
    </xf>
    <xf numFmtId="0" fontId="120" fillId="0" borderId="183" xfId="100" applyFont="1" applyBorder="1" applyAlignment="1">
      <alignment horizontal="left" vertical="top" wrapText="1"/>
    </xf>
    <xf numFmtId="0" fontId="111" fillId="0" borderId="159" xfId="318" applyFont="1" applyBorder="1" applyAlignment="1">
      <alignment horizontal="left" vertical="top" wrapText="1"/>
    </xf>
    <xf numFmtId="0" fontId="111" fillId="0" borderId="172" xfId="318" applyFont="1" applyBorder="1" applyAlignment="1">
      <alignment horizontal="left" vertical="top" wrapText="1"/>
    </xf>
    <xf numFmtId="0" fontId="2" fillId="0" borderId="159" xfId="318" applyBorder="1" applyAlignment="1">
      <alignment horizontal="left" vertical="top" wrapText="1"/>
    </xf>
    <xf numFmtId="0" fontId="2" fillId="0" borderId="172" xfId="318" applyBorder="1" applyAlignment="1">
      <alignment horizontal="left" vertical="top" wrapText="1"/>
    </xf>
    <xf numFmtId="0" fontId="221" fillId="0" borderId="34" xfId="318" applyFont="1" applyBorder="1" applyAlignment="1">
      <alignment horizontal="center" vertical="center" wrapText="1" shrinkToFit="1"/>
    </xf>
    <xf numFmtId="0" fontId="2" fillId="0" borderId="34" xfId="318" applyBorder="1" applyAlignment="1">
      <alignment horizontal="center" vertical="center" wrapText="1" shrinkToFit="1"/>
    </xf>
    <xf numFmtId="0" fontId="2" fillId="0" borderId="41" xfId="318" applyBorder="1" applyAlignment="1">
      <alignment horizontal="center" vertical="center" wrapText="1" shrinkToFit="1"/>
    </xf>
    <xf numFmtId="0" fontId="103" fillId="42" borderId="39" xfId="318" applyFont="1" applyFill="1" applyBorder="1" applyAlignment="1">
      <alignment horizontal="right" vertical="center" wrapText="1"/>
    </xf>
    <xf numFmtId="0" fontId="220" fillId="0" borderId="31" xfId="318" applyFont="1" applyBorder="1" applyAlignment="1">
      <alignment horizontal="right" vertical="center" wrapText="1"/>
    </xf>
    <xf numFmtId="0" fontId="220" fillId="0" borderId="61" xfId="318" applyFont="1" applyBorder="1" applyAlignment="1">
      <alignment horizontal="right" vertical="center" wrapText="1"/>
    </xf>
    <xf numFmtId="0" fontId="144" fillId="0" borderId="39" xfId="318" applyFont="1" applyBorder="1" applyAlignment="1">
      <alignment horizontal="left" vertical="center"/>
    </xf>
    <xf numFmtId="0" fontId="2" fillId="0" borderId="31" xfId="318" applyBorder="1" applyAlignment="1">
      <alignment vertical="center"/>
    </xf>
    <xf numFmtId="0" fontId="2" fillId="0" borderId="61" xfId="318" applyBorder="1" applyAlignment="1">
      <alignment vertical="center"/>
    </xf>
    <xf numFmtId="0" fontId="2" fillId="0" borderId="35" xfId="318" applyBorder="1" applyAlignment="1">
      <alignment horizontal="center" vertical="center" wrapText="1" shrinkToFit="1"/>
    </xf>
    <xf numFmtId="0" fontId="122" fillId="38" borderId="44" xfId="0" applyFont="1" applyFill="1" applyBorder="1" applyAlignment="1">
      <alignment horizontal="center"/>
    </xf>
    <xf numFmtId="0" fontId="122" fillId="38" borderId="78" xfId="0" applyFont="1" applyFill="1" applyBorder="1" applyAlignment="1">
      <alignment horizontal="center"/>
    </xf>
    <xf numFmtId="0" fontId="122" fillId="38" borderId="11" xfId="0" applyFont="1" applyFill="1" applyBorder="1" applyAlignment="1">
      <alignment horizontal="center"/>
    </xf>
    <xf numFmtId="0" fontId="122" fillId="38" borderId="163" xfId="0" applyFont="1" applyFill="1" applyBorder="1" applyAlignment="1">
      <alignment horizontal="center"/>
    </xf>
    <xf numFmtId="0" fontId="60" fillId="0" borderId="39" xfId="0" applyFont="1" applyFill="1" applyBorder="1" applyAlignment="1">
      <alignment horizontal="left"/>
    </xf>
    <xf numFmtId="0" fontId="60" fillId="0" borderId="61" xfId="0" applyFont="1" applyFill="1" applyBorder="1" applyAlignment="1">
      <alignment horizontal="left"/>
    </xf>
    <xf numFmtId="0" fontId="60" fillId="0" borderId="39" xfId="0" applyFont="1" applyBorder="1" applyAlignment="1">
      <alignment horizontal="left"/>
    </xf>
    <xf numFmtId="0" fontId="60" fillId="0" borderId="61" xfId="0" applyFont="1" applyBorder="1" applyAlignment="1">
      <alignment horizontal="left"/>
    </xf>
    <xf numFmtId="0" fontId="122" fillId="0" borderId="32" xfId="0" applyFont="1" applyBorder="1" applyAlignment="1">
      <alignment horizontal="center" wrapText="1"/>
    </xf>
    <xf numFmtId="0" fontId="122" fillId="0" borderId="26" xfId="0" applyFont="1" applyBorder="1" applyAlignment="1">
      <alignment horizontal="center" wrapText="1"/>
    </xf>
    <xf numFmtId="0" fontId="58" fillId="0" borderId="19" xfId="0" applyFont="1" applyBorder="1" applyAlignment="1">
      <alignment horizontal="center"/>
    </xf>
    <xf numFmtId="0" fontId="58" fillId="0" borderId="111" xfId="0" applyFont="1" applyBorder="1" applyAlignment="1">
      <alignment horizontal="center"/>
    </xf>
    <xf numFmtId="0" fontId="122" fillId="0" borderId="13" xfId="0" applyFont="1" applyBorder="1" applyAlignment="1">
      <alignment horizontal="center" vertical="center"/>
    </xf>
    <xf numFmtId="0" fontId="122" fillId="0" borderId="21" xfId="0" applyFont="1" applyBorder="1" applyAlignment="1">
      <alignment horizontal="center" vertical="center"/>
    </xf>
    <xf numFmtId="0" fontId="122" fillId="0" borderId="221" xfId="0" applyFont="1" applyBorder="1" applyAlignment="1">
      <alignment horizontal="center" vertical="center"/>
    </xf>
    <xf numFmtId="0" fontId="122" fillId="0" borderId="22" xfId="0" applyFont="1" applyBorder="1" applyAlignment="1">
      <alignment horizontal="center" vertical="center"/>
    </xf>
  </cellXfs>
  <cellStyles count="378">
    <cellStyle name="20 % – Zvýraznění1" xfId="1"/>
    <cellStyle name="20 % – Zvýraznění1 2" xfId="2"/>
    <cellStyle name="20 % – Zvýraznění1 2 2" xfId="115"/>
    <cellStyle name="20 % – Zvýraznění1 3" xfId="248"/>
    <cellStyle name="20 % – Zvýraznění1 4" xfId="353"/>
    <cellStyle name="20 % – Zvýraznění2" xfId="3"/>
    <cellStyle name="20 % – Zvýraznění2 2" xfId="4"/>
    <cellStyle name="20 % – Zvýraznění2 2 2" xfId="116"/>
    <cellStyle name="20 % – Zvýraznění2 3" xfId="252"/>
    <cellStyle name="20 % – Zvýraznění2 4" xfId="355"/>
    <cellStyle name="20 % – Zvýraznění3" xfId="5"/>
    <cellStyle name="20 % – Zvýraznění3 2" xfId="6"/>
    <cellStyle name="20 % – Zvýraznění3 2 2" xfId="117"/>
    <cellStyle name="20 % – Zvýraznění3 3" xfId="256"/>
    <cellStyle name="20 % – Zvýraznění3 4" xfId="357"/>
    <cellStyle name="20 % – Zvýraznění4" xfId="7"/>
    <cellStyle name="20 % – Zvýraznění4 2" xfId="8"/>
    <cellStyle name="20 % – Zvýraznění4 2 2" xfId="118"/>
    <cellStyle name="20 % – Zvýraznění4 3" xfId="260"/>
    <cellStyle name="20 % – Zvýraznění4 4" xfId="359"/>
    <cellStyle name="20 % – Zvýraznění5" xfId="9"/>
    <cellStyle name="20 % – Zvýraznění5 2" xfId="10"/>
    <cellStyle name="20 % – Zvýraznění5 2 2" xfId="119"/>
    <cellStyle name="20 % – Zvýraznění5 3" xfId="264"/>
    <cellStyle name="20 % – Zvýraznění5 4" xfId="361"/>
    <cellStyle name="20 % – Zvýraznění6" xfId="11"/>
    <cellStyle name="20 % – Zvýraznění6 2" xfId="12"/>
    <cellStyle name="20 % – Zvýraznění6 2 2" xfId="120"/>
    <cellStyle name="20 % – Zvýraznění6 3" xfId="268"/>
    <cellStyle name="20 % – Zvýraznění6 4" xfId="363"/>
    <cellStyle name="20% - Accent1" xfId="121"/>
    <cellStyle name="20% - Accent2" xfId="122"/>
    <cellStyle name="20% - Accent3" xfId="123"/>
    <cellStyle name="20% - Accent4" xfId="124"/>
    <cellStyle name="20% - Accent5" xfId="125"/>
    <cellStyle name="20% - Accent6" xfId="126"/>
    <cellStyle name="40 % – Zvýraznění1" xfId="13"/>
    <cellStyle name="40 % – Zvýraznění1 2" xfId="14"/>
    <cellStyle name="40 % – Zvýraznění1 2 2" xfId="127"/>
    <cellStyle name="40 % – Zvýraznění1 3" xfId="249"/>
    <cellStyle name="40 % – Zvýraznění1 4" xfId="354"/>
    <cellStyle name="40 % – Zvýraznění2" xfId="15"/>
    <cellStyle name="40 % – Zvýraznění2 2" xfId="16"/>
    <cellStyle name="40 % – Zvýraznění2 2 2" xfId="128"/>
    <cellStyle name="40 % – Zvýraznění2 3" xfId="253"/>
    <cellStyle name="40 % – Zvýraznění2 4" xfId="356"/>
    <cellStyle name="40 % – Zvýraznění3" xfId="17"/>
    <cellStyle name="40 % – Zvýraznění3 2" xfId="18"/>
    <cellStyle name="40 % – Zvýraznění3 2 2" xfId="129"/>
    <cellStyle name="40 % – Zvýraznění3 3" xfId="257"/>
    <cellStyle name="40 % – Zvýraznění3 4" xfId="358"/>
    <cellStyle name="40 % – Zvýraznění4" xfId="19"/>
    <cellStyle name="40 % – Zvýraznění4 2" xfId="20"/>
    <cellStyle name="40 % – Zvýraznění4 2 2" xfId="130"/>
    <cellStyle name="40 % – Zvýraznění4 3" xfId="261"/>
    <cellStyle name="40 % – Zvýraznění4 4" xfId="360"/>
    <cellStyle name="40 % – Zvýraznění5" xfId="21"/>
    <cellStyle name="40 % – Zvýraznění5 2" xfId="22"/>
    <cellStyle name="40 % – Zvýraznění5 2 2" xfId="131"/>
    <cellStyle name="40 % – Zvýraznění5 3" xfId="265"/>
    <cellStyle name="40 % – Zvýraznění5 4" xfId="362"/>
    <cellStyle name="40 % – Zvýraznění6" xfId="23"/>
    <cellStyle name="40 % – Zvýraznění6 2" xfId="24"/>
    <cellStyle name="40 % – Zvýraznění6 2 2" xfId="132"/>
    <cellStyle name="40 % – Zvýraznění6 3" xfId="269"/>
    <cellStyle name="40 % – Zvýraznění6 4" xfId="364"/>
    <cellStyle name="40% - Accent1" xfId="133"/>
    <cellStyle name="40% - Accent2" xfId="134"/>
    <cellStyle name="40% - Accent3" xfId="135"/>
    <cellStyle name="40% - Accent4" xfId="136"/>
    <cellStyle name="40% - Accent5" xfId="137"/>
    <cellStyle name="40% - Accent6" xfId="138"/>
    <cellStyle name="60 % – Zvýraznění1" xfId="25"/>
    <cellStyle name="60 % – Zvýraznění1 2" xfId="26"/>
    <cellStyle name="60 % – Zvýraznění1 2 2" xfId="139"/>
    <cellStyle name="60 % – Zvýraznění1 3" xfId="250"/>
    <cellStyle name="60 % – Zvýraznění1 4" xfId="366"/>
    <cellStyle name="60 % – Zvýraznění2" xfId="27"/>
    <cellStyle name="60 % – Zvýraznění2 2" xfId="28"/>
    <cellStyle name="60 % – Zvýraznění2 2 2" xfId="140"/>
    <cellStyle name="60 % – Zvýraznění2 3" xfId="254"/>
    <cellStyle name="60 % – Zvýraznění2 4" xfId="367"/>
    <cellStyle name="60 % – Zvýraznění3" xfId="29"/>
    <cellStyle name="60 % – Zvýraznění3 2" xfId="30"/>
    <cellStyle name="60 % – Zvýraznění3 2 2" xfId="141"/>
    <cellStyle name="60 % – Zvýraznění3 3" xfId="258"/>
    <cellStyle name="60 % – Zvýraznění3 4" xfId="368"/>
    <cellStyle name="60 % – Zvýraznění4" xfId="31"/>
    <cellStyle name="60 % – Zvýraznění4 2" xfId="32"/>
    <cellStyle name="60 % – Zvýraznění4 2 2" xfId="142"/>
    <cellStyle name="60 % – Zvýraznění4 3" xfId="262"/>
    <cellStyle name="60 % – Zvýraznění4 4" xfId="369"/>
    <cellStyle name="60 % – Zvýraznění5" xfId="33"/>
    <cellStyle name="60 % – Zvýraznění5 2" xfId="34"/>
    <cellStyle name="60 % – Zvýraznění5 2 2" xfId="143"/>
    <cellStyle name="60 % – Zvýraznění5 3" xfId="266"/>
    <cellStyle name="60 % – Zvýraznění5 4" xfId="370"/>
    <cellStyle name="60 % – Zvýraznění6" xfId="35"/>
    <cellStyle name="60 % – Zvýraznění6 2" xfId="36"/>
    <cellStyle name="60 % – Zvýraznění6 2 2" xfId="144"/>
    <cellStyle name="60 % – Zvýraznění6 3" xfId="270"/>
    <cellStyle name="60 % – Zvýraznění6 4" xfId="371"/>
    <cellStyle name="60% - Accent1" xfId="145"/>
    <cellStyle name="60% - Accent2" xfId="146"/>
    <cellStyle name="60% - Accent3" xfId="147"/>
    <cellStyle name="60% - Accent4" xfId="148"/>
    <cellStyle name="60% - Accent5" xfId="149"/>
    <cellStyle name="60% - Accent6" xfId="150"/>
    <cellStyle name="Accent1" xfId="151"/>
    <cellStyle name="Accent2" xfId="152"/>
    <cellStyle name="Accent3" xfId="153"/>
    <cellStyle name="Accent4" xfId="154"/>
    <cellStyle name="Accent5" xfId="155"/>
    <cellStyle name="Accent6" xfId="156"/>
    <cellStyle name="Bad" xfId="157"/>
    <cellStyle name="Calculation" xfId="158"/>
    <cellStyle name="Calculation 2" xfId="295"/>
    <cellStyle name="Celkem" xfId="37"/>
    <cellStyle name="Celkem 2" xfId="38"/>
    <cellStyle name="Celkem 2 2" xfId="297"/>
    <cellStyle name="Celkem 2 3" xfId="159"/>
    <cellStyle name="Celkem 3" xfId="246"/>
    <cellStyle name="Celkem 4" xfId="352"/>
    <cellStyle name="Comma 2" xfId="39"/>
    <cellStyle name="Čárka 2" xfId="104"/>
    <cellStyle name="Čárka 2 2" xfId="223"/>
    <cellStyle name="Čárka 3" xfId="107"/>
    <cellStyle name="Čárka 4" xfId="232"/>
    <cellStyle name="Čárka 5" xfId="319"/>
    <cellStyle name="Čárka 6" xfId="339"/>
    <cellStyle name="čárky 2" xfId="224"/>
    <cellStyle name="čárky 2 2" xfId="226"/>
    <cellStyle name="Explanatory Text" xfId="160"/>
    <cellStyle name="Good" xfId="161"/>
    <cellStyle name="Heading 1" xfId="162"/>
    <cellStyle name="Heading 2" xfId="163"/>
    <cellStyle name="Heading 3" xfId="164"/>
    <cellStyle name="Heading 3 2" xfId="289"/>
    <cellStyle name="Heading 4" xfId="165"/>
    <cellStyle name="Check Cell" xfId="166"/>
    <cellStyle name="Chybně" xfId="287"/>
    <cellStyle name="Chybně 2" xfId="40"/>
    <cellStyle name="Chybně 2 2" xfId="167"/>
    <cellStyle name="Input" xfId="168"/>
    <cellStyle name="Input 2" xfId="294"/>
    <cellStyle name="Kontrolní buňka" xfId="326" builtinId="23" customBuiltin="1"/>
    <cellStyle name="Kontrolní buňka 2" xfId="41"/>
    <cellStyle name="Kontrolní buňka 2 2" xfId="169"/>
    <cellStyle name="Kontrolní buňka 3" xfId="242"/>
    <cellStyle name="Linked Cell" xfId="170"/>
    <cellStyle name="Nadpis 1" xfId="108" builtinId="16" customBuiltin="1"/>
    <cellStyle name="Nadpis 1 2" xfId="42"/>
    <cellStyle name="Nadpis 1 2 2" xfId="171"/>
    <cellStyle name="Nadpis 2" xfId="109" builtinId="17" customBuiltin="1"/>
    <cellStyle name="Nadpis 2 2" xfId="43"/>
    <cellStyle name="Nadpis 2 2 2" xfId="172"/>
    <cellStyle name="Nadpis 3" xfId="110" builtinId="18" customBuiltin="1"/>
    <cellStyle name="Nadpis 3 2" xfId="44"/>
    <cellStyle name="Nadpis 3 2 2" xfId="290"/>
    <cellStyle name="Nadpis 3 2 3" xfId="173"/>
    <cellStyle name="Nadpis 4" xfId="111" builtinId="19" customBuiltin="1"/>
    <cellStyle name="Nadpis 4 2" xfId="45"/>
    <cellStyle name="Nadpis 4 2 2" xfId="174"/>
    <cellStyle name="Název" xfId="46"/>
    <cellStyle name="Název 2" xfId="47"/>
    <cellStyle name="Název 2 2" xfId="175"/>
    <cellStyle name="Název 3" xfId="233"/>
    <cellStyle name="Neutral" xfId="176"/>
    <cellStyle name="Neutrální 2" xfId="48"/>
    <cellStyle name="Neutrální 2 2" xfId="177"/>
    <cellStyle name="Neutrální 3" xfId="237"/>
    <cellStyle name="Neutrální 4" xfId="365"/>
    <cellStyle name="Normal 2" xfId="49"/>
    <cellStyle name="Normal 2 2" xfId="178"/>
    <cellStyle name="Normal 3" xfId="50"/>
    <cellStyle name="Normální" xfId="0" builtinId="0"/>
    <cellStyle name="Normální 10" xfId="51"/>
    <cellStyle name="Normální 10 2" xfId="179"/>
    <cellStyle name="Normální 11" xfId="52"/>
    <cellStyle name="Normální 11 2" xfId="302"/>
    <cellStyle name="Normální 11 2 2" xfId="349"/>
    <cellStyle name="Normální 11 3" xfId="311"/>
    <cellStyle name="Normální 11 4" xfId="180"/>
    <cellStyle name="Normální 12" xfId="101"/>
    <cellStyle name="Normální 12 2" xfId="105"/>
    <cellStyle name="Normální 12 2 2" xfId="222"/>
    <cellStyle name="Normální 12 2 3" xfId="337"/>
    <cellStyle name="Normální 12 3" xfId="225"/>
    <cellStyle name="Normální 13" xfId="102"/>
    <cellStyle name="Normální 13 2" xfId="103"/>
    <cellStyle name="Normální 14" xfId="106"/>
    <cellStyle name="Normální 14 2" xfId="234"/>
    <cellStyle name="normální 14 2 2" xfId="301"/>
    <cellStyle name="normální 14 2 2 2" xfId="348"/>
    <cellStyle name="Normální 15" xfId="281"/>
    <cellStyle name="Normální 16" xfId="112"/>
    <cellStyle name="Normální 17" xfId="318"/>
    <cellStyle name="Normální 18" xfId="334"/>
    <cellStyle name="normální 2" xfId="53"/>
    <cellStyle name="Normální 2 10" xfId="273"/>
    <cellStyle name="Normální 2 11" xfId="283"/>
    <cellStyle name="Normální 2 12" xfId="286"/>
    <cellStyle name="Normální 2 13" xfId="114"/>
    <cellStyle name="normální 2 2" xfId="54"/>
    <cellStyle name="normální 2 2 2" xfId="228"/>
    <cellStyle name="normální 2 2 3" xfId="272"/>
    <cellStyle name="normální 2 2 3 2" xfId="341"/>
    <cellStyle name="normální 2 2 4" xfId="181"/>
    <cellStyle name="Normální 2 2 4 2" xfId="375"/>
    <cellStyle name="Normální 2 2 5" xfId="376"/>
    <cellStyle name="normální 2 3" xfId="55"/>
    <cellStyle name="normální 2 3 2" xfId="56"/>
    <cellStyle name="normální 2 3 2 2" xfId="57"/>
    <cellStyle name="normální 2 3 2 2 2" xfId="184"/>
    <cellStyle name="normální 2 3 2 3" xfId="183"/>
    <cellStyle name="normální 2 3 2_PV III. Rozpis rozpočtu VŠ 2011_final_PV" xfId="58"/>
    <cellStyle name="normální 2 3 3" xfId="229"/>
    <cellStyle name="normální 2 3 4" xfId="230"/>
    <cellStyle name="normální 2 3 5" xfId="182"/>
    <cellStyle name="normální 2 3_PV III. Rozpis rozpočtu VŠ 2011_final_PV" xfId="59"/>
    <cellStyle name="normální 2 4" xfId="60"/>
    <cellStyle name="normální 2 4 2" xfId="61"/>
    <cellStyle name="normální 2 4 2 2" xfId="186"/>
    <cellStyle name="normální 2 4 3" xfId="185"/>
    <cellStyle name="normální 2 4_PV III. Rozpis rozpočtu VŠ 2011_final_PV" xfId="62"/>
    <cellStyle name="normální 2 5" xfId="63"/>
    <cellStyle name="normální 2 5 2" xfId="187"/>
    <cellStyle name="Normální 2 6" xfId="100"/>
    <cellStyle name="normální 2 6 2" xfId="227"/>
    <cellStyle name="Normální 2 7" xfId="274"/>
    <cellStyle name="Normální 2 8" xfId="285"/>
    <cellStyle name="Normální 2 9" xfId="277"/>
    <cellStyle name="normální 2_CP2012" xfId="64"/>
    <cellStyle name="normální 3" xfId="65"/>
    <cellStyle name="normální 3 10" xfId="188"/>
    <cellStyle name="Normální 3 10 2" xfId="372"/>
    <cellStyle name="normální 3 2" xfId="66"/>
    <cellStyle name="normální 3 2 2" xfId="189"/>
    <cellStyle name="Normální 3 2 2 2" xfId="374"/>
    <cellStyle name="Normální 3 3" xfId="271"/>
    <cellStyle name="Normální 3 3 2" xfId="340"/>
    <cellStyle name="Normální 3 4" xfId="284"/>
    <cellStyle name="Normální 3 4 2" xfId="347"/>
    <cellStyle name="Normální 3 5" xfId="280"/>
    <cellStyle name="Normální 3 5 2" xfId="345"/>
    <cellStyle name="Normální 3 6" xfId="279"/>
    <cellStyle name="Normální 3 6 2" xfId="344"/>
    <cellStyle name="Normální 3 7" xfId="282"/>
    <cellStyle name="Normální 3 7 2" xfId="346"/>
    <cellStyle name="Normální 3 8" xfId="278"/>
    <cellStyle name="Normální 3 8 2" xfId="343"/>
    <cellStyle name="Normální 3 9" xfId="304"/>
    <cellStyle name="normální 3_CP2012" xfId="67"/>
    <cellStyle name="normální 4" xfId="68"/>
    <cellStyle name="normální 4 2" xfId="69"/>
    <cellStyle name="normální 4 2 2" xfId="191"/>
    <cellStyle name="Normální 4 3" xfId="306"/>
    <cellStyle name="normální 4 4" xfId="190"/>
    <cellStyle name="Normální 4 4 2" xfId="377"/>
    <cellStyle name="normální 4_PV Rozpis rozpočtu VŠ 2011 III - tabulkové přílohy" xfId="70"/>
    <cellStyle name="Normální 5" xfId="71"/>
    <cellStyle name="normální 5 2" xfId="72"/>
    <cellStyle name="normální 5 2 2" xfId="193"/>
    <cellStyle name="Normální 5 3" xfId="307"/>
    <cellStyle name="Normální 5 4" xfId="192"/>
    <cellStyle name="Normální 5 5" xfId="314"/>
    <cellStyle name="Normální 5 6" xfId="313"/>
    <cellStyle name="Normální 5 7" xfId="317"/>
    <cellStyle name="Normální 5 8" xfId="335"/>
    <cellStyle name="Normální 6" xfId="73"/>
    <cellStyle name="Normální 6 2" xfId="74"/>
    <cellStyle name="Normální 6 2 2" xfId="195"/>
    <cellStyle name="Normální 6 3" xfId="305"/>
    <cellStyle name="Normální 6 4" xfId="194"/>
    <cellStyle name="normální 7" xfId="75"/>
    <cellStyle name="Normální 7 2" xfId="308"/>
    <cellStyle name="normální 7 3" xfId="196"/>
    <cellStyle name="normální 7 4" xfId="315"/>
    <cellStyle name="normální 7 5" xfId="316"/>
    <cellStyle name="normální 7 6" xfId="312"/>
    <cellStyle name="normální 7 7" xfId="336"/>
    <cellStyle name="Normální 8" xfId="76"/>
    <cellStyle name="Normální 8 2" xfId="77"/>
    <cellStyle name="Normální 8 2 2" xfId="198"/>
    <cellStyle name="Normální 8 3" xfId="309"/>
    <cellStyle name="Normální 8 4" xfId="197"/>
    <cellStyle name="Normální 9" xfId="78"/>
    <cellStyle name="Normální 9 2" xfId="310"/>
    <cellStyle name="Normální 9 3" xfId="199"/>
    <cellStyle name="normální_model_rozpocet_23112009-1" xfId="79"/>
    <cellStyle name="normální_návrh CP k 23.11.03" xfId="80"/>
    <cellStyle name="Note" xfId="200"/>
    <cellStyle name="Note 2" xfId="300"/>
    <cellStyle name="Output" xfId="201"/>
    <cellStyle name="Output 2" xfId="298"/>
    <cellStyle name="Pevný" xfId="275"/>
    <cellStyle name="Poznámka 2" xfId="81"/>
    <cellStyle name="Poznámka 2 2" xfId="296"/>
    <cellStyle name="Poznámka 2 3" xfId="202"/>
    <cellStyle name="Poznámka 2 3 2" xfId="373"/>
    <cellStyle name="Poznámka 3" xfId="244"/>
    <cellStyle name="procent 2" xfId="82"/>
    <cellStyle name="procent 2 2" xfId="113"/>
    <cellStyle name="procent 3" xfId="83"/>
    <cellStyle name="procent 3 2" xfId="203"/>
    <cellStyle name="procent 4" xfId="84"/>
    <cellStyle name="procent 4 2" xfId="204"/>
    <cellStyle name="Procenta 2" xfId="85"/>
    <cellStyle name="Procenta 2 2" xfId="276"/>
    <cellStyle name="Procenta 2 2 2" xfId="342"/>
    <cellStyle name="Procenta 2 3" xfId="205"/>
    <cellStyle name="Procenta 3" xfId="288"/>
    <cellStyle name="Procenta 3 2" xfId="303"/>
    <cellStyle name="Procenta 3 2 2" xfId="350"/>
    <cellStyle name="Procenta 4" xfId="231"/>
    <cellStyle name="Procenta 5" xfId="338"/>
    <cellStyle name="Propojená buňka" xfId="325" builtinId="24" customBuiltin="1"/>
    <cellStyle name="Propojená buňka 2" xfId="86"/>
    <cellStyle name="Propojená buňka 2 2" xfId="206"/>
    <cellStyle name="Propojená buňka 3" xfId="241"/>
    <cellStyle name="Správně" xfId="320" builtinId="26" customBuiltin="1"/>
    <cellStyle name="Správně 2" xfId="87"/>
    <cellStyle name="Správně 2 2" xfId="207"/>
    <cellStyle name="Správně 3" xfId="235"/>
    <cellStyle name="Špatně" xfId="321" builtinId="27" customBuiltin="1"/>
    <cellStyle name="Špatně 2" xfId="236"/>
    <cellStyle name="Text upozornění" xfId="88"/>
    <cellStyle name="Text upozornění 2" xfId="89"/>
    <cellStyle name="Text upozornění 2 2" xfId="208"/>
    <cellStyle name="Text upozornění 3" xfId="243"/>
    <cellStyle name="Text upozornění 4" xfId="351"/>
    <cellStyle name="Title" xfId="209"/>
    <cellStyle name="Total" xfId="210"/>
    <cellStyle name="Total 2" xfId="299"/>
    <cellStyle name="Vstup" xfId="322" builtinId="20" customBuiltin="1"/>
    <cellStyle name="Vstup 2" xfId="90"/>
    <cellStyle name="Vstup 2 2" xfId="293"/>
    <cellStyle name="Vstup 2 3" xfId="211"/>
    <cellStyle name="Vstup 3" xfId="238"/>
    <cellStyle name="Výpočet" xfId="324" builtinId="22" customBuiltin="1"/>
    <cellStyle name="Výpočet 2" xfId="91"/>
    <cellStyle name="Výpočet 2 2" xfId="292"/>
    <cellStyle name="Výpočet 2 3" xfId="212"/>
    <cellStyle name="Výpočet 3" xfId="240"/>
    <cellStyle name="Výstup" xfId="323" builtinId="21" customBuiltin="1"/>
    <cellStyle name="Výstup 2" xfId="92"/>
    <cellStyle name="Výstup 2 2" xfId="291"/>
    <cellStyle name="Výstup 2 3" xfId="213"/>
    <cellStyle name="Výstup 3" xfId="239"/>
    <cellStyle name="Vysvětlující text" xfId="327" builtinId="53" customBuiltin="1"/>
    <cellStyle name="Vysvětlující text 2" xfId="93"/>
    <cellStyle name="Vysvětlující text 2 2" xfId="214"/>
    <cellStyle name="Vysvětlující text 3" xfId="245"/>
    <cellStyle name="Warning Text" xfId="215"/>
    <cellStyle name="Zvýraznění 1" xfId="328" builtinId="29" customBuiltin="1"/>
    <cellStyle name="Zvýraznění 1 2" xfId="94"/>
    <cellStyle name="Zvýraznění 1 2 2" xfId="216"/>
    <cellStyle name="Zvýraznění 1 3" xfId="247"/>
    <cellStyle name="Zvýraznění 2" xfId="329" builtinId="33" customBuiltin="1"/>
    <cellStyle name="Zvýraznění 2 2" xfId="95"/>
    <cellStyle name="Zvýraznění 2 2 2" xfId="217"/>
    <cellStyle name="Zvýraznění 2 3" xfId="251"/>
    <cellStyle name="Zvýraznění 3" xfId="330" builtinId="37" customBuiltin="1"/>
    <cellStyle name="Zvýraznění 3 2" xfId="96"/>
    <cellStyle name="Zvýraznění 3 2 2" xfId="218"/>
    <cellStyle name="Zvýraznění 3 3" xfId="255"/>
    <cellStyle name="Zvýraznění 4" xfId="331" builtinId="41" customBuiltin="1"/>
    <cellStyle name="Zvýraznění 4 2" xfId="97"/>
    <cellStyle name="Zvýraznění 4 2 2" xfId="219"/>
    <cellStyle name="Zvýraznění 4 3" xfId="259"/>
    <cellStyle name="Zvýraznění 5" xfId="332" builtinId="45" customBuiltin="1"/>
    <cellStyle name="Zvýraznění 5 2" xfId="98"/>
    <cellStyle name="Zvýraznění 5 2 2" xfId="220"/>
    <cellStyle name="Zvýraznění 5 3" xfId="263"/>
    <cellStyle name="Zvýraznění 6" xfId="333" builtinId="49" customBuiltin="1"/>
    <cellStyle name="Zvýraznění 6 2" xfId="99"/>
    <cellStyle name="Zvýraznění 6 2 2" xfId="221"/>
    <cellStyle name="Zvýraznění 6 3" xfId="2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Temp\Pozadavky_CP_rozpocet_2019_HS_IRP_CZ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EF-FINANCOVANI/ROZPOCTY/ROZPOCET_MU/2019/02_P&#345;&#237;prava/02_po&#382;adavky%20HS%20na%20CP/Konsolidovan&#233;%20po&#382;adavky_CP_2019_FINAL%20po%20porad&#283;%20veden&#237;%20050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F-FINANCOVANI/ROZPOCTY/ROZPOCET_MU/2020/02_P&#345;&#237;prava/02_po&#382;adavky%20HS%20na%20CP/99%20RMU/KK_Po&#382;adavky_CP_rozpo&#269;et_2020_RM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0Provozn&#237;%20v&#283;ci/3.%20Rozpo&#269;et%20OV/2020/2.%20Po&#382;adavky_CP_rozpo&#269;et_2020_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adavky HS na CP"/>
      <sheetName val="rozevírací seznamy"/>
    </sheetNames>
    <sheetDataSet>
      <sheetData sheetId="0" refreshError="1"/>
      <sheetData sheetId="1">
        <row r="2">
          <cell r="A2" t="str">
            <v>CP</v>
          </cell>
        </row>
        <row r="3">
          <cell r="A3" t="str">
            <v>SPOLUF NEI</v>
          </cell>
        </row>
        <row r="4">
          <cell r="A4" t="str">
            <v>SPOLUF INV</v>
          </cell>
        </row>
        <row r="5">
          <cell r="A5" t="str">
            <v>IRP</v>
          </cell>
        </row>
        <row r="6">
          <cell r="A6" t="str">
            <v>INV</v>
          </cell>
        </row>
        <row r="20">
          <cell r="A20" t="str">
            <v>Lékařská fakulta</v>
          </cell>
        </row>
        <row r="21">
          <cell r="A21" t="str">
            <v>Filozofická fakulta</v>
          </cell>
        </row>
        <row r="22">
          <cell r="A22" t="str">
            <v>Právnická fakulta</v>
          </cell>
        </row>
        <row r="23">
          <cell r="A23" t="str">
            <v>Fakulta sociálních studií</v>
          </cell>
        </row>
        <row r="24">
          <cell r="A24" t="str">
            <v>Přírodovědecká fakulta</v>
          </cell>
        </row>
        <row r="25">
          <cell r="A25" t="str">
            <v>Fakulta informatiky</v>
          </cell>
        </row>
        <row r="26">
          <cell r="A26" t="str">
            <v>Pedagogická fakulta</v>
          </cell>
        </row>
        <row r="27">
          <cell r="A27" t="str">
            <v>Fakulta sportovních studií</v>
          </cell>
        </row>
        <row r="28">
          <cell r="A28" t="str">
            <v>Ekonomicko-správní fakulta</v>
          </cell>
        </row>
        <row r="29">
          <cell r="A29" t="str">
            <v>CEITEC</v>
          </cell>
        </row>
        <row r="30">
          <cell r="A30" t="str">
            <v>Centrální řídící struktura CEITEC</v>
          </cell>
        </row>
        <row r="31">
          <cell r="A31" t="str">
            <v>Správa kolejí a menz</v>
          </cell>
        </row>
        <row r="32">
          <cell r="A32" t="str">
            <v>Správa UKB</v>
          </cell>
        </row>
        <row r="33">
          <cell r="A33" t="str">
            <v>Univerzitní centrum Telč</v>
          </cell>
        </row>
        <row r="34">
          <cell r="A34" t="str">
            <v>Stř.pro pomoc stud. se spec. nároky</v>
          </cell>
        </row>
        <row r="35">
          <cell r="A35" t="str">
            <v>Centrum pro transfer technologií</v>
          </cell>
        </row>
        <row r="36">
          <cell r="A36" t="str">
            <v>Ústav výpočetní techniky</v>
          </cell>
        </row>
        <row r="37">
          <cell r="A37" t="str">
            <v>Centrum jazykového vzdělávání</v>
          </cell>
        </row>
        <row r="38">
          <cell r="A38" t="str">
            <v>Centrum zahraniční spolupráce</v>
          </cell>
        </row>
        <row r="39">
          <cell r="A39" t="str">
            <v>Rektorát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 CELKEM"/>
      <sheetName val="CP RMU"/>
      <sheetName val="CJV+CUS"/>
      <sheetName val="IP"/>
      <sheetName val="jiné"/>
      <sheetName val="Pozadavky HS na CP"/>
      <sheetName val="Přehled navýšení 2019"/>
      <sheetName val="Pozadavky RMU na CP"/>
      <sheetName val="List1"/>
    </sheetNames>
    <sheetDataSet>
      <sheetData sheetId="0"/>
      <sheetData sheetId="1"/>
      <sheetData sheetId="2"/>
      <sheetData sheetId="3"/>
      <sheetData sheetId="4"/>
      <sheetData sheetId="5"/>
      <sheetData sheetId="6"/>
      <sheetData sheetId="7"/>
      <sheetData sheetId="8">
        <row r="2">
          <cell r="A2" t="str">
            <v>CP</v>
          </cell>
        </row>
        <row r="3">
          <cell r="A3" t="str">
            <v>SPOLUF NEI</v>
          </cell>
        </row>
        <row r="4">
          <cell r="A4" t="str">
            <v>SPOLUF INV</v>
          </cell>
        </row>
        <row r="5">
          <cell r="A5" t="str">
            <v>INV</v>
          </cell>
        </row>
        <row r="9">
          <cell r="A9" t="str">
            <v>pror. pro internacionalizaci</v>
          </cell>
        </row>
        <row r="10">
          <cell r="A10" t="str">
            <v>pror. pro výzkum</v>
          </cell>
        </row>
        <row r="11">
          <cell r="A11" t="str">
            <v>pror. pro záležitosti studentů</v>
          </cell>
        </row>
        <row r="12">
          <cell r="A12" t="str">
            <v>pror. pro studium a IT</v>
          </cell>
        </row>
        <row r="13">
          <cell r="A13" t="str">
            <v>pror. pro rozvoj</v>
          </cell>
        </row>
        <row r="14">
          <cell r="A14" t="str">
            <v>pror. pro vnější vztahy</v>
          </cell>
        </row>
        <row r="15">
          <cell r="A15" t="str">
            <v>kvestorka</v>
          </cell>
        </row>
        <row r="16">
          <cell r="A16" t="str">
            <v>kancléřka</v>
          </cell>
        </row>
        <row r="17">
          <cell r="A17" t="str">
            <v>řed. pro komunikaci</v>
          </cell>
        </row>
        <row r="18">
          <cell r="A18" t="str">
            <v>řed. pro strategii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adavky RMU na CP"/>
      <sheetName val="Vzor pro vyplnění"/>
      <sheetName val="List1"/>
    </sheetNames>
    <sheetDataSet>
      <sheetData sheetId="0"/>
      <sheetData sheetId="1"/>
      <sheetData sheetId="2">
        <row r="2">
          <cell r="A2" t="str">
            <v>CP</v>
          </cell>
        </row>
        <row r="3">
          <cell r="A3" t="str">
            <v>SPOLUF NEI</v>
          </cell>
        </row>
        <row r="4">
          <cell r="A4" t="str">
            <v>SPOLUF INV</v>
          </cell>
        </row>
        <row r="5">
          <cell r="A5" t="str">
            <v>IRP</v>
          </cell>
        </row>
        <row r="6">
          <cell r="A6" t="str">
            <v>INV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adavky RMU na CP"/>
      <sheetName val="Vzor pro vyplnění"/>
      <sheetName val="List1"/>
    </sheetNames>
    <sheetDataSet>
      <sheetData sheetId="0" refreshError="1"/>
      <sheetData sheetId="1" refreshError="1"/>
      <sheetData sheetId="2">
        <row r="2">
          <cell r="A2" t="str">
            <v>CP</v>
          </cell>
        </row>
        <row r="3">
          <cell r="A3" t="str">
            <v>SPOLUF NEI</v>
          </cell>
        </row>
        <row r="4">
          <cell r="A4" t="str">
            <v>SPOLUF INV</v>
          </cell>
        </row>
        <row r="5">
          <cell r="A5" t="str">
            <v>IRP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M57"/>
  <sheetViews>
    <sheetView showGridLines="0" workbookViewId="0"/>
  </sheetViews>
  <sheetFormatPr defaultColWidth="11.44140625" defaultRowHeight="13.8" x14ac:dyDescent="0.3"/>
  <cols>
    <col min="1" max="1" width="4.44140625" style="1" customWidth="1"/>
    <col min="2" max="2" width="10.33203125" style="1" customWidth="1"/>
    <col min="3" max="3" width="13.5546875" style="1" customWidth="1"/>
    <col min="4" max="4" width="13.33203125" style="1" customWidth="1"/>
    <col min="5" max="6" width="12.6640625" style="1" customWidth="1"/>
    <col min="7" max="7" width="12" style="1" customWidth="1"/>
    <col min="8" max="8" width="12.33203125" style="1" customWidth="1"/>
    <col min="9" max="9" width="11.5546875" style="1" customWidth="1"/>
    <col min="10" max="10" width="12.44140625" style="1" customWidth="1"/>
    <col min="11" max="11" width="11.33203125" style="1" customWidth="1"/>
    <col min="12" max="12" width="10" style="13" customWidth="1"/>
    <col min="13" max="13" width="10.5546875" style="1" customWidth="1"/>
    <col min="14" max="16384" width="11.44140625" style="1"/>
  </cols>
  <sheetData>
    <row r="1" spans="1:13" ht="26.4" x14ac:dyDescent="0.45">
      <c r="A1" s="68" t="s">
        <v>598</v>
      </c>
      <c r="B1" s="69"/>
      <c r="C1" s="12"/>
      <c r="D1" s="12"/>
      <c r="E1" s="12"/>
      <c r="F1" s="12"/>
      <c r="G1" s="12"/>
      <c r="H1" s="12"/>
      <c r="I1" s="12"/>
      <c r="J1" s="12"/>
      <c r="K1" s="12"/>
    </row>
    <row r="2" spans="1:13" ht="22.5" customHeight="1" x14ac:dyDescent="0.3">
      <c r="A2" s="1589" t="s">
        <v>612</v>
      </c>
      <c r="B2" s="1589"/>
      <c r="C2" s="1589"/>
      <c r="D2" s="1589"/>
      <c r="E2" s="1589"/>
      <c r="F2" s="1589"/>
      <c r="G2" s="1589"/>
      <c r="H2" s="1589"/>
      <c r="I2" s="1589"/>
      <c r="J2" s="1589"/>
      <c r="K2" s="1589"/>
      <c r="L2" s="1589"/>
      <c r="M2" s="1589"/>
    </row>
    <row r="3" spans="1:13" ht="22.5" customHeight="1" thickBot="1" x14ac:dyDescent="0.35">
      <c r="A3" s="70"/>
      <c r="B3" s="71"/>
      <c r="C3" s="71"/>
      <c r="D3" s="71"/>
      <c r="E3" s="71"/>
      <c r="F3" s="71"/>
      <c r="G3" s="71"/>
      <c r="H3" s="71"/>
      <c r="I3" s="71"/>
      <c r="J3" s="71"/>
      <c r="K3" s="71"/>
      <c r="L3" s="71"/>
      <c r="M3" s="71"/>
    </row>
    <row r="4" spans="1:13" ht="16.2" thickBot="1" x14ac:dyDescent="0.35">
      <c r="A4" s="57" t="s">
        <v>159</v>
      </c>
      <c r="B4" s="12"/>
      <c r="C4" s="12"/>
      <c r="D4" s="12"/>
      <c r="E4" s="12"/>
      <c r="G4" s="553">
        <v>0.76</v>
      </c>
      <c r="H4" s="554">
        <v>0.24</v>
      </c>
      <c r="I4" s="72"/>
      <c r="J4" s="13"/>
      <c r="K4" s="13"/>
      <c r="L4" s="71"/>
    </row>
    <row r="5" spans="1:13" x14ac:dyDescent="0.3">
      <c r="A5" s="73"/>
      <c r="B5" s="74"/>
      <c r="C5" s="75"/>
      <c r="D5" s="76"/>
      <c r="E5" s="77"/>
      <c r="F5" s="78"/>
      <c r="G5" s="79"/>
      <c r="H5" s="79"/>
      <c r="I5" s="79"/>
      <c r="J5" s="80" t="s">
        <v>2</v>
      </c>
      <c r="K5" s="12"/>
      <c r="L5" s="1"/>
    </row>
    <row r="6" spans="1:13" ht="14.4" thickBot="1" x14ac:dyDescent="0.35">
      <c r="A6" s="81" t="s">
        <v>3</v>
      </c>
      <c r="B6" s="96" t="s">
        <v>4</v>
      </c>
      <c r="C6" s="109"/>
      <c r="D6" s="98"/>
      <c r="E6" s="84" t="s">
        <v>577</v>
      </c>
      <c r="F6" s="85" t="s">
        <v>599</v>
      </c>
      <c r="G6" s="86" t="s">
        <v>472</v>
      </c>
      <c r="H6" s="86" t="s">
        <v>473</v>
      </c>
      <c r="I6" s="87" t="s">
        <v>582</v>
      </c>
      <c r="J6" s="88" t="s">
        <v>600</v>
      </c>
      <c r="K6" s="12"/>
      <c r="L6" s="1"/>
    </row>
    <row r="7" spans="1:13" ht="14.4" thickBot="1" x14ac:dyDescent="0.35">
      <c r="A7" s="1229">
        <v>1</v>
      </c>
      <c r="B7" s="1230" t="s">
        <v>611</v>
      </c>
      <c r="C7" s="1231"/>
      <c r="D7" s="1232"/>
      <c r="E7" s="1226">
        <v>2319718.2259999998</v>
      </c>
      <c r="F7" s="99">
        <v>2450519.0920000002</v>
      </c>
      <c r="I7" s="92"/>
      <c r="J7" s="93">
        <f>F7/E7</f>
        <v>1.0563865320080477</v>
      </c>
      <c r="K7" s="94">
        <v>45873.999999999767</v>
      </c>
      <c r="L7" s="1"/>
    </row>
    <row r="8" spans="1:13" x14ac:dyDescent="0.3">
      <c r="A8" s="95">
        <v>2</v>
      </c>
      <c r="B8" s="1233" t="s">
        <v>610</v>
      </c>
      <c r="C8" s="136"/>
      <c r="D8" s="1234"/>
      <c r="E8" s="1227"/>
      <c r="F8" s="99">
        <v>2383874.7285103267</v>
      </c>
      <c r="G8" s="91">
        <f>F8*G4</f>
        <v>1811744.7936678482</v>
      </c>
      <c r="H8" s="91">
        <f>F8*H4</f>
        <v>572129.93484247837</v>
      </c>
      <c r="I8" s="101"/>
      <c r="J8" s="102"/>
      <c r="K8" s="94"/>
      <c r="L8" s="1"/>
    </row>
    <row r="9" spans="1:13" ht="14.4" thickBot="1" x14ac:dyDescent="0.35">
      <c r="A9" s="95">
        <v>3</v>
      </c>
      <c r="B9" s="1596" t="s">
        <v>861</v>
      </c>
      <c r="C9" s="1597"/>
      <c r="D9" s="1598"/>
      <c r="E9" s="1227">
        <v>885354.28799999994</v>
      </c>
      <c r="F9" s="99">
        <v>932162.87155529438</v>
      </c>
      <c r="G9" s="100"/>
      <c r="H9" s="100"/>
      <c r="I9" s="101">
        <f>F9</f>
        <v>932162.87155529438</v>
      </c>
      <c r="J9" s="102">
        <f>F9/E9</f>
        <v>1.0528698897037414</v>
      </c>
      <c r="K9" s="12"/>
      <c r="L9" s="1"/>
    </row>
    <row r="10" spans="1:13" ht="14.4" thickBot="1" x14ac:dyDescent="0.35">
      <c r="A10" s="103">
        <v>4</v>
      </c>
      <c r="B10" s="82" t="s">
        <v>5</v>
      </c>
      <c r="C10" s="1228"/>
      <c r="D10" s="83"/>
      <c r="E10" s="104">
        <v>3205072.5139999995</v>
      </c>
      <c r="F10" s="105">
        <f>F7+F9</f>
        <v>3382681.9635552946</v>
      </c>
      <c r="G10" s="106"/>
      <c r="H10" s="106"/>
      <c r="I10" s="107"/>
      <c r="J10" s="108">
        <f>F10/E10</f>
        <v>1.0554151111338304</v>
      </c>
      <c r="K10" s="12"/>
      <c r="L10" s="1"/>
    </row>
    <row r="11" spans="1:13" x14ac:dyDescent="0.3">
      <c r="A11" s="109"/>
      <c r="B11" s="98"/>
      <c r="C11" s="97"/>
      <c r="D11" s="98"/>
      <c r="E11" s="97"/>
      <c r="F11" s="71"/>
      <c r="G11" s="71"/>
      <c r="H11" s="71"/>
      <c r="I11" s="71"/>
      <c r="J11" s="110"/>
      <c r="K11" s="12"/>
      <c r="L11" s="1"/>
    </row>
    <row r="12" spans="1:13" x14ac:dyDescent="0.3">
      <c r="A12" s="109"/>
      <c r="B12" s="98"/>
      <c r="C12" s="97"/>
      <c r="D12" s="98"/>
      <c r="E12" s="97"/>
      <c r="F12" s="71"/>
      <c r="G12" s="71"/>
      <c r="H12" s="71"/>
      <c r="I12" s="71"/>
      <c r="J12" s="110"/>
      <c r="K12" s="12"/>
      <c r="L12" s="1"/>
    </row>
    <row r="13" spans="1:13" x14ac:dyDescent="0.3">
      <c r="A13" s="12"/>
      <c r="B13" s="12"/>
      <c r="C13" s="12"/>
      <c r="D13" s="12"/>
      <c r="E13" s="12"/>
      <c r="G13" s="12"/>
      <c r="H13" s="12"/>
      <c r="I13" s="12"/>
      <c r="J13" s="12"/>
      <c r="K13" s="12"/>
    </row>
    <row r="14" spans="1:13" ht="16.2" thickBot="1" x14ac:dyDescent="0.35">
      <c r="A14" s="57" t="s">
        <v>601</v>
      </c>
      <c r="B14" s="12"/>
      <c r="C14" s="12"/>
      <c r="D14" s="12"/>
      <c r="E14" s="12"/>
      <c r="F14" s="12"/>
      <c r="G14" s="12"/>
      <c r="H14" s="111"/>
      <c r="I14" s="12"/>
      <c r="J14" s="12"/>
      <c r="K14" s="112"/>
      <c r="L14" s="113"/>
    </row>
    <row r="15" spans="1:13" ht="30" customHeight="1" x14ac:dyDescent="0.3">
      <c r="A15" s="1590" t="s">
        <v>371</v>
      </c>
      <c r="B15" s="1591"/>
      <c r="C15" s="1594" t="s">
        <v>474</v>
      </c>
      <c r="D15" s="1129" t="s">
        <v>232</v>
      </c>
      <c r="E15" s="1130" t="s">
        <v>233</v>
      </c>
      <c r="F15" s="1131" t="s">
        <v>475</v>
      </c>
      <c r="G15" s="1132" t="s">
        <v>235</v>
      </c>
      <c r="H15" s="1133" t="s">
        <v>235</v>
      </c>
      <c r="L15" s="1"/>
    </row>
    <row r="16" spans="1:13" ht="42.75" customHeight="1" thickBot="1" x14ac:dyDescent="0.35">
      <c r="A16" s="1592"/>
      <c r="B16" s="1593"/>
      <c r="C16" s="1595"/>
      <c r="D16" s="1134" t="s">
        <v>515</v>
      </c>
      <c r="E16" s="1135" t="s">
        <v>234</v>
      </c>
      <c r="F16" s="1136"/>
      <c r="G16" s="1137" t="s">
        <v>16</v>
      </c>
      <c r="H16" s="1138" t="s">
        <v>280</v>
      </c>
      <c r="L16" s="1"/>
    </row>
    <row r="17" spans="1:12" ht="14.4" thickBot="1" x14ac:dyDescent="0.35">
      <c r="A17" s="129">
        <v>11</v>
      </c>
      <c r="B17" s="130" t="s">
        <v>7</v>
      </c>
      <c r="C17" s="131">
        <v>341015.53998469427</v>
      </c>
      <c r="D17" s="773">
        <v>4.9101090480400816E-2</v>
      </c>
      <c r="E17" s="132">
        <v>4447.9322520640062</v>
      </c>
      <c r="F17" s="1007">
        <v>69496.953208543142</v>
      </c>
      <c r="G17" s="1074">
        <f>C17+E17+F17</f>
        <v>414960.4254453014</v>
      </c>
      <c r="H17" s="818">
        <f>ROUND(G17,1)</f>
        <v>414960.4</v>
      </c>
      <c r="L17" s="1"/>
    </row>
    <row r="18" spans="1:12" x14ac:dyDescent="0.3">
      <c r="A18" s="1235">
        <v>16</v>
      </c>
      <c r="B18" s="1236" t="s">
        <v>613</v>
      </c>
      <c r="C18" s="131">
        <v>58901.673297782399</v>
      </c>
      <c r="D18" s="1237"/>
      <c r="E18" s="132"/>
      <c r="F18" s="1238">
        <v>7742.6901918908952</v>
      </c>
      <c r="G18" s="1074">
        <f>C18+E18+F18</f>
        <v>66644.363489673298</v>
      </c>
      <c r="H18" s="818">
        <f>ROUND(G18,1)</f>
        <v>66644.399999999994</v>
      </c>
      <c r="L18" s="1"/>
    </row>
    <row r="19" spans="1:12" x14ac:dyDescent="0.3">
      <c r="A19" s="133">
        <v>21</v>
      </c>
      <c r="B19" s="134" t="s">
        <v>8</v>
      </c>
      <c r="C19" s="135">
        <v>296863.88164905703</v>
      </c>
      <c r="D19" s="760">
        <v>0.20587336673543574</v>
      </c>
      <c r="E19" s="137">
        <v>18649.500016889866</v>
      </c>
      <c r="F19" s="1075">
        <v>96534.255485573784</v>
      </c>
      <c r="G19" s="1076">
        <f t="shared" ref="G19:G29" si="0">C19+E19+F19</f>
        <v>412047.6371515207</v>
      </c>
      <c r="H19" s="1077">
        <f t="shared" ref="H19:H29" si="1">ROUND(G19,1)</f>
        <v>412047.6</v>
      </c>
      <c r="L19" s="1"/>
    </row>
    <row r="20" spans="1:12" x14ac:dyDescent="0.3">
      <c r="A20" s="133">
        <v>22</v>
      </c>
      <c r="B20" s="134" t="s">
        <v>9</v>
      </c>
      <c r="C20" s="135">
        <v>118828.42944078965</v>
      </c>
      <c r="D20" s="760">
        <v>4.7214362904018044E-2</v>
      </c>
      <c r="E20" s="137">
        <v>4277.0188088849536</v>
      </c>
      <c r="F20" s="1075">
        <v>33499.630439638175</v>
      </c>
      <c r="G20" s="1076">
        <f t="shared" si="0"/>
        <v>156605.0786893128</v>
      </c>
      <c r="H20" s="1077">
        <f t="shared" si="1"/>
        <v>156605.1</v>
      </c>
      <c r="L20" s="1"/>
    </row>
    <row r="21" spans="1:12" x14ac:dyDescent="0.3">
      <c r="A21" s="133">
        <v>23</v>
      </c>
      <c r="B21" s="134" t="s">
        <v>10</v>
      </c>
      <c r="C21" s="135">
        <v>126985.90002553249</v>
      </c>
      <c r="D21" s="760">
        <v>7.1536987916298256E-2</v>
      </c>
      <c r="E21" s="137">
        <v>6480.3382706016573</v>
      </c>
      <c r="F21" s="1075">
        <v>57283.362169435393</v>
      </c>
      <c r="G21" s="1076">
        <f t="shared" si="0"/>
        <v>190749.60046556956</v>
      </c>
      <c r="H21" s="1077">
        <f t="shared" si="1"/>
        <v>190749.6</v>
      </c>
      <c r="L21" s="1"/>
    </row>
    <row r="22" spans="1:12" x14ac:dyDescent="0.3">
      <c r="A22" s="133">
        <v>31</v>
      </c>
      <c r="B22" s="134" t="s">
        <v>11</v>
      </c>
      <c r="C22" s="135">
        <v>317241.77422071598</v>
      </c>
      <c r="D22" s="760">
        <v>0.14046566460359561</v>
      </c>
      <c r="E22" s="137">
        <v>12724.396826732926</v>
      </c>
      <c r="F22" s="1075">
        <v>156226.39622461359</v>
      </c>
      <c r="G22" s="1076">
        <f t="shared" si="0"/>
        <v>486192.56727206247</v>
      </c>
      <c r="H22" s="1077">
        <f t="shared" si="1"/>
        <v>486192.6</v>
      </c>
      <c r="L22" s="1"/>
    </row>
    <row r="23" spans="1:12" x14ac:dyDescent="0.3">
      <c r="A23" s="133">
        <v>33</v>
      </c>
      <c r="B23" s="134" t="s">
        <v>12</v>
      </c>
      <c r="C23" s="135">
        <v>127112.10775215727</v>
      </c>
      <c r="D23" s="760">
        <v>0.11380783966990862</v>
      </c>
      <c r="E23" s="137">
        <v>10309.538050027108</v>
      </c>
      <c r="F23" s="1075">
        <v>33599.742149182872</v>
      </c>
      <c r="G23" s="1076">
        <f t="shared" si="0"/>
        <v>171021.38795136724</v>
      </c>
      <c r="H23" s="1077">
        <f t="shared" si="1"/>
        <v>171021.4</v>
      </c>
      <c r="L23" s="1"/>
    </row>
    <row r="24" spans="1:12" x14ac:dyDescent="0.3">
      <c r="A24" s="133">
        <v>41</v>
      </c>
      <c r="B24" s="134" t="s">
        <v>13</v>
      </c>
      <c r="C24" s="135">
        <v>202342.31700608981</v>
      </c>
      <c r="D24" s="760">
        <v>0.17895176343452204</v>
      </c>
      <c r="E24" s="137">
        <v>16210.746286008787</v>
      </c>
      <c r="F24" s="1075">
        <v>36033.506814794819</v>
      </c>
      <c r="G24" s="1076">
        <f t="shared" si="0"/>
        <v>254586.57010689343</v>
      </c>
      <c r="H24" s="1077">
        <f t="shared" si="1"/>
        <v>254586.6</v>
      </c>
      <c r="L24" s="1"/>
    </row>
    <row r="25" spans="1:12" x14ac:dyDescent="0.3">
      <c r="A25" s="133">
        <v>51</v>
      </c>
      <c r="B25" s="134" t="s">
        <v>14</v>
      </c>
      <c r="C25" s="135">
        <v>78878.433229428891</v>
      </c>
      <c r="D25" s="760">
        <v>4.4503389330975529E-2</v>
      </c>
      <c r="E25" s="137">
        <v>4031.439196048409</v>
      </c>
      <c r="F25" s="1075">
        <v>12825.808374797056</v>
      </c>
      <c r="G25" s="1076">
        <f t="shared" si="0"/>
        <v>95735.680800274349</v>
      </c>
      <c r="H25" s="1077">
        <f t="shared" si="1"/>
        <v>95735.7</v>
      </c>
      <c r="L25" s="1"/>
    </row>
    <row r="26" spans="1:12" x14ac:dyDescent="0.3">
      <c r="A26" s="133">
        <v>56</v>
      </c>
      <c r="B26" s="134" t="s">
        <v>15</v>
      </c>
      <c r="C26" s="135">
        <v>111889.17067599023</v>
      </c>
      <c r="D26" s="760">
        <v>0.14854553492484537</v>
      </c>
      <c r="E26" s="137">
        <v>13456.329976134706</v>
      </c>
      <c r="F26" s="1075">
        <v>33928.081044533123</v>
      </c>
      <c r="G26" s="1076">
        <f t="shared" si="0"/>
        <v>159273.58169665805</v>
      </c>
      <c r="H26" s="1077">
        <f t="shared" si="1"/>
        <v>159273.60000000001</v>
      </c>
      <c r="L26" s="1"/>
    </row>
    <row r="27" spans="1:12" x14ac:dyDescent="0.3">
      <c r="A27" s="133">
        <v>71</v>
      </c>
      <c r="B27" s="138" t="s">
        <v>178</v>
      </c>
      <c r="C27" s="135"/>
      <c r="D27" s="136"/>
      <c r="E27" s="1005"/>
      <c r="F27" s="1075">
        <v>38273.066224660754</v>
      </c>
      <c r="G27" s="1076">
        <f t="shared" si="0"/>
        <v>38273.066224660754</v>
      </c>
      <c r="H27" s="1077">
        <f t="shared" si="1"/>
        <v>38273.1</v>
      </c>
      <c r="L27" s="1"/>
    </row>
    <row r="28" spans="1:12" x14ac:dyDescent="0.3">
      <c r="A28" s="133">
        <v>85</v>
      </c>
      <c r="B28" s="138" t="s">
        <v>95</v>
      </c>
      <c r="C28" s="135"/>
      <c r="D28" s="136"/>
      <c r="E28" s="1005"/>
      <c r="F28" s="1075">
        <v>368.08420057933222</v>
      </c>
      <c r="G28" s="1076">
        <f t="shared" si="0"/>
        <v>368.08420057933222</v>
      </c>
      <c r="H28" s="1077">
        <f t="shared" si="1"/>
        <v>368.1</v>
      </c>
      <c r="L28" s="1"/>
    </row>
    <row r="29" spans="1:12" ht="14.4" thickBot="1" x14ac:dyDescent="0.35">
      <c r="A29" s="95">
        <v>92</v>
      </c>
      <c r="B29" s="139" t="s">
        <v>17</v>
      </c>
      <c r="C29" s="140"/>
      <c r="D29" s="141"/>
      <c r="E29" s="1006"/>
      <c r="F29" s="1078">
        <v>4061.0485061263221</v>
      </c>
      <c r="G29" s="1076">
        <f t="shared" si="0"/>
        <v>4061.0485061263221</v>
      </c>
      <c r="H29" s="1079">
        <f t="shared" si="1"/>
        <v>4061</v>
      </c>
      <c r="L29" s="1"/>
    </row>
    <row r="30" spans="1:12" ht="14.4" thickBot="1" x14ac:dyDescent="0.35">
      <c r="A30" s="142" t="s">
        <v>70</v>
      </c>
      <c r="B30" s="143"/>
      <c r="C30" s="144">
        <f t="shared" ref="C30:H30" si="2">SUM(C17:C29)</f>
        <v>1780059.227282238</v>
      </c>
      <c r="D30" s="145">
        <f t="shared" si="2"/>
        <v>1</v>
      </c>
      <c r="E30" s="146">
        <f t="shared" si="2"/>
        <v>90587.239683392414</v>
      </c>
      <c r="F30" s="1008">
        <f t="shared" si="2"/>
        <v>579872.62503436918</v>
      </c>
      <c r="G30" s="1009">
        <f t="shared" si="2"/>
        <v>2450519.0919999997</v>
      </c>
      <c r="H30" s="819">
        <f t="shared" si="2"/>
        <v>2450519.2000000007</v>
      </c>
      <c r="L30" s="1"/>
    </row>
    <row r="31" spans="1:12" x14ac:dyDescent="0.3">
      <c r="A31" s="123"/>
      <c r="B31" s="98"/>
      <c r="C31" s="124"/>
      <c r="D31" s="124"/>
      <c r="E31" s="124"/>
      <c r="F31" s="124"/>
      <c r="G31" s="125"/>
      <c r="K31" s="59"/>
      <c r="L31" s="1"/>
    </row>
    <row r="32" spans="1:12" x14ac:dyDescent="0.3">
      <c r="F32" s="1" t="s">
        <v>477</v>
      </c>
    </row>
    <row r="33" spans="3:10" x14ac:dyDescent="0.3">
      <c r="C33" s="196"/>
    </row>
    <row r="45" spans="3:10" x14ac:dyDescent="0.3">
      <c r="I45" s="817"/>
      <c r="J45" s="817"/>
    </row>
    <row r="46" spans="3:10" x14ac:dyDescent="0.3">
      <c r="C46" s="59"/>
      <c r="D46" s="59"/>
      <c r="E46" s="59"/>
      <c r="F46" s="59"/>
      <c r="G46" s="59"/>
      <c r="I46" s="59"/>
      <c r="J46" s="59"/>
    </row>
    <row r="47" spans="3:10" x14ac:dyDescent="0.3">
      <c r="C47" s="59"/>
      <c r="D47" s="59"/>
      <c r="E47" s="59"/>
      <c r="F47" s="59"/>
      <c r="G47" s="59"/>
      <c r="I47" s="59"/>
      <c r="J47" s="59"/>
    </row>
    <row r="48" spans="3:10" x14ac:dyDescent="0.3">
      <c r="C48" s="59"/>
      <c r="D48" s="59"/>
      <c r="E48" s="59"/>
      <c r="F48" s="59"/>
      <c r="G48" s="59"/>
      <c r="I48" s="59"/>
      <c r="J48" s="59"/>
    </row>
    <row r="49" spans="3:10" x14ac:dyDescent="0.3">
      <c r="C49" s="59"/>
      <c r="D49" s="59"/>
      <c r="E49" s="59"/>
      <c r="F49" s="59"/>
      <c r="G49" s="59"/>
      <c r="I49" s="59"/>
      <c r="J49" s="59"/>
    </row>
    <row r="50" spans="3:10" x14ac:dyDescent="0.3">
      <c r="C50" s="59"/>
      <c r="D50" s="59"/>
      <c r="E50" s="59"/>
      <c r="F50" s="59"/>
      <c r="G50" s="59"/>
      <c r="I50" s="59"/>
      <c r="J50" s="59"/>
    </row>
    <row r="51" spans="3:10" x14ac:dyDescent="0.3">
      <c r="C51" s="59"/>
      <c r="D51" s="59"/>
      <c r="E51" s="59"/>
      <c r="F51" s="59"/>
      <c r="G51" s="59"/>
      <c r="I51" s="59"/>
      <c r="J51" s="59"/>
    </row>
    <row r="52" spans="3:10" x14ac:dyDescent="0.3">
      <c r="C52" s="59"/>
      <c r="D52" s="59"/>
      <c r="E52" s="59"/>
      <c r="F52" s="59"/>
      <c r="G52" s="59"/>
      <c r="I52" s="59"/>
      <c r="J52" s="59"/>
    </row>
    <row r="53" spans="3:10" x14ac:dyDescent="0.3">
      <c r="C53" s="59"/>
      <c r="D53" s="59"/>
      <c r="E53" s="59"/>
      <c r="F53" s="59"/>
      <c r="G53" s="59"/>
      <c r="I53" s="59"/>
      <c r="J53" s="59"/>
    </row>
    <row r="54" spans="3:10" x14ac:dyDescent="0.3">
      <c r="C54" s="59"/>
      <c r="D54" s="59"/>
      <c r="E54" s="59"/>
      <c r="F54" s="59"/>
      <c r="G54" s="59"/>
      <c r="I54" s="59"/>
      <c r="J54" s="59"/>
    </row>
    <row r="55" spans="3:10" x14ac:dyDescent="0.3">
      <c r="C55" s="59"/>
      <c r="D55" s="59"/>
      <c r="E55" s="59"/>
      <c r="F55" s="59"/>
      <c r="G55" s="59"/>
      <c r="I55" s="59"/>
      <c r="J55" s="59"/>
    </row>
    <row r="56" spans="3:10" x14ac:dyDescent="0.3">
      <c r="C56" s="59"/>
      <c r="D56" s="59"/>
      <c r="E56" s="59"/>
      <c r="F56" s="59"/>
      <c r="G56" s="59"/>
      <c r="I56" s="59"/>
      <c r="J56" s="59"/>
    </row>
    <row r="57" spans="3:10" x14ac:dyDescent="0.3">
      <c r="C57" s="59"/>
      <c r="D57" s="59"/>
      <c r="E57" s="59"/>
      <c r="F57" s="59"/>
      <c r="G57" s="59"/>
      <c r="I57" s="59"/>
      <c r="J57" s="59"/>
    </row>
  </sheetData>
  <mergeCells count="4">
    <mergeCell ref="A2:M2"/>
    <mergeCell ref="A15:B16"/>
    <mergeCell ref="C15:C16"/>
    <mergeCell ref="B9:D9"/>
  </mergeCells>
  <phoneticPr fontId="0" type="noConversion"/>
  <pageMargins left="0.70866141732283472" right="0.27559055118110237" top="0.6692913385826772" bottom="0.62992125984251968" header="0.51181102362204722" footer="0.31496062992125984"/>
  <pageSetup paperSize="9" scale="85" orientation="landscape" horizontalDpi="300" verticalDpi="300" r:id="rId1"/>
  <headerFooter alignWithMargins="0">
    <oddFooter>&amp;C&amp;9&amp;P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election sqref="A1:D1"/>
    </sheetView>
  </sheetViews>
  <sheetFormatPr defaultColWidth="8.6640625" defaultRowHeight="13.8" x14ac:dyDescent="0.3"/>
  <cols>
    <col min="1" max="1" width="8.33203125" style="1" customWidth="1"/>
    <col min="2" max="2" width="5.5546875" style="1" customWidth="1"/>
    <col min="3" max="3" width="6.33203125" style="1" customWidth="1"/>
    <col min="4" max="4" width="6.6640625" style="1" customWidth="1"/>
    <col min="5" max="5" width="23" style="1" customWidth="1"/>
    <col min="6" max="6" width="3.6640625" style="507" bestFit="1" customWidth="1"/>
    <col min="7" max="7" width="47.44140625" style="501" customWidth="1"/>
    <col min="8" max="8" width="10" style="1" customWidth="1"/>
    <col min="9" max="9" width="7.5546875" style="16" customWidth="1"/>
    <col min="10" max="13" width="8" style="16" customWidth="1"/>
    <col min="14" max="14" width="8.33203125" style="16" customWidth="1"/>
    <col min="15" max="15" width="10.33203125" style="13" customWidth="1"/>
    <col min="16" max="16" width="3.6640625" style="1" customWidth="1"/>
    <col min="17" max="16384" width="8.6640625" style="1"/>
  </cols>
  <sheetData>
    <row r="1" spans="1:18" ht="15.75" customHeight="1" x14ac:dyDescent="0.3">
      <c r="A1" s="1703" t="s">
        <v>609</v>
      </c>
      <c r="B1" s="1653"/>
      <c r="C1" s="1653"/>
      <c r="D1" s="1704"/>
      <c r="E1" s="1188"/>
      <c r="F1" s="432"/>
      <c r="G1" s="433"/>
      <c r="H1" s="434" t="s">
        <v>40</v>
      </c>
      <c r="I1" s="435" t="s">
        <v>77</v>
      </c>
      <c r="J1" s="1705" t="s">
        <v>97</v>
      </c>
      <c r="K1" s="1706"/>
      <c r="L1" s="1706"/>
      <c r="M1" s="1706"/>
      <c r="N1" s="1707"/>
      <c r="O1" s="436" t="s">
        <v>41</v>
      </c>
    </row>
    <row r="2" spans="1:18" ht="14.4" thickBot="1" x14ac:dyDescent="0.35">
      <c r="A2" s="437" t="s">
        <v>405</v>
      </c>
      <c r="B2" s="438"/>
      <c r="C2" s="438"/>
      <c r="D2" s="1708" t="s">
        <v>460</v>
      </c>
      <c r="E2" s="1709"/>
      <c r="F2" s="439" t="s">
        <v>33</v>
      </c>
      <c r="G2" s="440" t="s">
        <v>34</v>
      </c>
      <c r="H2" s="441">
        <v>2021</v>
      </c>
      <c r="I2" s="442" t="s">
        <v>98</v>
      </c>
      <c r="J2" s="1059" t="s">
        <v>99</v>
      </c>
      <c r="K2" s="443" t="s">
        <v>100</v>
      </c>
      <c r="L2" s="443" t="s">
        <v>101</v>
      </c>
      <c r="M2" s="1060" t="s">
        <v>130</v>
      </c>
      <c r="N2" s="442" t="s">
        <v>102</v>
      </c>
      <c r="O2" s="444">
        <v>2020</v>
      </c>
    </row>
    <row r="3" spans="1:18" ht="14.4" thickBot="1" x14ac:dyDescent="0.35">
      <c r="A3" s="445" t="s">
        <v>406</v>
      </c>
      <c r="B3" s="446"/>
      <c r="C3" s="446"/>
      <c r="D3" s="446"/>
      <c r="E3" s="446"/>
      <c r="F3" s="447">
        <v>1</v>
      </c>
      <c r="G3" s="448"/>
      <c r="H3" s="369">
        <f t="shared" ref="H3:O3" si="0">H4+SUM(H18:H27)</f>
        <v>0</v>
      </c>
      <c r="I3" s="450">
        <f t="shared" si="0"/>
        <v>0</v>
      </c>
      <c r="J3" s="451">
        <f t="shared" si="0"/>
        <v>0</v>
      </c>
      <c r="K3" s="451">
        <f t="shared" si="0"/>
        <v>0</v>
      </c>
      <c r="L3" s="451">
        <f t="shared" si="0"/>
        <v>0</v>
      </c>
      <c r="M3" s="451">
        <f t="shared" si="0"/>
        <v>0</v>
      </c>
      <c r="N3" s="450">
        <f t="shared" si="0"/>
        <v>0</v>
      </c>
      <c r="O3" s="452">
        <f t="shared" si="0"/>
        <v>0</v>
      </c>
    </row>
    <row r="4" spans="1:18" s="16" customFormat="1" ht="25.5" customHeight="1" x14ac:dyDescent="0.25">
      <c r="A4" s="763" t="s">
        <v>42</v>
      </c>
      <c r="B4" s="764" t="s">
        <v>103</v>
      </c>
      <c r="C4" s="764"/>
      <c r="D4" s="764"/>
      <c r="E4" s="764"/>
      <c r="F4" s="765">
        <f>F3+1</f>
        <v>2</v>
      </c>
      <c r="G4" s="766" t="s">
        <v>534</v>
      </c>
      <c r="H4" s="767">
        <f>SUM(H5:H15)</f>
        <v>0</v>
      </c>
      <c r="I4" s="768">
        <f t="shared" ref="I4:O4" si="1">SUM(I5:I15)</f>
        <v>0</v>
      </c>
      <c r="J4" s="769">
        <f t="shared" si="1"/>
        <v>0</v>
      </c>
      <c r="K4" s="769">
        <f t="shared" si="1"/>
        <v>0</v>
      </c>
      <c r="L4" s="769">
        <f t="shared" si="1"/>
        <v>0</v>
      </c>
      <c r="M4" s="769">
        <f t="shared" si="1"/>
        <v>0</v>
      </c>
      <c r="N4" s="768">
        <f t="shared" si="1"/>
        <v>0</v>
      </c>
      <c r="O4" s="770">
        <f t="shared" si="1"/>
        <v>0</v>
      </c>
    </row>
    <row r="5" spans="1:18" s="194" customFormat="1" x14ac:dyDescent="0.3">
      <c r="A5" s="454"/>
      <c r="B5" s="427"/>
      <c r="C5" s="427" t="s">
        <v>43</v>
      </c>
      <c r="D5" s="455" t="s">
        <v>44</v>
      </c>
      <c r="E5" s="455"/>
      <c r="F5" s="456">
        <f t="shared" ref="F5:F27" si="2">F4+1</f>
        <v>3</v>
      </c>
      <c r="G5" s="457"/>
      <c r="H5" s="458"/>
      <c r="I5" s="460"/>
      <c r="J5" s="460"/>
      <c r="K5" s="461"/>
      <c r="L5" s="461"/>
      <c r="M5" s="461"/>
      <c r="N5" s="459"/>
      <c r="O5" s="462"/>
    </row>
    <row r="6" spans="1:18" s="194" customFormat="1" x14ac:dyDescent="0.3">
      <c r="A6" s="454"/>
      <c r="B6" s="427"/>
      <c r="C6" s="427"/>
      <c r="D6" s="455" t="s">
        <v>45</v>
      </c>
      <c r="E6" s="455"/>
      <c r="F6" s="456">
        <f t="shared" si="2"/>
        <v>4</v>
      </c>
      <c r="G6" s="457"/>
      <c r="H6" s="458"/>
      <c r="I6" s="460"/>
      <c r="J6" s="460"/>
      <c r="K6" s="461"/>
      <c r="L6" s="461"/>
      <c r="M6" s="461"/>
      <c r="N6" s="459"/>
      <c r="O6" s="462"/>
    </row>
    <row r="7" spans="1:18" s="194" customFormat="1" x14ac:dyDescent="0.3">
      <c r="A7" s="454"/>
      <c r="B7" s="427"/>
      <c r="C7" s="427"/>
      <c r="D7" s="455" t="s">
        <v>118</v>
      </c>
      <c r="E7" s="455"/>
      <c r="F7" s="456">
        <f t="shared" si="2"/>
        <v>5</v>
      </c>
      <c r="G7" s="457"/>
      <c r="H7" s="458"/>
      <c r="I7" s="460"/>
      <c r="J7" s="460"/>
      <c r="K7" s="461"/>
      <c r="L7" s="461"/>
      <c r="M7" s="461"/>
      <c r="N7" s="459"/>
      <c r="O7" s="462"/>
    </row>
    <row r="8" spans="1:18" s="194" customFormat="1" x14ac:dyDescent="0.3">
      <c r="A8" s="454"/>
      <c r="B8" s="427"/>
      <c r="C8" s="427"/>
      <c r="D8" s="455" t="s">
        <v>46</v>
      </c>
      <c r="E8" s="455"/>
      <c r="F8" s="456">
        <f t="shared" si="2"/>
        <v>6</v>
      </c>
      <c r="G8" s="457"/>
      <c r="H8" s="458"/>
      <c r="I8" s="460"/>
      <c r="J8" s="460"/>
      <c r="K8" s="461"/>
      <c r="L8" s="461"/>
      <c r="M8" s="461"/>
      <c r="N8" s="459"/>
      <c r="O8" s="462"/>
    </row>
    <row r="9" spans="1:18" s="194" customFormat="1" x14ac:dyDescent="0.3">
      <c r="A9" s="454"/>
      <c r="B9" s="427"/>
      <c r="C9" s="427"/>
      <c r="D9" s="455" t="s">
        <v>47</v>
      </c>
      <c r="E9" s="455"/>
      <c r="F9" s="456">
        <f t="shared" si="2"/>
        <v>7</v>
      </c>
      <c r="G9" s="457"/>
      <c r="H9" s="458"/>
      <c r="I9" s="460"/>
      <c r="J9" s="460"/>
      <c r="K9" s="461"/>
      <c r="L9" s="461"/>
      <c r="M9" s="461"/>
      <c r="N9" s="459"/>
      <c r="O9" s="462"/>
    </row>
    <row r="10" spans="1:18" s="194" customFormat="1" x14ac:dyDescent="0.3">
      <c r="A10" s="454"/>
      <c r="B10" s="427"/>
      <c r="C10" s="427"/>
      <c r="D10" s="455" t="s">
        <v>48</v>
      </c>
      <c r="E10" s="455"/>
      <c r="F10" s="456">
        <f t="shared" si="2"/>
        <v>8</v>
      </c>
      <c r="G10" s="457"/>
      <c r="H10" s="458"/>
      <c r="I10" s="460"/>
      <c r="J10" s="460"/>
      <c r="K10" s="461"/>
      <c r="L10" s="461"/>
      <c r="M10" s="461"/>
      <c r="N10" s="459"/>
      <c r="O10" s="462"/>
      <c r="Q10" s="463"/>
      <c r="R10" s="463"/>
    </row>
    <row r="11" spans="1:18" s="194" customFormat="1" x14ac:dyDescent="0.3">
      <c r="A11" s="454"/>
      <c r="B11" s="427"/>
      <c r="C11" s="427"/>
      <c r="D11" s="455" t="s">
        <v>49</v>
      </c>
      <c r="E11" s="455"/>
      <c r="F11" s="456">
        <f t="shared" si="2"/>
        <v>9</v>
      </c>
      <c r="G11" s="457"/>
      <c r="H11" s="458"/>
      <c r="I11" s="460"/>
      <c r="J11" s="460"/>
      <c r="K11" s="461"/>
      <c r="L11" s="461"/>
      <c r="M11" s="461"/>
      <c r="N11" s="459"/>
      <c r="O11" s="462"/>
      <c r="Q11" s="463"/>
      <c r="R11" s="463"/>
    </row>
    <row r="12" spans="1:18" s="194" customFormat="1" x14ac:dyDescent="0.3">
      <c r="A12" s="454"/>
      <c r="B12" s="427"/>
      <c r="C12" s="427"/>
      <c r="D12" s="455" t="s">
        <v>50</v>
      </c>
      <c r="E12" s="455"/>
      <c r="F12" s="456">
        <f t="shared" si="2"/>
        <v>10</v>
      </c>
      <c r="G12" s="457"/>
      <c r="H12" s="458"/>
      <c r="I12" s="460"/>
      <c r="J12" s="460"/>
      <c r="K12" s="461"/>
      <c r="L12" s="461"/>
      <c r="M12" s="461"/>
      <c r="N12" s="459"/>
      <c r="O12" s="462"/>
    </row>
    <row r="13" spans="1:18" s="194" customFormat="1" x14ac:dyDescent="0.3">
      <c r="A13" s="454"/>
      <c r="B13" s="427"/>
      <c r="C13" s="427"/>
      <c r="D13" s="455" t="s">
        <v>22</v>
      </c>
      <c r="E13" s="455"/>
      <c r="F13" s="456">
        <f t="shared" si="2"/>
        <v>11</v>
      </c>
      <c r="G13" s="457"/>
      <c r="H13" s="458"/>
      <c r="I13" s="460"/>
      <c r="J13" s="460"/>
      <c r="K13" s="461"/>
      <c r="L13" s="461"/>
      <c r="M13" s="461"/>
      <c r="N13" s="459"/>
      <c r="O13" s="462"/>
    </row>
    <row r="14" spans="1:18" s="194" customFormat="1" x14ac:dyDescent="0.3">
      <c r="A14" s="454"/>
      <c r="B14" s="427"/>
      <c r="C14" s="427"/>
      <c r="D14" s="455" t="s">
        <v>51</v>
      </c>
      <c r="E14" s="455"/>
      <c r="F14" s="456">
        <f>F13+1</f>
        <v>12</v>
      </c>
      <c r="G14" s="457"/>
      <c r="H14" s="458"/>
      <c r="I14" s="460"/>
      <c r="J14" s="460"/>
      <c r="K14" s="461"/>
      <c r="L14" s="461"/>
      <c r="M14" s="461"/>
      <c r="N14" s="459"/>
      <c r="O14" s="462"/>
    </row>
    <row r="15" spans="1:18" s="194" customFormat="1" x14ac:dyDescent="0.3">
      <c r="A15" s="454"/>
      <c r="B15" s="427"/>
      <c r="C15" s="455"/>
      <c r="D15" s="455" t="s">
        <v>20</v>
      </c>
      <c r="E15" s="455"/>
      <c r="F15" s="456">
        <f t="shared" si="2"/>
        <v>13</v>
      </c>
      <c r="G15" s="457"/>
      <c r="H15" s="458"/>
      <c r="I15" s="460"/>
      <c r="J15" s="460"/>
      <c r="K15" s="461"/>
      <c r="L15" s="461"/>
      <c r="M15" s="461"/>
      <c r="N15" s="459"/>
      <c r="O15" s="462"/>
    </row>
    <row r="16" spans="1:18" s="212" customFormat="1" ht="12" hidden="1" x14ac:dyDescent="0.25">
      <c r="A16" s="464"/>
      <c r="B16" s="465"/>
      <c r="C16" s="466"/>
      <c r="D16" s="466"/>
      <c r="E16" s="466" t="s">
        <v>142</v>
      </c>
      <c r="F16" s="456" t="s">
        <v>407</v>
      </c>
      <c r="G16" s="467"/>
      <c r="H16" s="468"/>
      <c r="I16" s="470"/>
      <c r="J16" s="470"/>
      <c r="K16" s="471"/>
      <c r="L16" s="471"/>
      <c r="M16" s="471"/>
      <c r="N16" s="469"/>
      <c r="O16" s="462"/>
    </row>
    <row r="17" spans="1:15" s="212" customFormat="1" ht="12" hidden="1" x14ac:dyDescent="0.25">
      <c r="A17" s="464"/>
      <c r="B17" s="465"/>
      <c r="C17" s="777"/>
      <c r="D17" s="777"/>
      <c r="E17" s="777" t="s">
        <v>157</v>
      </c>
      <c r="F17" s="778" t="s">
        <v>408</v>
      </c>
      <c r="G17" s="779"/>
      <c r="H17" s="780"/>
      <c r="I17" s="782"/>
      <c r="J17" s="782"/>
      <c r="K17" s="783"/>
      <c r="L17" s="783"/>
      <c r="M17" s="783"/>
      <c r="N17" s="781"/>
      <c r="O17" s="784"/>
    </row>
    <row r="18" spans="1:15" s="16" customFormat="1" x14ac:dyDescent="0.3">
      <c r="A18" s="453"/>
      <c r="B18" s="785" t="s">
        <v>52</v>
      </c>
      <c r="C18" s="785"/>
      <c r="D18" s="785"/>
      <c r="E18" s="785"/>
      <c r="F18" s="786">
        <f>F15+1</f>
        <v>14</v>
      </c>
      <c r="G18" s="787" t="s">
        <v>53</v>
      </c>
      <c r="H18" s="788"/>
      <c r="I18" s="790"/>
      <c r="J18" s="790"/>
      <c r="K18" s="1061"/>
      <c r="L18" s="1061"/>
      <c r="M18" s="1061"/>
      <c r="N18" s="789"/>
      <c r="O18" s="791"/>
    </row>
    <row r="19" spans="1:15" s="16" customFormat="1" x14ac:dyDescent="0.3">
      <c r="A19" s="453"/>
      <c r="B19" s="42" t="s">
        <v>54</v>
      </c>
      <c r="C19" s="34"/>
      <c r="D19" s="34"/>
      <c r="E19" s="34"/>
      <c r="F19" s="456">
        <f t="shared" si="2"/>
        <v>15</v>
      </c>
      <c r="G19" s="473" t="s">
        <v>55</v>
      </c>
      <c r="H19" s="474"/>
      <c r="I19" s="476"/>
      <c r="J19" s="476"/>
      <c r="K19" s="477"/>
      <c r="L19" s="477"/>
      <c r="M19" s="477"/>
      <c r="N19" s="475"/>
      <c r="O19" s="478"/>
    </row>
    <row r="20" spans="1:15" s="16" customFormat="1" x14ac:dyDescent="0.3">
      <c r="A20" s="453"/>
      <c r="B20" s="479" t="s">
        <v>56</v>
      </c>
      <c r="C20" s="480"/>
      <c r="D20" s="480"/>
      <c r="E20" s="480"/>
      <c r="F20" s="456">
        <f t="shared" si="2"/>
        <v>16</v>
      </c>
      <c r="G20" s="481" t="s">
        <v>358</v>
      </c>
      <c r="H20" s="474"/>
      <c r="I20" s="476"/>
      <c r="J20" s="476"/>
      <c r="K20" s="477"/>
      <c r="L20" s="477"/>
      <c r="M20" s="477"/>
      <c r="N20" s="475"/>
      <c r="O20" s="478"/>
    </row>
    <row r="21" spans="1:15" s="16" customFormat="1" x14ac:dyDescent="0.3">
      <c r="A21" s="453"/>
      <c r="B21" s="479" t="s">
        <v>57</v>
      </c>
      <c r="C21" s="479"/>
      <c r="D21" s="479"/>
      <c r="E21" s="480"/>
      <c r="F21" s="456">
        <f t="shared" si="2"/>
        <v>17</v>
      </c>
      <c r="G21" s="482" t="s">
        <v>104</v>
      </c>
      <c r="H21" s="474"/>
      <c r="I21" s="476"/>
      <c r="J21" s="476"/>
      <c r="K21" s="477"/>
      <c r="L21" s="477"/>
      <c r="M21" s="477"/>
      <c r="N21" s="475"/>
      <c r="O21" s="478"/>
    </row>
    <row r="22" spans="1:15" s="16" customFormat="1" x14ac:dyDescent="0.3">
      <c r="A22" s="453"/>
      <c r="B22" s="479" t="s">
        <v>409</v>
      </c>
      <c r="C22" s="479"/>
      <c r="D22" s="479"/>
      <c r="E22" s="480"/>
      <c r="F22" s="456">
        <f t="shared" si="2"/>
        <v>18</v>
      </c>
      <c r="G22" s="482" t="s">
        <v>105</v>
      </c>
      <c r="H22" s="474"/>
      <c r="I22" s="476"/>
      <c r="J22" s="476"/>
      <c r="K22" s="477"/>
      <c r="L22" s="477"/>
      <c r="M22" s="477"/>
      <c r="N22" s="475"/>
      <c r="O22" s="478"/>
    </row>
    <row r="23" spans="1:15" s="16" customFormat="1" x14ac:dyDescent="0.3">
      <c r="A23" s="453"/>
      <c r="B23" s="479" t="s">
        <v>116</v>
      </c>
      <c r="C23" s="479"/>
      <c r="D23" s="479"/>
      <c r="E23" s="480"/>
      <c r="F23" s="456">
        <f>F22+1</f>
        <v>19</v>
      </c>
      <c r="G23" s="482" t="s">
        <v>58</v>
      </c>
      <c r="H23" s="474"/>
      <c r="I23" s="475"/>
      <c r="J23" s="477"/>
      <c r="K23" s="477"/>
      <c r="L23" s="477"/>
      <c r="M23" s="477"/>
      <c r="N23" s="475"/>
      <c r="O23" s="478"/>
    </row>
    <row r="24" spans="1:15" s="16" customFormat="1" x14ac:dyDescent="0.3">
      <c r="A24" s="453"/>
      <c r="B24" s="479" t="s">
        <v>59</v>
      </c>
      <c r="C24" s="479"/>
      <c r="D24" s="479"/>
      <c r="E24" s="480"/>
      <c r="F24" s="456">
        <f t="shared" si="2"/>
        <v>20</v>
      </c>
      <c r="G24" s="771" t="s">
        <v>562</v>
      </c>
      <c r="H24" s="474"/>
      <c r="I24" s="475"/>
      <c r="J24" s="477"/>
      <c r="K24" s="477"/>
      <c r="L24" s="477"/>
      <c r="M24" s="477"/>
      <c r="N24" s="475"/>
      <c r="O24" s="478"/>
    </row>
    <row r="25" spans="1:15" s="16" customFormat="1" x14ac:dyDescent="0.3">
      <c r="A25" s="453"/>
      <c r="B25" s="479" t="s">
        <v>163</v>
      </c>
      <c r="C25" s="479"/>
      <c r="D25" s="479"/>
      <c r="E25" s="480"/>
      <c r="F25" s="456">
        <f t="shared" si="2"/>
        <v>21</v>
      </c>
      <c r="G25" s="482" t="s">
        <v>461</v>
      </c>
      <c r="H25" s="474"/>
      <c r="I25" s="475"/>
      <c r="J25" s="477"/>
      <c r="K25" s="477"/>
      <c r="L25" s="477"/>
      <c r="M25" s="477"/>
      <c r="N25" s="475"/>
      <c r="O25" s="478"/>
    </row>
    <row r="26" spans="1:15" s="16" customFormat="1" x14ac:dyDescent="0.3">
      <c r="A26" s="453"/>
      <c r="B26" s="479" t="s">
        <v>117</v>
      </c>
      <c r="C26" s="479"/>
      <c r="D26" s="479"/>
      <c r="E26" s="480"/>
      <c r="F26" s="456">
        <f t="shared" si="2"/>
        <v>22</v>
      </c>
      <c r="G26" s="482" t="s">
        <v>107</v>
      </c>
      <c r="H26" s="474"/>
      <c r="I26" s="475"/>
      <c r="J26" s="477"/>
      <c r="K26" s="477"/>
      <c r="L26" s="477"/>
      <c r="M26" s="477"/>
      <c r="N26" s="475"/>
      <c r="O26" s="478"/>
    </row>
    <row r="27" spans="1:15" s="16" customFormat="1" ht="14.4" thickBot="1" x14ac:dyDescent="0.35">
      <c r="A27" s="453"/>
      <c r="B27" s="42" t="s">
        <v>60</v>
      </c>
      <c r="C27" s="42"/>
      <c r="D27" s="42"/>
      <c r="E27" s="34"/>
      <c r="F27" s="456">
        <f t="shared" si="2"/>
        <v>23</v>
      </c>
      <c r="G27" s="483" t="s">
        <v>61</v>
      </c>
      <c r="H27" s="474"/>
      <c r="I27" s="475"/>
      <c r="J27" s="477"/>
      <c r="K27" s="477"/>
      <c r="L27" s="477"/>
      <c r="M27" s="477"/>
      <c r="N27" s="475"/>
      <c r="O27" s="478"/>
    </row>
    <row r="28" spans="1:15" ht="14.4" thickBot="1" x14ac:dyDescent="0.35">
      <c r="A28" s="484" t="s">
        <v>410</v>
      </c>
      <c r="B28" s="485"/>
      <c r="C28" s="485"/>
      <c r="D28" s="485"/>
      <c r="E28" s="485"/>
      <c r="F28" s="447">
        <f>F27+1</f>
        <v>24</v>
      </c>
      <c r="G28" s="486"/>
      <c r="H28" s="369">
        <f>SUM(H29:H43)</f>
        <v>0</v>
      </c>
      <c r="I28" s="450">
        <f t="shared" ref="I28:O28" si="3">SUM(I29:I43)</f>
        <v>0</v>
      </c>
      <c r="J28" s="451">
        <f t="shared" si="3"/>
        <v>0</v>
      </c>
      <c r="K28" s="451">
        <f t="shared" si="3"/>
        <v>0</v>
      </c>
      <c r="L28" s="451">
        <f t="shared" si="3"/>
        <v>0</v>
      </c>
      <c r="M28" s="451">
        <f t="shared" si="3"/>
        <v>0</v>
      </c>
      <c r="N28" s="450">
        <f t="shared" si="3"/>
        <v>0</v>
      </c>
      <c r="O28" s="452">
        <f t="shared" si="3"/>
        <v>0</v>
      </c>
    </row>
    <row r="29" spans="1:15" s="16" customFormat="1" x14ac:dyDescent="0.3">
      <c r="A29" s="453" t="s">
        <v>42</v>
      </c>
      <c r="B29" s="34" t="s">
        <v>108</v>
      </c>
      <c r="C29" s="34"/>
      <c r="D29" s="34"/>
      <c r="E29" s="34"/>
      <c r="F29" s="472">
        <f>F28+1</f>
        <v>25</v>
      </c>
      <c r="G29" s="473" t="s">
        <v>62</v>
      </c>
      <c r="H29" s="1062"/>
      <c r="I29" s="1063"/>
      <c r="J29" s="1064"/>
      <c r="K29" s="1064"/>
      <c r="L29" s="1064"/>
      <c r="M29" s="1064"/>
      <c r="N29" s="1063"/>
      <c r="O29" s="1065"/>
    </row>
    <row r="30" spans="1:15" s="16" customFormat="1" x14ac:dyDescent="0.3">
      <c r="A30" s="453"/>
      <c r="B30" s="42" t="s">
        <v>52</v>
      </c>
      <c r="C30" s="42"/>
      <c r="D30" s="42"/>
      <c r="E30" s="34"/>
      <c r="F30" s="472">
        <f>F29+1</f>
        <v>26</v>
      </c>
      <c r="G30" s="483" t="s">
        <v>53</v>
      </c>
      <c r="H30" s="474"/>
      <c r="I30" s="1066"/>
      <c r="J30" s="1067"/>
      <c r="K30" s="1067"/>
      <c r="L30" s="1067"/>
      <c r="M30" s="1067"/>
      <c r="N30" s="1066"/>
      <c r="O30" s="1068"/>
    </row>
    <row r="31" spans="1:15" s="16" customFormat="1" x14ac:dyDescent="0.3">
      <c r="A31" s="453"/>
      <c r="B31" s="42" t="s">
        <v>54</v>
      </c>
      <c r="C31" s="42"/>
      <c r="D31" s="42"/>
      <c r="E31" s="34"/>
      <c r="F31" s="472">
        <f t="shared" ref="F31:F42" si="4">F30+1</f>
        <v>27</v>
      </c>
      <c r="G31" s="483" t="s">
        <v>55</v>
      </c>
      <c r="H31" s="474"/>
      <c r="I31" s="1066"/>
      <c r="J31" s="1067"/>
      <c r="K31" s="1067"/>
      <c r="L31" s="1067"/>
      <c r="M31" s="1067"/>
      <c r="N31" s="1066"/>
      <c r="O31" s="1068"/>
    </row>
    <row r="32" spans="1:15" s="16" customFormat="1" x14ac:dyDescent="0.3">
      <c r="A32" s="453"/>
      <c r="B32" s="479" t="s">
        <v>56</v>
      </c>
      <c r="C32" s="480"/>
      <c r="D32" s="480"/>
      <c r="E32" s="480"/>
      <c r="F32" s="472">
        <f t="shared" si="4"/>
        <v>28</v>
      </c>
      <c r="G32" s="481" t="s">
        <v>359</v>
      </c>
      <c r="H32" s="474"/>
      <c r="I32" s="1066"/>
      <c r="J32" s="1067"/>
      <c r="K32" s="1067"/>
      <c r="L32" s="1067"/>
      <c r="M32" s="1067"/>
      <c r="N32" s="1066"/>
      <c r="O32" s="1068"/>
    </row>
    <row r="33" spans="1:15" s="16" customFormat="1" x14ac:dyDescent="0.3">
      <c r="A33" s="453"/>
      <c r="B33" s="479" t="s">
        <v>109</v>
      </c>
      <c r="C33" s="479"/>
      <c r="D33" s="479"/>
      <c r="E33" s="480"/>
      <c r="F33" s="472">
        <f t="shared" si="4"/>
        <v>29</v>
      </c>
      <c r="G33" s="482" t="s">
        <v>360</v>
      </c>
      <c r="H33" s="474"/>
      <c r="I33" s="1066"/>
      <c r="J33" s="1067"/>
      <c r="K33" s="1067"/>
      <c r="L33" s="1067"/>
      <c r="M33" s="1067"/>
      <c r="N33" s="1066"/>
      <c r="O33" s="1068"/>
    </row>
    <row r="34" spans="1:15" s="16" customFormat="1" x14ac:dyDescent="0.3">
      <c r="A34" s="453"/>
      <c r="B34" s="479" t="s">
        <v>57</v>
      </c>
      <c r="C34" s="479"/>
      <c r="D34" s="479"/>
      <c r="E34" s="480"/>
      <c r="F34" s="472">
        <f t="shared" si="4"/>
        <v>30</v>
      </c>
      <c r="G34" s="482" t="s">
        <v>104</v>
      </c>
      <c r="H34" s="474"/>
      <c r="I34" s="1066"/>
      <c r="J34" s="1067"/>
      <c r="K34" s="1067"/>
      <c r="L34" s="1067"/>
      <c r="M34" s="1067"/>
      <c r="N34" s="1066"/>
      <c r="O34" s="1068"/>
    </row>
    <row r="35" spans="1:15" s="16" customFormat="1" x14ac:dyDescent="0.3">
      <c r="A35" s="453"/>
      <c r="B35" s="479" t="s">
        <v>409</v>
      </c>
      <c r="C35" s="479"/>
      <c r="D35" s="479"/>
      <c r="E35" s="480"/>
      <c r="F35" s="472">
        <f t="shared" si="4"/>
        <v>31</v>
      </c>
      <c r="G35" s="482" t="s">
        <v>105</v>
      </c>
      <c r="H35" s="474"/>
      <c r="I35" s="1066"/>
      <c r="J35" s="1067"/>
      <c r="K35" s="1067"/>
      <c r="L35" s="1067"/>
      <c r="M35" s="1067"/>
      <c r="N35" s="1066"/>
      <c r="O35" s="1068"/>
    </row>
    <row r="36" spans="1:15" s="16" customFormat="1" x14ac:dyDescent="0.3">
      <c r="A36" s="453"/>
      <c r="B36" s="479" t="s">
        <v>110</v>
      </c>
      <c r="C36" s="479"/>
      <c r="D36" s="479"/>
      <c r="E36" s="480"/>
      <c r="F36" s="472">
        <f t="shared" si="4"/>
        <v>32</v>
      </c>
      <c r="G36" s="482" t="s">
        <v>58</v>
      </c>
      <c r="H36" s="474"/>
      <c r="I36" s="1066"/>
      <c r="J36" s="1067"/>
      <c r="K36" s="1067"/>
      <c r="L36" s="1067"/>
      <c r="M36" s="1067"/>
      <c r="N36" s="1066"/>
      <c r="O36" s="1068"/>
    </row>
    <row r="37" spans="1:15" s="16" customFormat="1" x14ac:dyDescent="0.3">
      <c r="A37" s="453"/>
      <c r="B37" s="479" t="s">
        <v>141</v>
      </c>
      <c r="C37" s="479"/>
      <c r="D37" s="479"/>
      <c r="E37" s="480"/>
      <c r="F37" s="472">
        <f t="shared" si="4"/>
        <v>33</v>
      </c>
      <c r="G37" s="482">
        <v>2112</v>
      </c>
      <c r="H37" s="474"/>
      <c r="I37" s="1066"/>
      <c r="J37" s="1067"/>
      <c r="K37" s="1067"/>
      <c r="L37" s="1067"/>
      <c r="M37" s="1067"/>
      <c r="N37" s="1066"/>
      <c r="O37" s="1068"/>
    </row>
    <row r="38" spans="1:15" s="16" customFormat="1" x14ac:dyDescent="0.3">
      <c r="A38" s="453"/>
      <c r="B38" s="479" t="s">
        <v>111</v>
      </c>
      <c r="C38" s="479"/>
      <c r="D38" s="479"/>
      <c r="E38" s="480"/>
      <c r="F38" s="472">
        <f t="shared" si="4"/>
        <v>34</v>
      </c>
      <c r="G38" s="482" t="s">
        <v>563</v>
      </c>
      <c r="H38" s="474"/>
      <c r="I38" s="1066"/>
      <c r="J38" s="1067"/>
      <c r="K38" s="1067"/>
      <c r="L38" s="1067"/>
      <c r="M38" s="1067"/>
      <c r="N38" s="1066"/>
      <c r="O38" s="1068"/>
    </row>
    <row r="39" spans="1:15" s="16" customFormat="1" x14ac:dyDescent="0.3">
      <c r="A39" s="453"/>
      <c r="B39" s="479" t="s">
        <v>163</v>
      </c>
      <c r="C39" s="479"/>
      <c r="D39" s="479"/>
      <c r="E39" s="480"/>
      <c r="F39" s="472">
        <f t="shared" si="4"/>
        <v>35</v>
      </c>
      <c r="G39" s="482" t="s">
        <v>461</v>
      </c>
      <c r="H39" s="474"/>
      <c r="I39" s="1066"/>
      <c r="J39" s="1067"/>
      <c r="K39" s="1067"/>
      <c r="L39" s="1067"/>
      <c r="M39" s="1067"/>
      <c r="N39" s="1066"/>
      <c r="O39" s="1068"/>
    </row>
    <row r="40" spans="1:15" s="16" customFormat="1" x14ac:dyDescent="0.3">
      <c r="A40" s="453"/>
      <c r="B40" s="479" t="s">
        <v>106</v>
      </c>
      <c r="C40" s="479"/>
      <c r="D40" s="479"/>
      <c r="E40" s="480"/>
      <c r="F40" s="472">
        <f t="shared" si="4"/>
        <v>36</v>
      </c>
      <c r="G40" s="482" t="s">
        <v>107</v>
      </c>
      <c r="H40" s="474"/>
      <c r="I40" s="1066"/>
      <c r="J40" s="1067"/>
      <c r="K40" s="1067"/>
      <c r="L40" s="1067"/>
      <c r="M40" s="1067"/>
      <c r="N40" s="1066"/>
      <c r="O40" s="1068"/>
    </row>
    <row r="41" spans="1:15" s="16" customFormat="1" x14ac:dyDescent="0.3">
      <c r="A41" s="453"/>
      <c r="B41" s="479" t="s">
        <v>112</v>
      </c>
      <c r="C41" s="479"/>
      <c r="D41" s="479"/>
      <c r="E41" s="480"/>
      <c r="F41" s="472">
        <f t="shared" si="4"/>
        <v>37</v>
      </c>
      <c r="G41" s="482" t="s">
        <v>164</v>
      </c>
      <c r="H41" s="474"/>
      <c r="I41" s="1066"/>
      <c r="J41" s="1067"/>
      <c r="K41" s="1067"/>
      <c r="L41" s="1067"/>
      <c r="M41" s="1067"/>
      <c r="N41" s="1066"/>
      <c r="O41" s="1068"/>
    </row>
    <row r="42" spans="1:15" s="16" customFormat="1" x14ac:dyDescent="0.3">
      <c r="A42" s="453"/>
      <c r="B42" s="479" t="s">
        <v>63</v>
      </c>
      <c r="C42" s="479"/>
      <c r="D42" s="479"/>
      <c r="E42" s="480"/>
      <c r="F42" s="472">
        <f t="shared" si="4"/>
        <v>38</v>
      </c>
      <c r="G42" s="482" t="s">
        <v>144</v>
      </c>
      <c r="H42" s="474"/>
      <c r="I42" s="1066"/>
      <c r="J42" s="1067"/>
      <c r="K42" s="1067"/>
      <c r="L42" s="1067"/>
      <c r="M42" s="1067"/>
      <c r="N42" s="1066"/>
      <c r="O42" s="1068"/>
    </row>
    <row r="43" spans="1:15" s="16" customFormat="1" x14ac:dyDescent="0.3">
      <c r="A43" s="487"/>
      <c r="B43" s="488" t="s">
        <v>60</v>
      </c>
      <c r="C43" s="488"/>
      <c r="D43" s="488"/>
      <c r="E43" s="488"/>
      <c r="F43" s="489">
        <f>F42+1</f>
        <v>39</v>
      </c>
      <c r="G43" s="490" t="s">
        <v>61</v>
      </c>
      <c r="H43" s="792"/>
      <c r="I43" s="491"/>
      <c r="J43" s="492"/>
      <c r="K43" s="492"/>
      <c r="L43" s="492"/>
      <c r="M43" s="492"/>
      <c r="N43" s="491"/>
      <c r="O43" s="493"/>
    </row>
    <row r="44" spans="1:15" s="16" customFormat="1" ht="14.4" thickBot="1" x14ac:dyDescent="0.35">
      <c r="A44" s="494" t="s">
        <v>411</v>
      </c>
      <c r="B44" s="495"/>
      <c r="C44" s="495"/>
      <c r="D44" s="495"/>
      <c r="E44" s="48"/>
      <c r="F44" s="472">
        <f>F43+1</f>
        <v>40</v>
      </c>
      <c r="G44" s="496"/>
      <c r="H44" s="497">
        <f>H29+H33+H37+H41+H42+H43-H4-H27</f>
        <v>0</v>
      </c>
      <c r="I44" s="498"/>
      <c r="J44" s="499"/>
      <c r="K44" s="499"/>
      <c r="L44" s="499"/>
      <c r="M44" s="499"/>
      <c r="N44" s="498"/>
      <c r="O44" s="500">
        <f>O29+O33+O37+O41+O42+O43-O4-O27</f>
        <v>0</v>
      </c>
    </row>
    <row r="45" spans="1:15" ht="14.4" thickBot="1" x14ac:dyDescent="0.35">
      <c r="A45" s="484" t="s">
        <v>412</v>
      </c>
      <c r="B45" s="485"/>
      <c r="C45" s="485"/>
      <c r="D45" s="485"/>
      <c r="E45" s="485"/>
      <c r="F45" s="447">
        <f>F44+1</f>
        <v>41</v>
      </c>
      <c r="G45" s="486"/>
      <c r="H45" s="369">
        <f t="shared" ref="H45:O45" si="5">H28-H3</f>
        <v>0</v>
      </c>
      <c r="I45" s="450">
        <f t="shared" si="5"/>
        <v>0</v>
      </c>
      <c r="J45" s="451">
        <f t="shared" si="5"/>
        <v>0</v>
      </c>
      <c r="K45" s="451">
        <f t="shared" si="5"/>
        <v>0</v>
      </c>
      <c r="L45" s="451">
        <f t="shared" si="5"/>
        <v>0</v>
      </c>
      <c r="M45" s="451">
        <f t="shared" si="5"/>
        <v>0</v>
      </c>
      <c r="N45" s="450">
        <f t="shared" si="5"/>
        <v>0</v>
      </c>
      <c r="O45" s="452">
        <f t="shared" si="5"/>
        <v>0</v>
      </c>
    </row>
    <row r="46" spans="1:15" x14ac:dyDescent="0.3">
      <c r="A46" s="13" t="s">
        <v>72</v>
      </c>
      <c r="B46" s="13"/>
      <c r="C46" s="13"/>
      <c r="D46" s="13"/>
      <c r="E46" s="13"/>
      <c r="F46" s="113"/>
      <c r="G46" s="501" t="s">
        <v>73</v>
      </c>
    </row>
    <row r="47" spans="1:15" s="13" customFormat="1" x14ac:dyDescent="0.3">
      <c r="F47" s="113"/>
      <c r="G47" s="501"/>
      <c r="H47" s="1"/>
      <c r="I47" s="16"/>
      <c r="J47" s="16"/>
      <c r="K47" s="16"/>
      <c r="L47" s="16"/>
      <c r="M47" s="16"/>
      <c r="N47" s="16"/>
    </row>
    <row r="48" spans="1:15" s="13" customFormat="1" x14ac:dyDescent="0.3">
      <c r="A48" s="380" t="s">
        <v>113</v>
      </c>
      <c r="F48" s="113"/>
      <c r="G48" s="501"/>
      <c r="H48" s="1"/>
      <c r="I48" s="16"/>
      <c r="J48" s="16"/>
      <c r="K48" s="16"/>
      <c r="L48" s="16"/>
      <c r="M48" s="16"/>
      <c r="N48" s="16"/>
    </row>
    <row r="49" spans="1:14" s="13" customFormat="1" x14ac:dyDescent="0.3">
      <c r="A49" s="380" t="s">
        <v>169</v>
      </c>
      <c r="F49" s="113"/>
      <c r="G49" s="501"/>
      <c r="H49" s="1"/>
      <c r="I49" s="16"/>
      <c r="J49" s="16"/>
      <c r="K49" s="16"/>
      <c r="L49" s="16"/>
      <c r="M49" s="16"/>
      <c r="N49" s="16"/>
    </row>
    <row r="50" spans="1:14" s="13" customFormat="1" x14ac:dyDescent="0.3">
      <c r="A50" s="380" t="s">
        <v>114</v>
      </c>
      <c r="F50" s="113"/>
      <c r="G50" s="501"/>
      <c r="H50" s="1069"/>
      <c r="I50" s="16"/>
      <c r="J50" s="16"/>
      <c r="K50" s="16"/>
      <c r="L50" s="16"/>
      <c r="M50" s="16"/>
      <c r="N50" s="16"/>
    </row>
    <row r="51" spans="1:14" s="380" customFormat="1" x14ac:dyDescent="0.3">
      <c r="A51" s="502" t="s">
        <v>413</v>
      </c>
      <c r="F51" s="503"/>
      <c r="G51" s="504"/>
      <c r="H51" s="505"/>
      <c r="I51" s="506"/>
      <c r="J51" s="506"/>
      <c r="K51" s="506"/>
      <c r="L51" s="506"/>
      <c r="M51" s="506"/>
      <c r="N51" s="506"/>
    </row>
    <row r="52" spans="1:14" s="380" customFormat="1" x14ac:dyDescent="0.3">
      <c r="A52" s="380" t="s">
        <v>414</v>
      </c>
      <c r="F52" s="503"/>
      <c r="G52" s="504"/>
      <c r="H52" s="505"/>
      <c r="I52" s="506"/>
      <c r="J52" s="506"/>
      <c r="K52" s="506"/>
      <c r="L52" s="506"/>
      <c r="M52" s="506"/>
      <c r="N52" s="506"/>
    </row>
    <row r="53" spans="1:14" s="380" customFormat="1" x14ac:dyDescent="0.3">
      <c r="A53" s="380" t="s">
        <v>415</v>
      </c>
      <c r="F53" s="503"/>
      <c r="G53" s="504"/>
      <c r="H53" s="505"/>
      <c r="I53" s="506"/>
      <c r="J53" s="506"/>
      <c r="K53" s="506"/>
      <c r="L53" s="506"/>
      <c r="M53" s="506"/>
      <c r="N53" s="506"/>
    </row>
    <row r="54" spans="1:14" s="13" customFormat="1" x14ac:dyDescent="0.3">
      <c r="A54" s="380"/>
      <c r="B54" s="380"/>
      <c r="C54" s="380"/>
      <c r="D54" s="380"/>
      <c r="E54" s="380"/>
      <c r="F54" s="113"/>
      <c r="G54" s="501"/>
      <c r="H54" s="1"/>
      <c r="I54" s="16"/>
      <c r="J54" s="16"/>
      <c r="K54" s="16"/>
      <c r="L54" s="16"/>
      <c r="M54" s="16"/>
      <c r="N54" s="16"/>
    </row>
    <row r="55" spans="1:14" s="13" customFormat="1" x14ac:dyDescent="0.3">
      <c r="A55" s="380"/>
      <c r="B55" s="380"/>
      <c r="C55" s="380"/>
      <c r="D55" s="380"/>
      <c r="E55" s="380"/>
      <c r="F55" s="113"/>
      <c r="G55" s="501"/>
      <c r="H55" s="1"/>
      <c r="I55" s="16"/>
      <c r="J55" s="16"/>
      <c r="K55" s="16"/>
      <c r="L55" s="16"/>
      <c r="M55" s="16"/>
      <c r="N55" s="16"/>
    </row>
    <row r="56" spans="1:14" s="13" customFormat="1" x14ac:dyDescent="0.3">
      <c r="A56" s="380"/>
      <c r="B56" s="380"/>
      <c r="C56" s="380"/>
      <c r="D56" s="380"/>
      <c r="E56" s="380"/>
      <c r="F56" s="113"/>
      <c r="G56" s="501"/>
      <c r="H56" s="1"/>
      <c r="I56" s="16"/>
      <c r="J56" s="16"/>
      <c r="K56" s="16"/>
      <c r="L56" s="16"/>
      <c r="M56" s="16"/>
      <c r="N56" s="16"/>
    </row>
    <row r="57" spans="1:14" s="13" customFormat="1" x14ac:dyDescent="0.3">
      <c r="A57" s="380"/>
      <c r="B57" s="380"/>
      <c r="C57" s="380"/>
      <c r="D57" s="380"/>
      <c r="E57" s="380"/>
      <c r="F57" s="113"/>
      <c r="G57" s="501"/>
      <c r="H57" s="1"/>
      <c r="I57" s="16"/>
      <c r="J57" s="16"/>
      <c r="K57" s="16"/>
      <c r="L57" s="16"/>
      <c r="M57" s="16"/>
      <c r="N57" s="16"/>
    </row>
  </sheetData>
  <mergeCells count="3">
    <mergeCell ref="A1:D1"/>
    <mergeCell ref="J1:N1"/>
    <mergeCell ref="D2:E2"/>
  </mergeCells>
  <pageMargins left="0.51181102362204722" right="0.31496062992125984" top="0.27559055118110237" bottom="0.27559055118110237" header="0.15748031496062992" footer="0.19685039370078741"/>
  <pageSetup paperSize="9" scale="65" orientation="landscape" r:id="rId1"/>
  <headerFooter alignWithMargins="0">
    <oddFooter>&amp;C&amp;9 13&amp;R&amp;8Příloha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zoomScaleNormal="100" workbookViewId="0"/>
  </sheetViews>
  <sheetFormatPr defaultRowHeight="13.2" x14ac:dyDescent="0.25"/>
  <cols>
    <col min="1" max="1" width="4.44140625" style="1121" customWidth="1"/>
    <col min="2" max="2" width="8.88671875" style="1121"/>
    <col min="3" max="3" width="18.44140625" style="1121" customWidth="1"/>
    <col min="4" max="5" width="12.6640625" style="1121" customWidth="1"/>
    <col min="6" max="6" width="11.6640625" style="1121" customWidth="1"/>
    <col min="7" max="10" width="8.88671875" style="1121"/>
    <col min="11" max="11" width="10.5546875" style="1121" bestFit="1" customWidth="1"/>
    <col min="12" max="257" width="8.88671875" style="1121"/>
    <col min="258" max="258" width="4.44140625" style="1121" customWidth="1"/>
    <col min="259" max="259" width="8.88671875" style="1121"/>
    <col min="260" max="260" width="18.44140625" style="1121" customWidth="1"/>
    <col min="261" max="261" width="11.6640625" style="1121" customWidth="1"/>
    <col min="262" max="262" width="12.6640625" style="1121" customWidth="1"/>
    <col min="263" max="513" width="8.88671875" style="1121"/>
    <col min="514" max="514" width="4.44140625" style="1121" customWidth="1"/>
    <col min="515" max="515" width="8.88671875" style="1121"/>
    <col min="516" max="516" width="18.44140625" style="1121" customWidth="1"/>
    <col min="517" max="517" width="11.6640625" style="1121" customWidth="1"/>
    <col min="518" max="518" width="12.6640625" style="1121" customWidth="1"/>
    <col min="519" max="769" width="8.88671875" style="1121"/>
    <col min="770" max="770" width="4.44140625" style="1121" customWidth="1"/>
    <col min="771" max="771" width="8.88671875" style="1121"/>
    <col min="772" max="772" width="18.44140625" style="1121" customWidth="1"/>
    <col min="773" max="773" width="11.6640625" style="1121" customWidth="1"/>
    <col min="774" max="774" width="12.6640625" style="1121" customWidth="1"/>
    <col min="775" max="1025" width="8.88671875" style="1121"/>
    <col min="1026" max="1026" width="4.44140625" style="1121" customWidth="1"/>
    <col min="1027" max="1027" width="8.88671875" style="1121"/>
    <col min="1028" max="1028" width="18.44140625" style="1121" customWidth="1"/>
    <col min="1029" max="1029" width="11.6640625" style="1121" customWidth="1"/>
    <col min="1030" max="1030" width="12.6640625" style="1121" customWidth="1"/>
    <col min="1031" max="1281" width="8.88671875" style="1121"/>
    <col min="1282" max="1282" width="4.44140625" style="1121" customWidth="1"/>
    <col min="1283" max="1283" width="8.88671875" style="1121"/>
    <col min="1284" max="1284" width="18.44140625" style="1121" customWidth="1"/>
    <col min="1285" max="1285" width="11.6640625" style="1121" customWidth="1"/>
    <col min="1286" max="1286" width="12.6640625" style="1121" customWidth="1"/>
    <col min="1287" max="1537" width="8.88671875" style="1121"/>
    <col min="1538" max="1538" width="4.44140625" style="1121" customWidth="1"/>
    <col min="1539" max="1539" width="8.88671875" style="1121"/>
    <col min="1540" max="1540" width="18.44140625" style="1121" customWidth="1"/>
    <col min="1541" max="1541" width="11.6640625" style="1121" customWidth="1"/>
    <col min="1542" max="1542" width="12.6640625" style="1121" customWidth="1"/>
    <col min="1543" max="1793" width="8.88671875" style="1121"/>
    <col min="1794" max="1794" width="4.44140625" style="1121" customWidth="1"/>
    <col min="1795" max="1795" width="8.88671875" style="1121"/>
    <col min="1796" max="1796" width="18.44140625" style="1121" customWidth="1"/>
    <col min="1797" max="1797" width="11.6640625" style="1121" customWidth="1"/>
    <col min="1798" max="1798" width="12.6640625" style="1121" customWidth="1"/>
    <col min="1799" max="2049" width="8.88671875" style="1121"/>
    <col min="2050" max="2050" width="4.44140625" style="1121" customWidth="1"/>
    <col min="2051" max="2051" width="8.88671875" style="1121"/>
    <col min="2052" max="2052" width="18.44140625" style="1121" customWidth="1"/>
    <col min="2053" max="2053" width="11.6640625" style="1121" customWidth="1"/>
    <col min="2054" max="2054" width="12.6640625" style="1121" customWidth="1"/>
    <col min="2055" max="2305" width="8.88671875" style="1121"/>
    <col min="2306" max="2306" width="4.44140625" style="1121" customWidth="1"/>
    <col min="2307" max="2307" width="8.88671875" style="1121"/>
    <col min="2308" max="2308" width="18.44140625" style="1121" customWidth="1"/>
    <col min="2309" max="2309" width="11.6640625" style="1121" customWidth="1"/>
    <col min="2310" max="2310" width="12.6640625" style="1121" customWidth="1"/>
    <col min="2311" max="2561" width="8.88671875" style="1121"/>
    <col min="2562" max="2562" width="4.44140625" style="1121" customWidth="1"/>
    <col min="2563" max="2563" width="8.88671875" style="1121"/>
    <col min="2564" max="2564" width="18.44140625" style="1121" customWidth="1"/>
    <col min="2565" max="2565" width="11.6640625" style="1121" customWidth="1"/>
    <col min="2566" max="2566" width="12.6640625" style="1121" customWidth="1"/>
    <col min="2567" max="2817" width="8.88671875" style="1121"/>
    <col min="2818" max="2818" width="4.44140625" style="1121" customWidth="1"/>
    <col min="2819" max="2819" width="8.88671875" style="1121"/>
    <col min="2820" max="2820" width="18.44140625" style="1121" customWidth="1"/>
    <col min="2821" max="2821" width="11.6640625" style="1121" customWidth="1"/>
    <col min="2822" max="2822" width="12.6640625" style="1121" customWidth="1"/>
    <col min="2823" max="3073" width="8.88671875" style="1121"/>
    <col min="3074" max="3074" width="4.44140625" style="1121" customWidth="1"/>
    <col min="3075" max="3075" width="8.88671875" style="1121"/>
    <col min="3076" max="3076" width="18.44140625" style="1121" customWidth="1"/>
    <col min="3077" max="3077" width="11.6640625" style="1121" customWidth="1"/>
    <col min="3078" max="3078" width="12.6640625" style="1121" customWidth="1"/>
    <col min="3079" max="3329" width="8.88671875" style="1121"/>
    <col min="3330" max="3330" width="4.44140625" style="1121" customWidth="1"/>
    <col min="3331" max="3331" width="8.88671875" style="1121"/>
    <col min="3332" max="3332" width="18.44140625" style="1121" customWidth="1"/>
    <col min="3333" max="3333" width="11.6640625" style="1121" customWidth="1"/>
    <col min="3334" max="3334" width="12.6640625" style="1121" customWidth="1"/>
    <col min="3335" max="3585" width="8.88671875" style="1121"/>
    <col min="3586" max="3586" width="4.44140625" style="1121" customWidth="1"/>
    <col min="3587" max="3587" width="8.88671875" style="1121"/>
    <col min="3588" max="3588" width="18.44140625" style="1121" customWidth="1"/>
    <col min="3589" max="3589" width="11.6640625" style="1121" customWidth="1"/>
    <col min="3590" max="3590" width="12.6640625" style="1121" customWidth="1"/>
    <col min="3591" max="3841" width="8.88671875" style="1121"/>
    <col min="3842" max="3842" width="4.44140625" style="1121" customWidth="1"/>
    <col min="3843" max="3843" width="8.88671875" style="1121"/>
    <col min="3844" max="3844" width="18.44140625" style="1121" customWidth="1"/>
    <col min="3845" max="3845" width="11.6640625" style="1121" customWidth="1"/>
    <col min="3846" max="3846" width="12.6640625" style="1121" customWidth="1"/>
    <col min="3847" max="4097" width="8.88671875" style="1121"/>
    <col min="4098" max="4098" width="4.44140625" style="1121" customWidth="1"/>
    <col min="4099" max="4099" width="8.88671875" style="1121"/>
    <col min="4100" max="4100" width="18.44140625" style="1121" customWidth="1"/>
    <col min="4101" max="4101" width="11.6640625" style="1121" customWidth="1"/>
    <col min="4102" max="4102" width="12.6640625" style="1121" customWidth="1"/>
    <col min="4103" max="4353" width="8.88671875" style="1121"/>
    <col min="4354" max="4354" width="4.44140625" style="1121" customWidth="1"/>
    <col min="4355" max="4355" width="8.88671875" style="1121"/>
    <col min="4356" max="4356" width="18.44140625" style="1121" customWidth="1"/>
    <col min="4357" max="4357" width="11.6640625" style="1121" customWidth="1"/>
    <col min="4358" max="4358" width="12.6640625" style="1121" customWidth="1"/>
    <col min="4359" max="4609" width="8.88671875" style="1121"/>
    <col min="4610" max="4610" width="4.44140625" style="1121" customWidth="1"/>
    <col min="4611" max="4611" width="8.88671875" style="1121"/>
    <col min="4612" max="4612" width="18.44140625" style="1121" customWidth="1"/>
    <col min="4613" max="4613" width="11.6640625" style="1121" customWidth="1"/>
    <col min="4614" max="4614" width="12.6640625" style="1121" customWidth="1"/>
    <col min="4615" max="4865" width="8.88671875" style="1121"/>
    <col min="4866" max="4866" width="4.44140625" style="1121" customWidth="1"/>
    <col min="4867" max="4867" width="8.88671875" style="1121"/>
    <col min="4868" max="4868" width="18.44140625" style="1121" customWidth="1"/>
    <col min="4869" max="4869" width="11.6640625" style="1121" customWidth="1"/>
    <col min="4870" max="4870" width="12.6640625" style="1121" customWidth="1"/>
    <col min="4871" max="5121" width="8.88671875" style="1121"/>
    <col min="5122" max="5122" width="4.44140625" style="1121" customWidth="1"/>
    <col min="5123" max="5123" width="8.88671875" style="1121"/>
    <col min="5124" max="5124" width="18.44140625" style="1121" customWidth="1"/>
    <col min="5125" max="5125" width="11.6640625" style="1121" customWidth="1"/>
    <col min="5126" max="5126" width="12.6640625" style="1121" customWidth="1"/>
    <col min="5127" max="5377" width="8.88671875" style="1121"/>
    <col min="5378" max="5378" width="4.44140625" style="1121" customWidth="1"/>
    <col min="5379" max="5379" width="8.88671875" style="1121"/>
    <col min="5380" max="5380" width="18.44140625" style="1121" customWidth="1"/>
    <col min="5381" max="5381" width="11.6640625" style="1121" customWidth="1"/>
    <col min="5382" max="5382" width="12.6640625" style="1121" customWidth="1"/>
    <col min="5383" max="5633" width="8.88671875" style="1121"/>
    <col min="5634" max="5634" width="4.44140625" style="1121" customWidth="1"/>
    <col min="5635" max="5635" width="8.88671875" style="1121"/>
    <col min="5636" max="5636" width="18.44140625" style="1121" customWidth="1"/>
    <col min="5637" max="5637" width="11.6640625" style="1121" customWidth="1"/>
    <col min="5638" max="5638" width="12.6640625" style="1121" customWidth="1"/>
    <col min="5639" max="5889" width="8.88671875" style="1121"/>
    <col min="5890" max="5890" width="4.44140625" style="1121" customWidth="1"/>
    <col min="5891" max="5891" width="8.88671875" style="1121"/>
    <col min="5892" max="5892" width="18.44140625" style="1121" customWidth="1"/>
    <col min="5893" max="5893" width="11.6640625" style="1121" customWidth="1"/>
    <col min="5894" max="5894" width="12.6640625" style="1121" customWidth="1"/>
    <col min="5895" max="6145" width="8.88671875" style="1121"/>
    <col min="6146" max="6146" width="4.44140625" style="1121" customWidth="1"/>
    <col min="6147" max="6147" width="8.88671875" style="1121"/>
    <col min="6148" max="6148" width="18.44140625" style="1121" customWidth="1"/>
    <col min="6149" max="6149" width="11.6640625" style="1121" customWidth="1"/>
    <col min="6150" max="6150" width="12.6640625" style="1121" customWidth="1"/>
    <col min="6151" max="6401" width="8.88671875" style="1121"/>
    <col min="6402" max="6402" width="4.44140625" style="1121" customWidth="1"/>
    <col min="6403" max="6403" width="8.88671875" style="1121"/>
    <col min="6404" max="6404" width="18.44140625" style="1121" customWidth="1"/>
    <col min="6405" max="6405" width="11.6640625" style="1121" customWidth="1"/>
    <col min="6406" max="6406" width="12.6640625" style="1121" customWidth="1"/>
    <col min="6407" max="6657" width="8.88671875" style="1121"/>
    <col min="6658" max="6658" width="4.44140625" style="1121" customWidth="1"/>
    <col min="6659" max="6659" width="8.88671875" style="1121"/>
    <col min="6660" max="6660" width="18.44140625" style="1121" customWidth="1"/>
    <col min="6661" max="6661" width="11.6640625" style="1121" customWidth="1"/>
    <col min="6662" max="6662" width="12.6640625" style="1121" customWidth="1"/>
    <col min="6663" max="6913" width="8.88671875" style="1121"/>
    <col min="6914" max="6914" width="4.44140625" style="1121" customWidth="1"/>
    <col min="6915" max="6915" width="8.88671875" style="1121"/>
    <col min="6916" max="6916" width="18.44140625" style="1121" customWidth="1"/>
    <col min="6917" max="6917" width="11.6640625" style="1121" customWidth="1"/>
    <col min="6918" max="6918" width="12.6640625" style="1121" customWidth="1"/>
    <col min="6919" max="7169" width="8.88671875" style="1121"/>
    <col min="7170" max="7170" width="4.44140625" style="1121" customWidth="1"/>
    <col min="7171" max="7171" width="8.88671875" style="1121"/>
    <col min="7172" max="7172" width="18.44140625" style="1121" customWidth="1"/>
    <col min="7173" max="7173" width="11.6640625" style="1121" customWidth="1"/>
    <col min="7174" max="7174" width="12.6640625" style="1121" customWidth="1"/>
    <col min="7175" max="7425" width="8.88671875" style="1121"/>
    <col min="7426" max="7426" width="4.44140625" style="1121" customWidth="1"/>
    <col min="7427" max="7427" width="8.88671875" style="1121"/>
    <col min="7428" max="7428" width="18.44140625" style="1121" customWidth="1"/>
    <col min="7429" max="7429" width="11.6640625" style="1121" customWidth="1"/>
    <col min="7430" max="7430" width="12.6640625" style="1121" customWidth="1"/>
    <col min="7431" max="7681" width="8.88671875" style="1121"/>
    <col min="7682" max="7682" width="4.44140625" style="1121" customWidth="1"/>
    <col min="7683" max="7683" width="8.88671875" style="1121"/>
    <col min="7684" max="7684" width="18.44140625" style="1121" customWidth="1"/>
    <col min="7685" max="7685" width="11.6640625" style="1121" customWidth="1"/>
    <col min="7686" max="7686" width="12.6640625" style="1121" customWidth="1"/>
    <col min="7687" max="7937" width="8.88671875" style="1121"/>
    <col min="7938" max="7938" width="4.44140625" style="1121" customWidth="1"/>
    <col min="7939" max="7939" width="8.88671875" style="1121"/>
    <col min="7940" max="7940" width="18.44140625" style="1121" customWidth="1"/>
    <col min="7941" max="7941" width="11.6640625" style="1121" customWidth="1"/>
    <col min="7942" max="7942" width="12.6640625" style="1121" customWidth="1"/>
    <col min="7943" max="8193" width="8.88671875" style="1121"/>
    <col min="8194" max="8194" width="4.44140625" style="1121" customWidth="1"/>
    <col min="8195" max="8195" width="8.88671875" style="1121"/>
    <col min="8196" max="8196" width="18.44140625" style="1121" customWidth="1"/>
    <col min="8197" max="8197" width="11.6640625" style="1121" customWidth="1"/>
    <col min="8198" max="8198" width="12.6640625" style="1121" customWidth="1"/>
    <col min="8199" max="8449" width="8.88671875" style="1121"/>
    <col min="8450" max="8450" width="4.44140625" style="1121" customWidth="1"/>
    <col min="8451" max="8451" width="8.88671875" style="1121"/>
    <col min="8452" max="8452" width="18.44140625" style="1121" customWidth="1"/>
    <col min="8453" max="8453" width="11.6640625" style="1121" customWidth="1"/>
    <col min="8454" max="8454" width="12.6640625" style="1121" customWidth="1"/>
    <col min="8455" max="8705" width="8.88671875" style="1121"/>
    <col min="8706" max="8706" width="4.44140625" style="1121" customWidth="1"/>
    <col min="8707" max="8707" width="8.88671875" style="1121"/>
    <col min="8708" max="8708" width="18.44140625" style="1121" customWidth="1"/>
    <col min="8709" max="8709" width="11.6640625" style="1121" customWidth="1"/>
    <col min="8710" max="8710" width="12.6640625" style="1121" customWidth="1"/>
    <col min="8711" max="8961" width="8.88671875" style="1121"/>
    <col min="8962" max="8962" width="4.44140625" style="1121" customWidth="1"/>
    <col min="8963" max="8963" width="8.88671875" style="1121"/>
    <col min="8964" max="8964" width="18.44140625" style="1121" customWidth="1"/>
    <col min="8965" max="8965" width="11.6640625" style="1121" customWidth="1"/>
    <col min="8966" max="8966" width="12.6640625" style="1121" customWidth="1"/>
    <col min="8967" max="9217" width="8.88671875" style="1121"/>
    <col min="9218" max="9218" width="4.44140625" style="1121" customWidth="1"/>
    <col min="9219" max="9219" width="8.88671875" style="1121"/>
    <col min="9220" max="9220" width="18.44140625" style="1121" customWidth="1"/>
    <col min="9221" max="9221" width="11.6640625" style="1121" customWidth="1"/>
    <col min="9222" max="9222" width="12.6640625" style="1121" customWidth="1"/>
    <col min="9223" max="9473" width="8.88671875" style="1121"/>
    <col min="9474" max="9474" width="4.44140625" style="1121" customWidth="1"/>
    <col min="9475" max="9475" width="8.88671875" style="1121"/>
    <col min="9476" max="9476" width="18.44140625" style="1121" customWidth="1"/>
    <col min="9477" max="9477" width="11.6640625" style="1121" customWidth="1"/>
    <col min="9478" max="9478" width="12.6640625" style="1121" customWidth="1"/>
    <col min="9479" max="9729" width="8.88671875" style="1121"/>
    <col min="9730" max="9730" width="4.44140625" style="1121" customWidth="1"/>
    <col min="9731" max="9731" width="8.88671875" style="1121"/>
    <col min="9732" max="9732" width="18.44140625" style="1121" customWidth="1"/>
    <col min="9733" max="9733" width="11.6640625" style="1121" customWidth="1"/>
    <col min="9734" max="9734" width="12.6640625" style="1121" customWidth="1"/>
    <col min="9735" max="9985" width="8.88671875" style="1121"/>
    <col min="9986" max="9986" width="4.44140625" style="1121" customWidth="1"/>
    <col min="9987" max="9987" width="8.88671875" style="1121"/>
    <col min="9988" max="9988" width="18.44140625" style="1121" customWidth="1"/>
    <col min="9989" max="9989" width="11.6640625" style="1121" customWidth="1"/>
    <col min="9990" max="9990" width="12.6640625" style="1121" customWidth="1"/>
    <col min="9991" max="10241" width="8.88671875" style="1121"/>
    <col min="10242" max="10242" width="4.44140625" style="1121" customWidth="1"/>
    <col min="10243" max="10243" width="8.88671875" style="1121"/>
    <col min="10244" max="10244" width="18.44140625" style="1121" customWidth="1"/>
    <col min="10245" max="10245" width="11.6640625" style="1121" customWidth="1"/>
    <col min="10246" max="10246" width="12.6640625" style="1121" customWidth="1"/>
    <col min="10247" max="10497" width="8.88671875" style="1121"/>
    <col min="10498" max="10498" width="4.44140625" style="1121" customWidth="1"/>
    <col min="10499" max="10499" width="8.88671875" style="1121"/>
    <col min="10500" max="10500" width="18.44140625" style="1121" customWidth="1"/>
    <col min="10501" max="10501" width="11.6640625" style="1121" customWidth="1"/>
    <col min="10502" max="10502" width="12.6640625" style="1121" customWidth="1"/>
    <col min="10503" max="10753" width="8.88671875" style="1121"/>
    <col min="10754" max="10754" width="4.44140625" style="1121" customWidth="1"/>
    <col min="10755" max="10755" width="8.88671875" style="1121"/>
    <col min="10756" max="10756" width="18.44140625" style="1121" customWidth="1"/>
    <col min="10757" max="10757" width="11.6640625" style="1121" customWidth="1"/>
    <col min="10758" max="10758" width="12.6640625" style="1121" customWidth="1"/>
    <col min="10759" max="11009" width="8.88671875" style="1121"/>
    <col min="11010" max="11010" width="4.44140625" style="1121" customWidth="1"/>
    <col min="11011" max="11011" width="8.88671875" style="1121"/>
    <col min="11012" max="11012" width="18.44140625" style="1121" customWidth="1"/>
    <col min="11013" max="11013" width="11.6640625" style="1121" customWidth="1"/>
    <col min="11014" max="11014" width="12.6640625" style="1121" customWidth="1"/>
    <col min="11015" max="11265" width="8.88671875" style="1121"/>
    <col min="11266" max="11266" width="4.44140625" style="1121" customWidth="1"/>
    <col min="11267" max="11267" width="8.88671875" style="1121"/>
    <col min="11268" max="11268" width="18.44140625" style="1121" customWidth="1"/>
    <col min="11269" max="11269" width="11.6640625" style="1121" customWidth="1"/>
    <col min="11270" max="11270" width="12.6640625" style="1121" customWidth="1"/>
    <col min="11271" max="11521" width="8.88671875" style="1121"/>
    <col min="11522" max="11522" width="4.44140625" style="1121" customWidth="1"/>
    <col min="11523" max="11523" width="8.88671875" style="1121"/>
    <col min="11524" max="11524" width="18.44140625" style="1121" customWidth="1"/>
    <col min="11525" max="11525" width="11.6640625" style="1121" customWidth="1"/>
    <col min="11526" max="11526" width="12.6640625" style="1121" customWidth="1"/>
    <col min="11527" max="11777" width="8.88671875" style="1121"/>
    <col min="11778" max="11778" width="4.44140625" style="1121" customWidth="1"/>
    <col min="11779" max="11779" width="8.88671875" style="1121"/>
    <col min="11780" max="11780" width="18.44140625" style="1121" customWidth="1"/>
    <col min="11781" max="11781" width="11.6640625" style="1121" customWidth="1"/>
    <col min="11782" max="11782" width="12.6640625" style="1121" customWidth="1"/>
    <col min="11783" max="12033" width="8.88671875" style="1121"/>
    <col min="12034" max="12034" width="4.44140625" style="1121" customWidth="1"/>
    <col min="12035" max="12035" width="8.88671875" style="1121"/>
    <col min="12036" max="12036" width="18.44140625" style="1121" customWidth="1"/>
    <col min="12037" max="12037" width="11.6640625" style="1121" customWidth="1"/>
    <col min="12038" max="12038" width="12.6640625" style="1121" customWidth="1"/>
    <col min="12039" max="12289" width="8.88671875" style="1121"/>
    <col min="12290" max="12290" width="4.44140625" style="1121" customWidth="1"/>
    <col min="12291" max="12291" width="8.88671875" style="1121"/>
    <col min="12292" max="12292" width="18.44140625" style="1121" customWidth="1"/>
    <col min="12293" max="12293" width="11.6640625" style="1121" customWidth="1"/>
    <col min="12294" max="12294" width="12.6640625" style="1121" customWidth="1"/>
    <col min="12295" max="12545" width="8.88671875" style="1121"/>
    <col min="12546" max="12546" width="4.44140625" style="1121" customWidth="1"/>
    <col min="12547" max="12547" width="8.88671875" style="1121"/>
    <col min="12548" max="12548" width="18.44140625" style="1121" customWidth="1"/>
    <col min="12549" max="12549" width="11.6640625" style="1121" customWidth="1"/>
    <col min="12550" max="12550" width="12.6640625" style="1121" customWidth="1"/>
    <col min="12551" max="12801" width="8.88671875" style="1121"/>
    <col min="12802" max="12802" width="4.44140625" style="1121" customWidth="1"/>
    <col min="12803" max="12803" width="8.88671875" style="1121"/>
    <col min="12804" max="12804" width="18.44140625" style="1121" customWidth="1"/>
    <col min="12805" max="12805" width="11.6640625" style="1121" customWidth="1"/>
    <col min="12806" max="12806" width="12.6640625" style="1121" customWidth="1"/>
    <col min="12807" max="13057" width="8.88671875" style="1121"/>
    <col min="13058" max="13058" width="4.44140625" style="1121" customWidth="1"/>
    <col min="13059" max="13059" width="8.88671875" style="1121"/>
    <col min="13060" max="13060" width="18.44140625" style="1121" customWidth="1"/>
    <col min="13061" max="13061" width="11.6640625" style="1121" customWidth="1"/>
    <col min="13062" max="13062" width="12.6640625" style="1121" customWidth="1"/>
    <col min="13063" max="13313" width="8.88671875" style="1121"/>
    <col min="13314" max="13314" width="4.44140625" style="1121" customWidth="1"/>
    <col min="13315" max="13315" width="8.88671875" style="1121"/>
    <col min="13316" max="13316" width="18.44140625" style="1121" customWidth="1"/>
    <col min="13317" max="13317" width="11.6640625" style="1121" customWidth="1"/>
    <col min="13318" max="13318" width="12.6640625" style="1121" customWidth="1"/>
    <col min="13319" max="13569" width="8.88671875" style="1121"/>
    <col min="13570" max="13570" width="4.44140625" style="1121" customWidth="1"/>
    <col min="13571" max="13571" width="8.88671875" style="1121"/>
    <col min="13572" max="13572" width="18.44140625" style="1121" customWidth="1"/>
    <col min="13573" max="13573" width="11.6640625" style="1121" customWidth="1"/>
    <col min="13574" max="13574" width="12.6640625" style="1121" customWidth="1"/>
    <col min="13575" max="13825" width="8.88671875" style="1121"/>
    <col min="13826" max="13826" width="4.44140625" style="1121" customWidth="1"/>
    <col min="13827" max="13827" width="8.88671875" style="1121"/>
    <col min="13828" max="13828" width="18.44140625" style="1121" customWidth="1"/>
    <col min="13829" max="13829" width="11.6640625" style="1121" customWidth="1"/>
    <col min="13830" max="13830" width="12.6640625" style="1121" customWidth="1"/>
    <col min="13831" max="14081" width="8.88671875" style="1121"/>
    <col min="14082" max="14082" width="4.44140625" style="1121" customWidth="1"/>
    <col min="14083" max="14083" width="8.88671875" style="1121"/>
    <col min="14084" max="14084" width="18.44140625" style="1121" customWidth="1"/>
    <col min="14085" max="14085" width="11.6640625" style="1121" customWidth="1"/>
    <col min="14086" max="14086" width="12.6640625" style="1121" customWidth="1"/>
    <col min="14087" max="14337" width="8.88671875" style="1121"/>
    <col min="14338" max="14338" width="4.44140625" style="1121" customWidth="1"/>
    <col min="14339" max="14339" width="8.88671875" style="1121"/>
    <col min="14340" max="14340" width="18.44140625" style="1121" customWidth="1"/>
    <col min="14341" max="14341" width="11.6640625" style="1121" customWidth="1"/>
    <col min="14342" max="14342" width="12.6640625" style="1121" customWidth="1"/>
    <col min="14343" max="14593" width="8.88671875" style="1121"/>
    <col min="14594" max="14594" width="4.44140625" style="1121" customWidth="1"/>
    <col min="14595" max="14595" width="8.88671875" style="1121"/>
    <col min="14596" max="14596" width="18.44140625" style="1121" customWidth="1"/>
    <col min="14597" max="14597" width="11.6640625" style="1121" customWidth="1"/>
    <col min="14598" max="14598" width="12.6640625" style="1121" customWidth="1"/>
    <col min="14599" max="14849" width="8.88671875" style="1121"/>
    <col min="14850" max="14850" width="4.44140625" style="1121" customWidth="1"/>
    <col min="14851" max="14851" width="8.88671875" style="1121"/>
    <col min="14852" max="14852" width="18.44140625" style="1121" customWidth="1"/>
    <col min="14853" max="14853" width="11.6640625" style="1121" customWidth="1"/>
    <col min="14854" max="14854" width="12.6640625" style="1121" customWidth="1"/>
    <col min="14855" max="15105" width="8.88671875" style="1121"/>
    <col min="15106" max="15106" width="4.44140625" style="1121" customWidth="1"/>
    <col min="15107" max="15107" width="8.88671875" style="1121"/>
    <col min="15108" max="15108" width="18.44140625" style="1121" customWidth="1"/>
    <col min="15109" max="15109" width="11.6640625" style="1121" customWidth="1"/>
    <col min="15110" max="15110" width="12.6640625" style="1121" customWidth="1"/>
    <col min="15111" max="15361" width="8.88671875" style="1121"/>
    <col min="15362" max="15362" width="4.44140625" style="1121" customWidth="1"/>
    <col min="15363" max="15363" width="8.88671875" style="1121"/>
    <col min="15364" max="15364" width="18.44140625" style="1121" customWidth="1"/>
    <col min="15365" max="15365" width="11.6640625" style="1121" customWidth="1"/>
    <col min="15366" max="15366" width="12.6640625" style="1121" customWidth="1"/>
    <col min="15367" max="15617" width="8.88671875" style="1121"/>
    <col min="15618" max="15618" width="4.44140625" style="1121" customWidth="1"/>
    <col min="15619" max="15619" width="8.88671875" style="1121"/>
    <col min="15620" max="15620" width="18.44140625" style="1121" customWidth="1"/>
    <col min="15621" max="15621" width="11.6640625" style="1121" customWidth="1"/>
    <col min="15622" max="15622" width="12.6640625" style="1121" customWidth="1"/>
    <col min="15623" max="15873" width="8.88671875" style="1121"/>
    <col min="15874" max="15874" width="4.44140625" style="1121" customWidth="1"/>
    <col min="15875" max="15875" width="8.88671875" style="1121"/>
    <col min="15876" max="15876" width="18.44140625" style="1121" customWidth="1"/>
    <col min="15877" max="15877" width="11.6640625" style="1121" customWidth="1"/>
    <col min="15878" max="15878" width="12.6640625" style="1121" customWidth="1"/>
    <col min="15879" max="16129" width="8.88671875" style="1121"/>
    <col min="16130" max="16130" width="4.44140625" style="1121" customWidth="1"/>
    <col min="16131" max="16131" width="8.88671875" style="1121"/>
    <col min="16132" max="16132" width="18.44140625" style="1121" customWidth="1"/>
    <col min="16133" max="16133" width="11.6640625" style="1121" customWidth="1"/>
    <col min="16134" max="16134" width="12.6640625" style="1121" customWidth="1"/>
    <col min="16135" max="16384" width="8.88671875" style="1121"/>
  </cols>
  <sheetData>
    <row r="1" spans="1:6" ht="13.8" thickBot="1" x14ac:dyDescent="0.3">
      <c r="A1" s="1120" t="s">
        <v>865</v>
      </c>
    </row>
    <row r="2" spans="1:6" ht="13.8" thickBot="1" x14ac:dyDescent="0.3">
      <c r="A2" s="1120"/>
      <c r="B2" s="1120"/>
      <c r="C2" s="1120"/>
      <c r="D2" s="1122">
        <f>D54+D57+D72+D90</f>
        <v>149029000</v>
      </c>
      <c r="E2" s="1252"/>
    </row>
    <row r="3" spans="1:6" ht="13.8" thickBot="1" x14ac:dyDescent="0.3">
      <c r="D3" s="1123" t="s">
        <v>641</v>
      </c>
      <c r="E3" s="1123"/>
    </row>
    <row r="4" spans="1:6" ht="14.4" thickBot="1" x14ac:dyDescent="0.35">
      <c r="A4" s="1253" t="s">
        <v>33</v>
      </c>
      <c r="B4" s="1254" t="s">
        <v>642</v>
      </c>
      <c r="C4" s="1124"/>
      <c r="D4" s="1255" t="s">
        <v>643</v>
      </c>
      <c r="E4" s="1256" t="s">
        <v>644</v>
      </c>
      <c r="F4" s="1257"/>
    </row>
    <row r="5" spans="1:6" ht="28.2" thickBot="1" x14ac:dyDescent="0.35">
      <c r="A5" s="1253"/>
      <c r="B5" s="1254"/>
      <c r="C5" s="1258"/>
      <c r="D5" s="1259" t="s">
        <v>645</v>
      </c>
      <c r="E5" s="1260" t="s">
        <v>646</v>
      </c>
      <c r="F5" s="1261" t="s">
        <v>647</v>
      </c>
    </row>
    <row r="6" spans="1:6" ht="13.8" x14ac:dyDescent="0.25">
      <c r="A6" s="1718">
        <v>1</v>
      </c>
      <c r="B6" s="1721">
        <v>11</v>
      </c>
      <c r="C6" s="1742" t="s">
        <v>7</v>
      </c>
      <c r="D6" s="1262">
        <f>E6+E7+E8+E9</f>
        <v>5083882</v>
      </c>
      <c r="E6" s="1263">
        <v>580000</v>
      </c>
      <c r="F6" s="1264" t="s">
        <v>648</v>
      </c>
    </row>
    <row r="7" spans="1:6" ht="14.4" x14ac:dyDescent="0.25">
      <c r="A7" s="1719"/>
      <c r="B7" s="1722"/>
      <c r="C7" s="1745"/>
      <c r="D7" s="1265"/>
      <c r="E7" s="1266">
        <v>2115000</v>
      </c>
      <c r="F7" s="1267" t="s">
        <v>649</v>
      </c>
    </row>
    <row r="8" spans="1:6" ht="14.4" x14ac:dyDescent="0.25">
      <c r="A8" s="1719"/>
      <c r="B8" s="1722"/>
      <c r="C8" s="1745"/>
      <c r="D8" s="1265"/>
      <c r="E8" s="1266">
        <v>150000</v>
      </c>
      <c r="F8" s="1267" t="s">
        <v>650</v>
      </c>
    </row>
    <row r="9" spans="1:6" ht="15" thickBot="1" x14ac:dyDescent="0.3">
      <c r="A9" s="1720"/>
      <c r="B9" s="1723"/>
      <c r="C9" s="1746"/>
      <c r="D9" s="1268"/>
      <c r="E9" s="1269">
        <v>2238882</v>
      </c>
      <c r="F9" s="1270" t="s">
        <v>651</v>
      </c>
    </row>
    <row r="10" spans="1:6" ht="13.8" x14ac:dyDescent="0.25">
      <c r="A10" s="1718">
        <v>2</v>
      </c>
      <c r="B10" s="1721">
        <v>16</v>
      </c>
      <c r="C10" s="1742" t="s">
        <v>613</v>
      </c>
      <c r="D10" s="1262">
        <f>E10+E11+E12+E13+E14</f>
        <v>1599377</v>
      </c>
      <c r="E10" s="1263">
        <v>400000</v>
      </c>
      <c r="F10" s="1264" t="s">
        <v>648</v>
      </c>
    </row>
    <row r="11" spans="1:6" ht="14.4" x14ac:dyDescent="0.25">
      <c r="A11" s="1738"/>
      <c r="B11" s="1740"/>
      <c r="C11" s="1743"/>
      <c r="D11" s="1265"/>
      <c r="E11" s="1266">
        <v>361000</v>
      </c>
      <c r="F11" s="1267" t="s">
        <v>649</v>
      </c>
    </row>
    <row r="12" spans="1:6" ht="14.4" x14ac:dyDescent="0.25">
      <c r="A12" s="1738"/>
      <c r="B12" s="1740"/>
      <c r="C12" s="1743"/>
      <c r="D12" s="1265"/>
      <c r="E12" s="1266">
        <v>150000</v>
      </c>
      <c r="F12" s="1267" t="s">
        <v>650</v>
      </c>
    </row>
    <row r="13" spans="1:6" ht="14.4" x14ac:dyDescent="0.25">
      <c r="A13" s="1738"/>
      <c r="B13" s="1740"/>
      <c r="C13" s="1743"/>
      <c r="D13" s="1265"/>
      <c r="E13" s="1266">
        <v>283977</v>
      </c>
      <c r="F13" s="1267" t="s">
        <v>651</v>
      </c>
    </row>
    <row r="14" spans="1:6" ht="15" thickBot="1" x14ac:dyDescent="0.3">
      <c r="A14" s="1720"/>
      <c r="B14" s="1723"/>
      <c r="C14" s="1746"/>
      <c r="D14" s="1268"/>
      <c r="E14" s="1269">
        <v>404400</v>
      </c>
      <c r="F14" s="1270" t="s">
        <v>652</v>
      </c>
    </row>
    <row r="15" spans="1:6" ht="13.8" x14ac:dyDescent="0.25">
      <c r="A15" s="1718">
        <v>3</v>
      </c>
      <c r="B15" s="1721">
        <v>21</v>
      </c>
      <c r="C15" s="1742" t="s">
        <v>8</v>
      </c>
      <c r="D15" s="1262">
        <f>E15+E16+E17+E18+E19</f>
        <v>7358858</v>
      </c>
      <c r="E15" s="1263">
        <v>1500000</v>
      </c>
      <c r="F15" s="1264" t="s">
        <v>648</v>
      </c>
    </row>
    <row r="16" spans="1:6" ht="14.4" x14ac:dyDescent="0.25">
      <c r="A16" s="1738"/>
      <c r="B16" s="1740"/>
      <c r="C16" s="1743"/>
      <c r="D16" s="1265"/>
      <c r="E16" s="1266">
        <v>3036000</v>
      </c>
      <c r="F16" s="1267" t="s">
        <v>649</v>
      </c>
    </row>
    <row r="17" spans="1:6" ht="14.4" x14ac:dyDescent="0.25">
      <c r="A17" s="1738"/>
      <c r="B17" s="1740"/>
      <c r="C17" s="1743"/>
      <c r="D17" s="1265"/>
      <c r="E17" s="1266">
        <v>150000</v>
      </c>
      <c r="F17" s="1267" t="s">
        <v>653</v>
      </c>
    </row>
    <row r="18" spans="1:6" ht="14.4" x14ac:dyDescent="0.25">
      <c r="A18" s="1738"/>
      <c r="B18" s="1740"/>
      <c r="C18" s="1743"/>
      <c r="D18" s="1265"/>
      <c r="E18" s="1266">
        <v>150000</v>
      </c>
      <c r="F18" s="1267" t="s">
        <v>650</v>
      </c>
    </row>
    <row r="19" spans="1:6" ht="15" thickBot="1" x14ac:dyDescent="0.3">
      <c r="A19" s="1739"/>
      <c r="B19" s="1741"/>
      <c r="C19" s="1744"/>
      <c r="D19" s="1268"/>
      <c r="E19" s="1269">
        <v>2522858</v>
      </c>
      <c r="F19" s="1270" t="s">
        <v>651</v>
      </c>
    </row>
    <row r="20" spans="1:6" ht="13.8" x14ac:dyDescent="0.25">
      <c r="A20" s="1718">
        <v>4</v>
      </c>
      <c r="B20" s="1721">
        <v>22</v>
      </c>
      <c r="C20" s="1742" t="s">
        <v>9</v>
      </c>
      <c r="D20" s="1262">
        <f>E20+E21+E22+E23+E24</f>
        <v>2995270</v>
      </c>
      <c r="E20" s="1263">
        <v>500000</v>
      </c>
      <c r="F20" s="1264" t="s">
        <v>648</v>
      </c>
    </row>
    <row r="21" spans="1:6" ht="14.4" x14ac:dyDescent="0.25">
      <c r="A21" s="1738"/>
      <c r="B21" s="1740"/>
      <c r="C21" s="1743"/>
      <c r="D21" s="1265"/>
      <c r="E21" s="1266">
        <v>1438000</v>
      </c>
      <c r="F21" s="1267" t="s">
        <v>649</v>
      </c>
    </row>
    <row r="22" spans="1:6" ht="14.4" x14ac:dyDescent="0.25">
      <c r="A22" s="1738"/>
      <c r="B22" s="1740"/>
      <c r="C22" s="1743"/>
      <c r="D22" s="1265"/>
      <c r="E22" s="1266">
        <v>150000</v>
      </c>
      <c r="F22" s="1267" t="s">
        <v>653</v>
      </c>
    </row>
    <row r="23" spans="1:6" ht="14.4" x14ac:dyDescent="0.25">
      <c r="A23" s="1738"/>
      <c r="B23" s="1740"/>
      <c r="C23" s="1743"/>
      <c r="D23" s="1265"/>
      <c r="E23" s="1266">
        <v>150000</v>
      </c>
      <c r="F23" s="1267" t="s">
        <v>650</v>
      </c>
    </row>
    <row r="24" spans="1:6" ht="15" thickBot="1" x14ac:dyDescent="0.3">
      <c r="A24" s="1739"/>
      <c r="B24" s="1741"/>
      <c r="C24" s="1744"/>
      <c r="D24" s="1268"/>
      <c r="E24" s="1269">
        <v>757270</v>
      </c>
      <c r="F24" s="1270" t="s">
        <v>651</v>
      </c>
    </row>
    <row r="25" spans="1:6" ht="13.8" x14ac:dyDescent="0.25">
      <c r="A25" s="1718">
        <v>5</v>
      </c>
      <c r="B25" s="1721">
        <v>23</v>
      </c>
      <c r="C25" s="1742" t="s">
        <v>10</v>
      </c>
      <c r="D25" s="1262">
        <f>E25+E26+E27+E28+E29</f>
        <v>3455422</v>
      </c>
      <c r="E25" s="1263">
        <v>600000</v>
      </c>
      <c r="F25" s="1264" t="s">
        <v>648</v>
      </c>
    </row>
    <row r="26" spans="1:6" ht="14.4" x14ac:dyDescent="0.25">
      <c r="A26" s="1738"/>
      <c r="B26" s="1740"/>
      <c r="C26" s="1743"/>
      <c r="D26" s="1265"/>
      <c r="E26" s="1266">
        <v>1393000</v>
      </c>
      <c r="F26" s="1267" t="s">
        <v>649</v>
      </c>
    </row>
    <row r="27" spans="1:6" ht="14.4" x14ac:dyDescent="0.25">
      <c r="A27" s="1738"/>
      <c r="B27" s="1740"/>
      <c r="C27" s="1743"/>
      <c r="D27" s="1265"/>
      <c r="E27" s="1266">
        <v>150000</v>
      </c>
      <c r="F27" s="1267" t="s">
        <v>650</v>
      </c>
    </row>
    <row r="28" spans="1:6" ht="14.4" x14ac:dyDescent="0.25">
      <c r="A28" s="1738"/>
      <c r="B28" s="1740"/>
      <c r="C28" s="1743"/>
      <c r="D28" s="1265"/>
      <c r="E28" s="1266">
        <v>810772</v>
      </c>
      <c r="F28" s="1267" t="s">
        <v>651</v>
      </c>
    </row>
    <row r="29" spans="1:6" ht="15" thickBot="1" x14ac:dyDescent="0.3">
      <c r="A29" s="1739"/>
      <c r="B29" s="1741"/>
      <c r="C29" s="1744"/>
      <c r="D29" s="1268"/>
      <c r="E29" s="1269">
        <v>501650</v>
      </c>
      <c r="F29" s="1270" t="s">
        <v>654</v>
      </c>
    </row>
    <row r="30" spans="1:6" ht="13.8" x14ac:dyDescent="0.25">
      <c r="A30" s="1718">
        <v>6</v>
      </c>
      <c r="B30" s="1721">
        <v>31</v>
      </c>
      <c r="C30" s="1742" t="s">
        <v>11</v>
      </c>
      <c r="D30" s="1262">
        <f>E30+E31+E32+E33</f>
        <v>6402519</v>
      </c>
      <c r="E30" s="1263">
        <v>1150000</v>
      </c>
      <c r="F30" s="1264" t="s">
        <v>648</v>
      </c>
    </row>
    <row r="31" spans="1:6" ht="14.4" x14ac:dyDescent="0.25">
      <c r="A31" s="1738"/>
      <c r="B31" s="1740"/>
      <c r="C31" s="1743"/>
      <c r="D31" s="1265"/>
      <c r="E31" s="1266">
        <v>1666000</v>
      </c>
      <c r="F31" s="1267" t="s">
        <v>649</v>
      </c>
    </row>
    <row r="32" spans="1:6" ht="14.4" x14ac:dyDescent="0.25">
      <c r="A32" s="1738"/>
      <c r="B32" s="1740"/>
      <c r="C32" s="1743"/>
      <c r="D32" s="1265"/>
      <c r="E32" s="1266">
        <v>150000</v>
      </c>
      <c r="F32" s="1267" t="s">
        <v>650</v>
      </c>
    </row>
    <row r="33" spans="1:6" ht="15" thickBot="1" x14ac:dyDescent="0.3">
      <c r="A33" s="1739"/>
      <c r="B33" s="1741"/>
      <c r="C33" s="1744"/>
      <c r="D33" s="1268"/>
      <c r="E33" s="1269">
        <v>3436519</v>
      </c>
      <c r="F33" s="1270" t="s">
        <v>651</v>
      </c>
    </row>
    <row r="34" spans="1:6" ht="13.8" x14ac:dyDescent="0.25">
      <c r="A34" s="1718">
        <v>7</v>
      </c>
      <c r="B34" s="1721">
        <v>33</v>
      </c>
      <c r="C34" s="1742" t="s">
        <v>12</v>
      </c>
      <c r="D34" s="1262">
        <f>E34+E35+E36+E37+E38+E39+E40</f>
        <v>5154982</v>
      </c>
      <c r="E34" s="1263">
        <v>650000</v>
      </c>
      <c r="F34" s="1264" t="s">
        <v>648</v>
      </c>
    </row>
    <row r="35" spans="1:6" ht="14.4" x14ac:dyDescent="0.25">
      <c r="A35" s="1738"/>
      <c r="B35" s="1740"/>
      <c r="C35" s="1743"/>
      <c r="D35" s="1265"/>
      <c r="E35" s="1266">
        <v>700000</v>
      </c>
      <c r="F35" s="1267" t="s">
        <v>655</v>
      </c>
    </row>
    <row r="36" spans="1:6" ht="14.4" x14ac:dyDescent="0.25">
      <c r="A36" s="1738"/>
      <c r="B36" s="1740"/>
      <c r="C36" s="1743"/>
      <c r="D36" s="1265"/>
      <c r="E36" s="1266">
        <v>964000</v>
      </c>
      <c r="F36" s="1267" t="s">
        <v>649</v>
      </c>
    </row>
    <row r="37" spans="1:6" ht="14.4" x14ac:dyDescent="0.25">
      <c r="A37" s="1738"/>
      <c r="B37" s="1740"/>
      <c r="C37" s="1743"/>
      <c r="D37" s="1265"/>
      <c r="E37" s="1266">
        <v>500000</v>
      </c>
      <c r="F37" s="1267" t="s">
        <v>656</v>
      </c>
    </row>
    <row r="38" spans="1:6" ht="14.4" x14ac:dyDescent="0.25">
      <c r="A38" s="1738"/>
      <c r="B38" s="1740"/>
      <c r="C38" s="1743"/>
      <c r="D38" s="1265"/>
      <c r="E38" s="1266">
        <v>150000</v>
      </c>
      <c r="F38" s="1267" t="s">
        <v>650</v>
      </c>
    </row>
    <row r="39" spans="1:6" ht="14.4" x14ac:dyDescent="0.25">
      <c r="A39" s="1738"/>
      <c r="B39" s="1740"/>
      <c r="C39" s="1743"/>
      <c r="D39" s="1265"/>
      <c r="E39" s="1266">
        <v>390982</v>
      </c>
      <c r="F39" s="1267" t="s">
        <v>651</v>
      </c>
    </row>
    <row r="40" spans="1:6" ht="15" thickBot="1" x14ac:dyDescent="0.3">
      <c r="A40" s="1739"/>
      <c r="B40" s="1741"/>
      <c r="C40" s="1744"/>
      <c r="D40" s="1268"/>
      <c r="E40" s="1269">
        <v>1800000</v>
      </c>
      <c r="F40" s="1270" t="s">
        <v>657</v>
      </c>
    </row>
    <row r="41" spans="1:6" ht="13.8" x14ac:dyDescent="0.25">
      <c r="A41" s="1718">
        <v>8</v>
      </c>
      <c r="B41" s="1721">
        <v>41</v>
      </c>
      <c r="C41" s="1742" t="s">
        <v>13</v>
      </c>
      <c r="D41" s="1262">
        <f>E41+E42+E43+E44+E45</f>
        <v>9769721</v>
      </c>
      <c r="E41" s="1263">
        <v>800000</v>
      </c>
      <c r="F41" s="1264" t="s">
        <v>648</v>
      </c>
    </row>
    <row r="42" spans="1:6" ht="14.4" x14ac:dyDescent="0.25">
      <c r="A42" s="1738"/>
      <c r="B42" s="1740"/>
      <c r="C42" s="1743"/>
      <c r="D42" s="1265"/>
      <c r="E42" s="1266">
        <v>6000000</v>
      </c>
      <c r="F42" s="1267" t="s">
        <v>658</v>
      </c>
    </row>
    <row r="43" spans="1:6" ht="14.4" x14ac:dyDescent="0.25">
      <c r="A43" s="1738"/>
      <c r="B43" s="1740"/>
      <c r="C43" s="1743"/>
      <c r="D43" s="1265"/>
      <c r="E43" s="1266">
        <v>2260000</v>
      </c>
      <c r="F43" s="1267" t="s">
        <v>649</v>
      </c>
    </row>
    <row r="44" spans="1:6" ht="14.4" x14ac:dyDescent="0.25">
      <c r="A44" s="1738"/>
      <c r="B44" s="1740"/>
      <c r="C44" s="1743"/>
      <c r="D44" s="1265"/>
      <c r="E44" s="1266">
        <v>150000</v>
      </c>
      <c r="F44" s="1267" t="s">
        <v>650</v>
      </c>
    </row>
    <row r="45" spans="1:6" ht="15" thickBot="1" x14ac:dyDescent="0.3">
      <c r="A45" s="1739"/>
      <c r="B45" s="1741"/>
      <c r="C45" s="1744"/>
      <c r="D45" s="1268"/>
      <c r="E45" s="1269">
        <v>559721</v>
      </c>
      <c r="F45" s="1270" t="s">
        <v>651</v>
      </c>
    </row>
    <row r="46" spans="1:6" ht="13.8" x14ac:dyDescent="0.25">
      <c r="A46" s="1718">
        <v>9</v>
      </c>
      <c r="B46" s="1721">
        <v>51</v>
      </c>
      <c r="C46" s="1742" t="s">
        <v>14</v>
      </c>
      <c r="D46" s="1262">
        <f>E46+E47+E48+E49</f>
        <v>1924555</v>
      </c>
      <c r="E46" s="1263">
        <v>470000</v>
      </c>
      <c r="F46" s="1264" t="s">
        <v>648</v>
      </c>
    </row>
    <row r="47" spans="1:6" ht="14.4" x14ac:dyDescent="0.25">
      <c r="A47" s="1738"/>
      <c r="B47" s="1740"/>
      <c r="C47" s="1743"/>
      <c r="D47" s="1265"/>
      <c r="E47" s="1266">
        <v>1000000</v>
      </c>
      <c r="F47" s="1267" t="s">
        <v>649</v>
      </c>
    </row>
    <row r="48" spans="1:6" ht="14.4" x14ac:dyDescent="0.25">
      <c r="A48" s="1738"/>
      <c r="B48" s="1740"/>
      <c r="C48" s="1743"/>
      <c r="D48" s="1265"/>
      <c r="E48" s="1266">
        <v>150000</v>
      </c>
      <c r="F48" s="1267" t="s">
        <v>650</v>
      </c>
    </row>
    <row r="49" spans="1:6" ht="15" thickBot="1" x14ac:dyDescent="0.3">
      <c r="A49" s="1739"/>
      <c r="B49" s="1741"/>
      <c r="C49" s="1744"/>
      <c r="D49" s="1268"/>
      <c r="E49" s="1269">
        <v>304555</v>
      </c>
      <c r="F49" s="1270" t="s">
        <v>651</v>
      </c>
    </row>
    <row r="50" spans="1:6" ht="13.8" x14ac:dyDescent="0.25">
      <c r="A50" s="1718">
        <v>10</v>
      </c>
      <c r="B50" s="1721">
        <v>56</v>
      </c>
      <c r="C50" s="1742" t="s">
        <v>15</v>
      </c>
      <c r="D50" s="1262">
        <f>E50+E51+E52+E53</f>
        <v>2360520</v>
      </c>
      <c r="E50" s="1263">
        <v>550000</v>
      </c>
      <c r="F50" s="1264" t="s">
        <v>648</v>
      </c>
    </row>
    <row r="51" spans="1:6" ht="14.4" x14ac:dyDescent="0.25">
      <c r="A51" s="1738"/>
      <c r="B51" s="1740"/>
      <c r="C51" s="1743"/>
      <c r="D51" s="1265"/>
      <c r="E51" s="1271">
        <v>1286000</v>
      </c>
      <c r="F51" s="1272" t="s">
        <v>649</v>
      </c>
    </row>
    <row r="52" spans="1:6" ht="14.4" x14ac:dyDescent="0.25">
      <c r="A52" s="1738"/>
      <c r="B52" s="1740"/>
      <c r="C52" s="1743"/>
      <c r="D52" s="1265"/>
      <c r="E52" s="1271">
        <v>150000</v>
      </c>
      <c r="F52" s="1272" t="s">
        <v>650</v>
      </c>
    </row>
    <row r="53" spans="1:6" ht="15" thickBot="1" x14ac:dyDescent="0.3">
      <c r="A53" s="1739"/>
      <c r="B53" s="1741"/>
      <c r="C53" s="1744"/>
      <c r="D53" s="1268"/>
      <c r="E53" s="1269">
        <v>374520</v>
      </c>
      <c r="F53" s="1270" t="s">
        <v>651</v>
      </c>
    </row>
    <row r="54" spans="1:6" ht="14.4" thickBot="1" x14ac:dyDescent="0.35">
      <c r="A54" s="1710" t="s">
        <v>316</v>
      </c>
      <c r="B54" s="1711"/>
      <c r="C54" s="1711"/>
      <c r="D54" s="1273">
        <f>SUM(D6:D53)</f>
        <v>46105106</v>
      </c>
      <c r="E54" s="1274"/>
      <c r="F54" s="1275"/>
    </row>
    <row r="55" spans="1:6" ht="14.4" thickBot="1" x14ac:dyDescent="0.35">
      <c r="A55" s="1276">
        <v>11</v>
      </c>
      <c r="B55" s="1277">
        <v>71</v>
      </c>
      <c r="C55" s="1278" t="s">
        <v>238</v>
      </c>
      <c r="D55" s="1279">
        <f>E55</f>
        <v>150000</v>
      </c>
      <c r="E55" s="1280">
        <v>150000</v>
      </c>
      <c r="F55" s="1281" t="s">
        <v>653</v>
      </c>
    </row>
    <row r="56" spans="1:6" ht="14.4" thickBot="1" x14ac:dyDescent="0.35">
      <c r="A56" s="1282">
        <v>12</v>
      </c>
      <c r="B56" s="1283">
        <v>92</v>
      </c>
      <c r="C56" s="1284" t="s">
        <v>17</v>
      </c>
      <c r="D56" s="1285">
        <f>E56</f>
        <v>0</v>
      </c>
      <c r="E56" s="1286">
        <v>0</v>
      </c>
      <c r="F56" s="1287"/>
    </row>
    <row r="57" spans="1:6" ht="14.4" thickBot="1" x14ac:dyDescent="0.35">
      <c r="A57" s="1710" t="s">
        <v>435</v>
      </c>
      <c r="B57" s="1711"/>
      <c r="C57" s="1711"/>
      <c r="D57" s="1288">
        <f>D55+D56</f>
        <v>150000</v>
      </c>
      <c r="E57" s="1289"/>
      <c r="F57" s="1290"/>
    </row>
    <row r="58" spans="1:6" ht="14.4" thickBot="1" x14ac:dyDescent="0.35">
      <c r="A58" s="1291">
        <v>13</v>
      </c>
      <c r="B58" s="1292">
        <v>84</v>
      </c>
      <c r="C58" s="1293" t="s">
        <v>78</v>
      </c>
      <c r="D58" s="1294">
        <f>E58</f>
        <v>2500000</v>
      </c>
      <c r="E58" s="1286">
        <v>2500000</v>
      </c>
      <c r="F58" s="1295" t="s">
        <v>659</v>
      </c>
    </row>
    <row r="59" spans="1:6" ht="13.8" x14ac:dyDescent="0.3">
      <c r="A59" s="1712">
        <v>14</v>
      </c>
      <c r="B59" s="1714">
        <v>87</v>
      </c>
      <c r="C59" s="1716" t="s">
        <v>122</v>
      </c>
      <c r="D59" s="1262">
        <f>E59+E60</f>
        <v>4200000</v>
      </c>
      <c r="E59" s="1296">
        <v>1100000</v>
      </c>
      <c r="F59" s="1297" t="s">
        <v>660</v>
      </c>
    </row>
    <row r="60" spans="1:6" ht="15" thickBot="1" x14ac:dyDescent="0.35">
      <c r="A60" s="1713"/>
      <c r="B60" s="1715"/>
      <c r="C60" s="1717"/>
      <c r="D60" s="1268"/>
      <c r="E60" s="1298">
        <f>1300000+1800000</f>
        <v>3100000</v>
      </c>
      <c r="F60" s="1299" t="s">
        <v>661</v>
      </c>
    </row>
    <row r="61" spans="1:6" ht="14.4" thickBot="1" x14ac:dyDescent="0.35">
      <c r="A61" s="1291">
        <v>15</v>
      </c>
      <c r="B61" s="1292">
        <v>96</v>
      </c>
      <c r="C61" s="1300" t="s">
        <v>23</v>
      </c>
      <c r="D61" s="1301">
        <f>E61</f>
        <v>539000</v>
      </c>
      <c r="E61" s="1286">
        <v>539000</v>
      </c>
      <c r="F61" s="1295" t="s">
        <v>649</v>
      </c>
    </row>
    <row r="62" spans="1:6" ht="13.8" x14ac:dyDescent="0.3">
      <c r="A62" s="1712">
        <v>16</v>
      </c>
      <c r="B62" s="1714">
        <v>97</v>
      </c>
      <c r="C62" s="1734" t="s">
        <v>24</v>
      </c>
      <c r="D62" s="1262">
        <f>E62+E63+E64+E65+E66+E67</f>
        <v>41700000</v>
      </c>
      <c r="E62" s="1296">
        <v>300000</v>
      </c>
      <c r="F62" s="1297" t="s">
        <v>662</v>
      </c>
    </row>
    <row r="63" spans="1:6" ht="14.4" x14ac:dyDescent="0.3">
      <c r="A63" s="1728"/>
      <c r="B63" s="1731"/>
      <c r="C63" s="1735"/>
      <c r="D63" s="1265"/>
      <c r="E63" s="1302">
        <v>4900000</v>
      </c>
      <c r="F63" s="1303" t="s">
        <v>663</v>
      </c>
    </row>
    <row r="64" spans="1:6" ht="14.4" x14ac:dyDescent="0.3">
      <c r="A64" s="1728"/>
      <c r="B64" s="1731"/>
      <c r="C64" s="1735"/>
      <c r="D64" s="1265"/>
      <c r="E64" s="1302">
        <v>700000</v>
      </c>
      <c r="F64" s="1303" t="s">
        <v>664</v>
      </c>
    </row>
    <row r="65" spans="1:7" ht="14.4" x14ac:dyDescent="0.3">
      <c r="A65" s="1728"/>
      <c r="B65" s="1731"/>
      <c r="C65" s="1735"/>
      <c r="D65" s="1265"/>
      <c r="E65" s="1304">
        <v>25000000</v>
      </c>
      <c r="F65" s="1305" t="s">
        <v>665</v>
      </c>
    </row>
    <row r="66" spans="1:7" ht="13.2" customHeight="1" x14ac:dyDescent="0.25">
      <c r="A66" s="1729"/>
      <c r="B66" s="1732"/>
      <c r="C66" s="1736"/>
      <c r="D66" s="1265"/>
      <c r="E66" s="1306">
        <v>3800000</v>
      </c>
      <c r="F66" s="1307" t="s">
        <v>666</v>
      </c>
      <c r="G66" s="1121" t="s">
        <v>667</v>
      </c>
    </row>
    <row r="67" spans="1:7" ht="13.2" customHeight="1" thickBot="1" x14ac:dyDescent="0.3">
      <c r="A67" s="1730"/>
      <c r="B67" s="1733"/>
      <c r="C67" s="1737"/>
      <c r="D67" s="1268"/>
      <c r="E67" s="1308">
        <v>7000000</v>
      </c>
      <c r="F67" s="1309" t="s">
        <v>662</v>
      </c>
      <c r="G67" s="1121" t="s">
        <v>667</v>
      </c>
    </row>
    <row r="68" spans="1:7" ht="14.4" thickBot="1" x14ac:dyDescent="0.35">
      <c r="A68" s="1291">
        <v>17</v>
      </c>
      <c r="B68" s="1292">
        <v>9948</v>
      </c>
      <c r="C68" s="1300" t="s">
        <v>668</v>
      </c>
      <c r="D68" s="1301">
        <f>E68</f>
        <v>2500000</v>
      </c>
      <c r="E68" s="1286">
        <v>2500000</v>
      </c>
      <c r="F68" s="1295" t="s">
        <v>669</v>
      </c>
    </row>
    <row r="69" spans="1:7" ht="13.8" x14ac:dyDescent="0.3">
      <c r="A69" s="1712">
        <v>18</v>
      </c>
      <c r="B69" s="1714">
        <v>9949</v>
      </c>
      <c r="C69" s="1716" t="s">
        <v>670</v>
      </c>
      <c r="D69" s="1262">
        <f>E69+E70</f>
        <v>1720000</v>
      </c>
      <c r="E69" s="1296">
        <v>1450000</v>
      </c>
      <c r="F69" s="1297" t="s">
        <v>671</v>
      </c>
    </row>
    <row r="70" spans="1:7" ht="13.2" customHeight="1" thickBot="1" x14ac:dyDescent="0.35">
      <c r="A70" s="1713"/>
      <c r="B70" s="1715"/>
      <c r="C70" s="1717"/>
      <c r="D70" s="1268"/>
      <c r="E70" s="1310">
        <v>270000</v>
      </c>
      <c r="F70" s="1311" t="s">
        <v>649</v>
      </c>
    </row>
    <row r="71" spans="1:7" ht="14.4" thickBot="1" x14ac:dyDescent="0.35">
      <c r="A71" s="1312">
        <v>19</v>
      </c>
      <c r="B71" s="1312">
        <v>9958</v>
      </c>
      <c r="C71" s="1313" t="s">
        <v>672</v>
      </c>
      <c r="D71" s="1285">
        <f>E71</f>
        <v>1900000</v>
      </c>
      <c r="E71" s="1286">
        <v>1900000</v>
      </c>
      <c r="F71" s="1295" t="s">
        <v>673</v>
      </c>
    </row>
    <row r="72" spans="1:7" ht="13.5" customHeight="1" thickBot="1" x14ac:dyDescent="0.35">
      <c r="A72" s="1710" t="s">
        <v>674</v>
      </c>
      <c r="B72" s="1711"/>
      <c r="C72" s="1711"/>
      <c r="D72" s="1288">
        <f>SUM(D58:D71)</f>
        <v>55059000</v>
      </c>
      <c r="E72" s="1289"/>
      <c r="F72" s="1290"/>
    </row>
    <row r="73" spans="1:7" ht="13.8" x14ac:dyDescent="0.25">
      <c r="A73" s="1718">
        <v>20</v>
      </c>
      <c r="B73" s="1721">
        <v>99</v>
      </c>
      <c r="C73" s="1724" t="s">
        <v>675</v>
      </c>
      <c r="D73" s="1262">
        <f>SUM(E73:E88)</f>
        <v>44714894</v>
      </c>
      <c r="E73" s="1314">
        <v>100000</v>
      </c>
      <c r="F73" s="1315" t="s">
        <v>648</v>
      </c>
    </row>
    <row r="74" spans="1:7" ht="13.2" customHeight="1" x14ac:dyDescent="0.25">
      <c r="A74" s="1719"/>
      <c r="B74" s="1722"/>
      <c r="C74" s="1725"/>
      <c r="D74" s="1265"/>
      <c r="E74" s="1316">
        <v>1800000</v>
      </c>
      <c r="F74" s="1307" t="s">
        <v>676</v>
      </c>
    </row>
    <row r="75" spans="1:7" ht="13.2" customHeight="1" x14ac:dyDescent="0.25">
      <c r="A75" s="1719"/>
      <c r="B75" s="1722"/>
      <c r="C75" s="1726"/>
      <c r="D75" s="1265"/>
      <c r="E75" s="1316">
        <f>3998000+1674000</f>
        <v>5672000</v>
      </c>
      <c r="F75" s="1307" t="s">
        <v>649</v>
      </c>
    </row>
    <row r="76" spans="1:7" ht="13.2" customHeight="1" x14ac:dyDescent="0.25">
      <c r="A76" s="1719"/>
      <c r="B76" s="1722"/>
      <c r="C76" s="1726"/>
      <c r="D76" s="1265"/>
      <c r="E76" s="1316">
        <v>50000</v>
      </c>
      <c r="F76" s="1307" t="s">
        <v>653</v>
      </c>
    </row>
    <row r="77" spans="1:7" ht="13.2" customHeight="1" x14ac:dyDescent="0.25">
      <c r="A77" s="1719"/>
      <c r="B77" s="1722"/>
      <c r="C77" s="1726"/>
      <c r="D77" s="1265"/>
      <c r="E77" s="1316">
        <v>1218944</v>
      </c>
      <c r="F77" s="1307" t="s">
        <v>677</v>
      </c>
    </row>
    <row r="78" spans="1:7" ht="13.2" customHeight="1" x14ac:dyDescent="0.25">
      <c r="A78" s="1719"/>
      <c r="B78" s="1722"/>
      <c r="C78" s="1726"/>
      <c r="D78" s="1265"/>
      <c r="E78" s="1316">
        <v>2000000</v>
      </c>
      <c r="F78" s="1307" t="s">
        <v>678</v>
      </c>
    </row>
    <row r="79" spans="1:7" ht="13.2" customHeight="1" x14ac:dyDescent="0.25">
      <c r="A79" s="1719"/>
      <c r="B79" s="1722"/>
      <c r="C79" s="1726"/>
      <c r="D79" s="1265"/>
      <c r="E79" s="1316">
        <v>5095600</v>
      </c>
      <c r="F79" s="1307" t="s">
        <v>652</v>
      </c>
    </row>
    <row r="80" spans="1:7" ht="13.2" customHeight="1" x14ac:dyDescent="0.25">
      <c r="A80" s="1719"/>
      <c r="B80" s="1722"/>
      <c r="C80" s="1726"/>
      <c r="D80" s="1265"/>
      <c r="E80" s="1316">
        <v>4900000</v>
      </c>
      <c r="F80" s="1307" t="s">
        <v>679</v>
      </c>
    </row>
    <row r="81" spans="1:7" ht="13.2" customHeight="1" x14ac:dyDescent="0.25">
      <c r="A81" s="1719"/>
      <c r="B81" s="1722"/>
      <c r="C81" s="1726"/>
      <c r="D81" s="1265"/>
      <c r="E81" s="1316">
        <v>7530000</v>
      </c>
      <c r="F81" s="1307" t="s">
        <v>680</v>
      </c>
    </row>
    <row r="82" spans="1:7" ht="13.2" customHeight="1" x14ac:dyDescent="0.25">
      <c r="A82" s="1719"/>
      <c r="B82" s="1722"/>
      <c r="C82" s="1726"/>
      <c r="D82" s="1265"/>
      <c r="E82" s="1316">
        <v>3500000</v>
      </c>
      <c r="F82" s="1307" t="s">
        <v>681</v>
      </c>
    </row>
    <row r="83" spans="1:7" ht="13.2" customHeight="1" x14ac:dyDescent="0.25">
      <c r="A83" s="1719"/>
      <c r="B83" s="1722"/>
      <c r="C83" s="1726"/>
      <c r="D83" s="1265"/>
      <c r="E83" s="1316">
        <v>3000000</v>
      </c>
      <c r="F83" s="1307" t="s">
        <v>682</v>
      </c>
    </row>
    <row r="84" spans="1:7" ht="13.2" customHeight="1" x14ac:dyDescent="0.25">
      <c r="A84" s="1719"/>
      <c r="B84" s="1722"/>
      <c r="C84" s="1726"/>
      <c r="D84" s="1265"/>
      <c r="E84" s="1316">
        <v>4250000</v>
      </c>
      <c r="F84" s="1307" t="s">
        <v>683</v>
      </c>
    </row>
    <row r="85" spans="1:7" ht="13.2" customHeight="1" x14ac:dyDescent="0.25">
      <c r="A85" s="1719"/>
      <c r="B85" s="1722"/>
      <c r="C85" s="1726"/>
      <c r="D85" s="1265"/>
      <c r="E85" s="1316">
        <v>1650000</v>
      </c>
      <c r="F85" s="1307" t="s">
        <v>684</v>
      </c>
    </row>
    <row r="86" spans="1:7" ht="13.2" customHeight="1" x14ac:dyDescent="0.25">
      <c r="A86" s="1719"/>
      <c r="B86" s="1722"/>
      <c r="C86" s="1726"/>
      <c r="D86" s="1265"/>
      <c r="E86" s="1316">
        <v>1500000</v>
      </c>
      <c r="F86" s="1307" t="s">
        <v>685</v>
      </c>
    </row>
    <row r="87" spans="1:7" ht="13.2" customHeight="1" x14ac:dyDescent="0.25">
      <c r="A87" s="1719"/>
      <c r="B87" s="1722"/>
      <c r="C87" s="1726"/>
      <c r="D87" s="1265"/>
      <c r="E87" s="1316">
        <v>1500000</v>
      </c>
      <c r="F87" s="1307" t="s">
        <v>686</v>
      </c>
    </row>
    <row r="88" spans="1:7" ht="13.2" customHeight="1" thickBot="1" x14ac:dyDescent="0.3">
      <c r="A88" s="1720"/>
      <c r="B88" s="1723"/>
      <c r="C88" s="1727"/>
      <c r="D88" s="1268"/>
      <c r="E88" s="1317">
        <v>948350</v>
      </c>
      <c r="F88" s="1309" t="s">
        <v>654</v>
      </c>
    </row>
    <row r="89" spans="1:7" ht="14.7" customHeight="1" thickBot="1" x14ac:dyDescent="0.3">
      <c r="A89" s="1318">
        <v>21</v>
      </c>
      <c r="B89" s="1319">
        <v>99</v>
      </c>
      <c r="C89" s="1320" t="s">
        <v>675</v>
      </c>
      <c r="D89" s="1262">
        <f>E89</f>
        <v>3000000</v>
      </c>
      <c r="E89" s="1314">
        <v>3000000</v>
      </c>
      <c r="F89" s="1315" t="s">
        <v>687</v>
      </c>
      <c r="G89" s="1121" t="s">
        <v>667</v>
      </c>
    </row>
    <row r="90" spans="1:7" ht="13.5" customHeight="1" thickBot="1" x14ac:dyDescent="0.35">
      <c r="A90" s="1710" t="s">
        <v>688</v>
      </c>
      <c r="B90" s="1711"/>
      <c r="C90" s="1711"/>
      <c r="D90" s="1288">
        <f>D73+D89</f>
        <v>47714894</v>
      </c>
      <c r="E90" s="1289"/>
      <c r="F90" s="1290"/>
    </row>
    <row r="91" spans="1:7" ht="13.8" x14ac:dyDescent="0.3">
      <c r="A91" s="1321"/>
    </row>
    <row r="92" spans="1:7" ht="13.8" x14ac:dyDescent="0.3">
      <c r="A92" s="1321"/>
    </row>
    <row r="93" spans="1:7" ht="13.8" x14ac:dyDescent="0.3">
      <c r="A93" s="1321"/>
    </row>
    <row r="94" spans="1:7" ht="13.8" x14ac:dyDescent="0.3">
      <c r="A94" s="1321"/>
    </row>
    <row r="95" spans="1:7" ht="13.8" x14ac:dyDescent="0.3">
      <c r="A95" s="1321"/>
    </row>
  </sheetData>
  <autoFilter ref="A5:F90"/>
  <mergeCells count="46">
    <mergeCell ref="A6:A9"/>
    <mergeCell ref="B6:B9"/>
    <mergeCell ref="C6:C9"/>
    <mergeCell ref="A10:A14"/>
    <mergeCell ref="B10:B14"/>
    <mergeCell ref="C10:C14"/>
    <mergeCell ref="A15:A19"/>
    <mergeCell ref="B15:B19"/>
    <mergeCell ref="C15:C19"/>
    <mergeCell ref="A20:A24"/>
    <mergeCell ref="B20:B24"/>
    <mergeCell ref="C20:C24"/>
    <mergeCell ref="A25:A29"/>
    <mergeCell ref="B25:B29"/>
    <mergeCell ref="C25:C29"/>
    <mergeCell ref="A30:A33"/>
    <mergeCell ref="B30:B33"/>
    <mergeCell ref="C30:C33"/>
    <mergeCell ref="A34:A40"/>
    <mergeCell ref="B34:B40"/>
    <mergeCell ref="C34:C40"/>
    <mergeCell ref="A41:A45"/>
    <mergeCell ref="B41:B45"/>
    <mergeCell ref="C41:C45"/>
    <mergeCell ref="A62:A67"/>
    <mergeCell ref="B62:B67"/>
    <mergeCell ref="C62:C67"/>
    <mergeCell ref="A46:A49"/>
    <mergeCell ref="B46:B49"/>
    <mergeCell ref="C46:C49"/>
    <mergeCell ref="A50:A53"/>
    <mergeCell ref="B50:B53"/>
    <mergeCell ref="C50:C53"/>
    <mergeCell ref="A54:C54"/>
    <mergeCell ref="A57:C57"/>
    <mergeCell ref="A59:A60"/>
    <mergeCell ref="B59:B60"/>
    <mergeCell ref="C59:C60"/>
    <mergeCell ref="A90:C90"/>
    <mergeCell ref="A69:A70"/>
    <mergeCell ref="B69:B70"/>
    <mergeCell ref="C69:C70"/>
    <mergeCell ref="A72:C72"/>
    <mergeCell ref="A73:A88"/>
    <mergeCell ref="B73:B88"/>
    <mergeCell ref="C73:C88"/>
  </mergeCells>
  <pageMargins left="0.70866141732283472" right="0.70866141732283472"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90" zoomScaleNormal="80" zoomScaleSheetLayoutView="100" workbookViewId="0">
      <pane ySplit="2" topLeftCell="A3" activePane="bottomLeft" state="frozen"/>
      <selection activeCell="E94" sqref="E94"/>
      <selection pane="bottomLeft" sqref="A1:G1"/>
    </sheetView>
  </sheetViews>
  <sheetFormatPr defaultColWidth="8.88671875" defaultRowHeight="14.4" x14ac:dyDescent="0.3"/>
  <cols>
    <col min="1" max="1" width="9.44140625" style="1362" customWidth="1"/>
    <col min="2" max="2" width="56.44140625" style="1363" customWidth="1"/>
    <col min="3" max="3" width="56.33203125" style="1363" customWidth="1"/>
    <col min="4" max="4" width="38.33203125" style="1363" customWidth="1"/>
    <col min="5" max="7" width="22.5546875" style="1363" customWidth="1"/>
    <col min="8" max="8" width="52.44140625" style="1363" customWidth="1"/>
    <col min="9" max="16384" width="8.88671875" style="1363"/>
  </cols>
  <sheetData>
    <row r="1" spans="1:7" s="1322" customFormat="1" ht="18.600000000000001" thickBot="1" x14ac:dyDescent="0.3">
      <c r="A1" s="1753" t="s">
        <v>689</v>
      </c>
      <c r="B1" s="1754"/>
      <c r="C1" s="1754"/>
      <c r="D1" s="1754"/>
      <c r="E1" s="1754"/>
      <c r="F1" s="1754"/>
      <c r="G1" s="1755"/>
    </row>
    <row r="2" spans="1:7" s="1326" customFormat="1" ht="15" thickBot="1" x14ac:dyDescent="0.3">
      <c r="A2" s="1323"/>
      <c r="B2" s="1324" t="s">
        <v>690</v>
      </c>
      <c r="C2" s="1323" t="s">
        <v>691</v>
      </c>
      <c r="D2" s="1323" t="s">
        <v>692</v>
      </c>
      <c r="E2" s="1323" t="s">
        <v>693</v>
      </c>
      <c r="F2" s="1323" t="s">
        <v>694</v>
      </c>
      <c r="G2" s="1325" t="s">
        <v>695</v>
      </c>
    </row>
    <row r="3" spans="1:7" s="1326" customFormat="1" ht="15" thickBot="1" x14ac:dyDescent="0.3">
      <c r="A3" s="1327">
        <v>1</v>
      </c>
      <c r="B3" s="1328" t="s">
        <v>696</v>
      </c>
      <c r="C3" s="1328"/>
      <c r="D3" s="1329"/>
      <c r="E3" s="1330" t="s">
        <v>697</v>
      </c>
      <c r="F3" s="1331"/>
      <c r="G3" s="1332"/>
    </row>
    <row r="4" spans="1:7" s="1338" customFormat="1" ht="115.2" x14ac:dyDescent="0.25">
      <c r="A4" s="1333" t="s">
        <v>648</v>
      </c>
      <c r="B4" s="1334" t="s">
        <v>698</v>
      </c>
      <c r="C4" s="1334" t="s">
        <v>699</v>
      </c>
      <c r="D4" s="1335" t="s">
        <v>700</v>
      </c>
      <c r="E4" s="1336" t="s">
        <v>701</v>
      </c>
      <c r="F4" s="1337" t="s">
        <v>702</v>
      </c>
      <c r="G4" s="1748" t="s">
        <v>703</v>
      </c>
    </row>
    <row r="5" spans="1:7" s="1338" customFormat="1" ht="100.8" x14ac:dyDescent="0.25">
      <c r="A5" s="1339" t="s">
        <v>671</v>
      </c>
      <c r="B5" s="1340" t="s">
        <v>704</v>
      </c>
      <c r="C5" s="1340" t="s">
        <v>705</v>
      </c>
      <c r="D5" s="1341" t="s">
        <v>706</v>
      </c>
      <c r="E5" s="1342" t="s">
        <v>707</v>
      </c>
      <c r="F5" s="1343" t="s">
        <v>708</v>
      </c>
      <c r="G5" s="1748"/>
    </row>
    <row r="6" spans="1:7" s="1338" customFormat="1" ht="72" x14ac:dyDescent="0.25">
      <c r="A6" s="1339" t="s">
        <v>687</v>
      </c>
      <c r="B6" s="1340" t="s">
        <v>709</v>
      </c>
      <c r="C6" s="1340" t="s">
        <v>710</v>
      </c>
      <c r="D6" s="1341" t="s">
        <v>711</v>
      </c>
      <c r="E6" s="1342" t="s">
        <v>701</v>
      </c>
      <c r="F6" s="1343" t="s">
        <v>702</v>
      </c>
      <c r="G6" s="1748"/>
    </row>
    <row r="7" spans="1:7" s="1338" customFormat="1" ht="86.4" x14ac:dyDescent="0.25">
      <c r="A7" s="1339" t="s">
        <v>660</v>
      </c>
      <c r="B7" s="1340" t="s">
        <v>712</v>
      </c>
      <c r="C7" s="1340" t="s">
        <v>713</v>
      </c>
      <c r="D7" s="1341" t="s">
        <v>714</v>
      </c>
      <c r="E7" s="1342" t="s">
        <v>715</v>
      </c>
      <c r="F7" s="1343" t="s">
        <v>716</v>
      </c>
      <c r="G7" s="1748"/>
    </row>
    <row r="8" spans="1:7" s="1338" customFormat="1" ht="100.8" x14ac:dyDescent="0.25">
      <c r="A8" s="1339" t="s">
        <v>658</v>
      </c>
      <c r="B8" s="1340" t="s">
        <v>717</v>
      </c>
      <c r="C8" s="1340" t="s">
        <v>718</v>
      </c>
      <c r="D8" s="1341" t="s">
        <v>719</v>
      </c>
      <c r="E8" s="1342" t="s">
        <v>720</v>
      </c>
      <c r="F8" s="1343" t="s">
        <v>721</v>
      </c>
      <c r="G8" s="1756"/>
    </row>
    <row r="9" spans="1:7" s="1338" customFormat="1" ht="87" thickBot="1" x14ac:dyDescent="0.3">
      <c r="A9" s="1344" t="s">
        <v>676</v>
      </c>
      <c r="B9" s="1345" t="s">
        <v>722</v>
      </c>
      <c r="C9" s="1345" t="s">
        <v>723</v>
      </c>
      <c r="D9" s="1346" t="s">
        <v>724</v>
      </c>
      <c r="E9" s="1347" t="s">
        <v>725</v>
      </c>
      <c r="F9" s="1348" t="s">
        <v>725</v>
      </c>
      <c r="G9" s="1349" t="s">
        <v>726</v>
      </c>
    </row>
    <row r="10" spans="1:7" s="1326" customFormat="1" ht="15" thickBot="1" x14ac:dyDescent="0.3">
      <c r="A10" s="1327">
        <v>2</v>
      </c>
      <c r="B10" s="1328" t="s">
        <v>727</v>
      </c>
      <c r="C10" s="1328"/>
      <c r="D10" s="1329"/>
      <c r="E10" s="1330" t="s">
        <v>697</v>
      </c>
      <c r="F10" s="1331"/>
      <c r="G10" s="1332"/>
    </row>
    <row r="11" spans="1:7" s="1338" customFormat="1" ht="144" x14ac:dyDescent="0.25">
      <c r="A11" s="1333" t="s">
        <v>649</v>
      </c>
      <c r="B11" s="1334" t="s">
        <v>728</v>
      </c>
      <c r="C11" s="1334" t="s">
        <v>729</v>
      </c>
      <c r="D11" s="1335" t="s">
        <v>730</v>
      </c>
      <c r="E11" s="1336" t="s">
        <v>697</v>
      </c>
      <c r="F11" s="1337" t="s">
        <v>702</v>
      </c>
      <c r="G11" s="1748" t="s">
        <v>703</v>
      </c>
    </row>
    <row r="12" spans="1:7" s="1338" customFormat="1" ht="86.4" x14ac:dyDescent="0.25">
      <c r="A12" s="1339" t="s">
        <v>666</v>
      </c>
      <c r="B12" s="1340" t="s">
        <v>731</v>
      </c>
      <c r="C12" s="1340" t="s">
        <v>732</v>
      </c>
      <c r="D12" s="1341" t="s">
        <v>733</v>
      </c>
      <c r="E12" s="1342" t="s">
        <v>734</v>
      </c>
      <c r="F12" s="1343" t="s">
        <v>735</v>
      </c>
      <c r="G12" s="1748"/>
    </row>
    <row r="13" spans="1:7" s="1338" customFormat="1" ht="86.4" x14ac:dyDescent="0.25">
      <c r="A13" s="1339" t="s">
        <v>653</v>
      </c>
      <c r="B13" s="1340" t="s">
        <v>736</v>
      </c>
      <c r="C13" s="1340" t="s">
        <v>737</v>
      </c>
      <c r="D13" s="1341" t="s">
        <v>738</v>
      </c>
      <c r="E13" s="1342" t="s">
        <v>701</v>
      </c>
      <c r="F13" s="1343" t="s">
        <v>702</v>
      </c>
      <c r="G13" s="1748"/>
    </row>
    <row r="14" spans="1:7" s="1338" customFormat="1" ht="115.2" x14ac:dyDescent="0.25">
      <c r="A14" s="1339" t="s">
        <v>650</v>
      </c>
      <c r="B14" s="1340" t="s">
        <v>739</v>
      </c>
      <c r="C14" s="1340" t="s">
        <v>740</v>
      </c>
      <c r="D14" s="1341" t="s">
        <v>741</v>
      </c>
      <c r="E14" s="1342" t="s">
        <v>742</v>
      </c>
      <c r="F14" s="1343" t="s">
        <v>743</v>
      </c>
      <c r="G14" s="1748"/>
    </row>
    <row r="15" spans="1:7" s="1338" customFormat="1" ht="72.599999999999994" thickBot="1" x14ac:dyDescent="0.3">
      <c r="A15" s="1344" t="s">
        <v>673</v>
      </c>
      <c r="B15" s="1345" t="s">
        <v>744</v>
      </c>
      <c r="C15" s="1345" t="s">
        <v>745</v>
      </c>
      <c r="D15" s="1346" t="s">
        <v>746</v>
      </c>
      <c r="E15" s="1347" t="s">
        <v>747</v>
      </c>
      <c r="F15" s="1348" t="s">
        <v>748</v>
      </c>
      <c r="G15" s="1748"/>
    </row>
    <row r="16" spans="1:7" s="1338" customFormat="1" ht="15" thickBot="1" x14ac:dyDescent="0.3">
      <c r="A16" s="1327">
        <v>3</v>
      </c>
      <c r="B16" s="1328" t="s">
        <v>749</v>
      </c>
      <c r="C16" s="1328"/>
      <c r="D16" s="1350"/>
      <c r="E16" s="1330" t="s">
        <v>750</v>
      </c>
      <c r="F16" s="1331"/>
      <c r="G16" s="1332"/>
    </row>
    <row r="17" spans="1:7" s="1338" customFormat="1" ht="100.8" x14ac:dyDescent="0.25">
      <c r="A17" s="1333" t="s">
        <v>651</v>
      </c>
      <c r="B17" s="1334" t="s">
        <v>751</v>
      </c>
      <c r="C17" s="1334" t="s">
        <v>752</v>
      </c>
      <c r="D17" s="1335" t="s">
        <v>753</v>
      </c>
      <c r="E17" s="1336" t="s">
        <v>754</v>
      </c>
      <c r="F17" s="1337" t="s">
        <v>755</v>
      </c>
      <c r="G17" s="1748" t="s">
        <v>756</v>
      </c>
    </row>
    <row r="18" spans="1:7" s="1338" customFormat="1" ht="100.8" x14ac:dyDescent="0.25">
      <c r="A18" s="1339" t="s">
        <v>677</v>
      </c>
      <c r="B18" s="1340" t="s">
        <v>757</v>
      </c>
      <c r="C18" s="1340" t="s">
        <v>758</v>
      </c>
      <c r="D18" s="1341" t="s">
        <v>759</v>
      </c>
      <c r="E18" s="1342" t="s">
        <v>754</v>
      </c>
      <c r="F18" s="1343" t="s">
        <v>755</v>
      </c>
      <c r="G18" s="1748"/>
    </row>
    <row r="19" spans="1:7" s="1338" customFormat="1" ht="101.4" thickBot="1" x14ac:dyDescent="0.3">
      <c r="A19" s="1344" t="s">
        <v>678</v>
      </c>
      <c r="B19" s="1345" t="s">
        <v>760</v>
      </c>
      <c r="C19" s="1345" t="s">
        <v>761</v>
      </c>
      <c r="D19" s="1346" t="s">
        <v>762</v>
      </c>
      <c r="E19" s="1347" t="s">
        <v>754</v>
      </c>
      <c r="F19" s="1348" t="s">
        <v>755</v>
      </c>
      <c r="G19" s="1748"/>
    </row>
    <row r="20" spans="1:7" s="1326" customFormat="1" ht="43.8" thickBot="1" x14ac:dyDescent="0.3">
      <c r="A20" s="1327">
        <v>4</v>
      </c>
      <c r="B20" s="1328" t="s">
        <v>763</v>
      </c>
      <c r="C20" s="1328"/>
      <c r="D20" s="1329"/>
      <c r="E20" s="1351" t="s">
        <v>764</v>
      </c>
      <c r="F20" s="1331"/>
      <c r="G20" s="1332"/>
    </row>
    <row r="21" spans="1:7" s="1338" customFormat="1" ht="100.8" x14ac:dyDescent="0.25">
      <c r="A21" s="1333" t="s">
        <v>652</v>
      </c>
      <c r="B21" s="1334" t="s">
        <v>765</v>
      </c>
      <c r="C21" s="1334" t="s">
        <v>766</v>
      </c>
      <c r="D21" s="1335" t="s">
        <v>767</v>
      </c>
      <c r="E21" s="1336" t="s">
        <v>768</v>
      </c>
      <c r="F21" s="1337" t="s">
        <v>769</v>
      </c>
      <c r="G21" s="1748" t="s">
        <v>770</v>
      </c>
    </row>
    <row r="22" spans="1:7" s="1338" customFormat="1" ht="100.8" x14ac:dyDescent="0.25">
      <c r="A22" s="1339" t="s">
        <v>679</v>
      </c>
      <c r="B22" s="1340" t="s">
        <v>771</v>
      </c>
      <c r="C22" s="1340" t="s">
        <v>772</v>
      </c>
      <c r="D22" s="1341" t="s">
        <v>773</v>
      </c>
      <c r="E22" s="1342" t="s">
        <v>774</v>
      </c>
      <c r="F22" s="1343" t="s">
        <v>769</v>
      </c>
      <c r="G22" s="1748"/>
    </row>
    <row r="23" spans="1:7" s="1338" customFormat="1" ht="187.2" x14ac:dyDescent="0.25">
      <c r="A23" s="1339" t="s">
        <v>680</v>
      </c>
      <c r="B23" s="1340" t="s">
        <v>775</v>
      </c>
      <c r="C23" s="1340" t="s">
        <v>776</v>
      </c>
      <c r="D23" s="1341" t="s">
        <v>777</v>
      </c>
      <c r="E23" s="1342" t="s">
        <v>774</v>
      </c>
      <c r="F23" s="1343" t="s">
        <v>778</v>
      </c>
      <c r="G23" s="1748"/>
    </row>
    <row r="24" spans="1:7" s="1338" customFormat="1" ht="115.2" x14ac:dyDescent="0.25">
      <c r="A24" s="1339" t="s">
        <v>681</v>
      </c>
      <c r="B24" s="1340" t="s">
        <v>779</v>
      </c>
      <c r="C24" s="1340" t="s">
        <v>780</v>
      </c>
      <c r="D24" s="1341" t="s">
        <v>781</v>
      </c>
      <c r="E24" s="1342" t="s">
        <v>782</v>
      </c>
      <c r="F24" s="1343" t="s">
        <v>769</v>
      </c>
      <c r="G24" s="1748"/>
    </row>
    <row r="25" spans="1:7" s="1338" customFormat="1" ht="72.599999999999994" thickBot="1" x14ac:dyDescent="0.3">
      <c r="A25" s="1344" t="s">
        <v>682</v>
      </c>
      <c r="B25" s="1345" t="s">
        <v>783</v>
      </c>
      <c r="C25" s="1345" t="s">
        <v>784</v>
      </c>
      <c r="D25" s="1346" t="s">
        <v>785</v>
      </c>
      <c r="E25" s="1347" t="s">
        <v>782</v>
      </c>
      <c r="F25" s="1348" t="s">
        <v>769</v>
      </c>
      <c r="G25" s="1748"/>
    </row>
    <row r="26" spans="1:7" s="1326" customFormat="1" ht="15" thickBot="1" x14ac:dyDescent="0.3">
      <c r="A26" s="1327">
        <v>5</v>
      </c>
      <c r="B26" s="1328" t="s">
        <v>786</v>
      </c>
      <c r="C26" s="1328"/>
      <c r="D26" s="1329"/>
      <c r="E26" s="1330" t="s">
        <v>734</v>
      </c>
      <c r="F26" s="1331"/>
      <c r="G26" s="1332"/>
    </row>
    <row r="27" spans="1:7" s="1338" customFormat="1" ht="86.4" x14ac:dyDescent="0.25">
      <c r="A27" s="1333" t="s">
        <v>662</v>
      </c>
      <c r="B27" s="1334" t="s">
        <v>787</v>
      </c>
      <c r="C27" s="1334" t="s">
        <v>788</v>
      </c>
      <c r="D27" s="1335" t="s">
        <v>789</v>
      </c>
      <c r="E27" s="1336" t="s">
        <v>790</v>
      </c>
      <c r="F27" s="1337" t="s">
        <v>735</v>
      </c>
      <c r="G27" s="1748" t="s">
        <v>756</v>
      </c>
    </row>
    <row r="28" spans="1:7" s="1338" customFormat="1" ht="100.8" x14ac:dyDescent="0.25">
      <c r="A28" s="1339" t="s">
        <v>663</v>
      </c>
      <c r="B28" s="1340" t="s">
        <v>791</v>
      </c>
      <c r="C28" s="1340" t="s">
        <v>792</v>
      </c>
      <c r="D28" s="1341" t="s">
        <v>793</v>
      </c>
      <c r="E28" s="1342" t="s">
        <v>790</v>
      </c>
      <c r="F28" s="1343" t="s">
        <v>735</v>
      </c>
      <c r="G28" s="1748"/>
    </row>
    <row r="29" spans="1:7" s="1326" customFormat="1" ht="100.8" x14ac:dyDescent="0.25">
      <c r="A29" s="1339" t="s">
        <v>664</v>
      </c>
      <c r="B29" s="1340" t="s">
        <v>794</v>
      </c>
      <c r="C29" s="1340" t="s">
        <v>795</v>
      </c>
      <c r="D29" s="1341" t="s">
        <v>796</v>
      </c>
      <c r="E29" s="1342" t="s">
        <v>790</v>
      </c>
      <c r="F29" s="1343" t="s">
        <v>735</v>
      </c>
      <c r="G29" s="1748"/>
    </row>
    <row r="30" spans="1:7" s="1338" customFormat="1" ht="101.4" thickBot="1" x14ac:dyDescent="0.3">
      <c r="A30" s="1344" t="s">
        <v>665</v>
      </c>
      <c r="B30" s="1345" t="s">
        <v>797</v>
      </c>
      <c r="C30" s="1345" t="s">
        <v>798</v>
      </c>
      <c r="D30" s="1346" t="s">
        <v>799</v>
      </c>
      <c r="E30" s="1347" t="s">
        <v>790</v>
      </c>
      <c r="F30" s="1348" t="s">
        <v>735</v>
      </c>
      <c r="G30" s="1748"/>
    </row>
    <row r="31" spans="1:7" s="1326" customFormat="1" ht="43.8" thickBot="1" x14ac:dyDescent="0.3">
      <c r="A31" s="1327">
        <v>6</v>
      </c>
      <c r="B31" s="1328" t="s">
        <v>800</v>
      </c>
      <c r="C31" s="1328"/>
      <c r="D31" s="1329"/>
      <c r="E31" s="1330" t="s">
        <v>801</v>
      </c>
      <c r="F31" s="1331"/>
      <c r="G31" s="1332"/>
    </row>
    <row r="32" spans="1:7" s="1338" customFormat="1" ht="100.8" x14ac:dyDescent="0.25">
      <c r="A32" s="1333" t="s">
        <v>669</v>
      </c>
      <c r="B32" s="1334" t="s">
        <v>802</v>
      </c>
      <c r="C32" s="1334" t="s">
        <v>803</v>
      </c>
      <c r="D32" s="1335" t="s">
        <v>804</v>
      </c>
      <c r="E32" s="1336" t="s">
        <v>805</v>
      </c>
      <c r="F32" s="1352" t="s">
        <v>805</v>
      </c>
      <c r="G32" s="1747" t="s">
        <v>726</v>
      </c>
    </row>
    <row r="33" spans="1:7" s="1338" customFormat="1" ht="72" x14ac:dyDescent="0.25">
      <c r="A33" s="1339" t="s">
        <v>659</v>
      </c>
      <c r="B33" s="1340" t="s">
        <v>806</v>
      </c>
      <c r="C33" s="1340" t="s">
        <v>807</v>
      </c>
      <c r="D33" s="1341" t="s">
        <v>808</v>
      </c>
      <c r="E33" s="1336" t="s">
        <v>809</v>
      </c>
      <c r="F33" s="1352" t="s">
        <v>810</v>
      </c>
      <c r="G33" s="1748"/>
    </row>
    <row r="34" spans="1:7" s="1338" customFormat="1" ht="101.4" thickBot="1" x14ac:dyDescent="0.3">
      <c r="A34" s="1344" t="s">
        <v>683</v>
      </c>
      <c r="B34" s="1345" t="s">
        <v>811</v>
      </c>
      <c r="C34" s="1345" t="s">
        <v>812</v>
      </c>
      <c r="D34" s="1346" t="s">
        <v>813</v>
      </c>
      <c r="E34" s="1353" t="s">
        <v>814</v>
      </c>
      <c r="F34" s="1354" t="s">
        <v>814</v>
      </c>
      <c r="G34" s="1748"/>
    </row>
    <row r="35" spans="1:7" s="1326" customFormat="1" ht="43.8" thickBot="1" x14ac:dyDescent="0.3">
      <c r="A35" s="1327">
        <v>7</v>
      </c>
      <c r="B35" s="1328" t="s">
        <v>815</v>
      </c>
      <c r="C35" s="1328"/>
      <c r="D35" s="1329"/>
      <c r="E35" s="1330" t="s">
        <v>801</v>
      </c>
      <c r="F35" s="1355"/>
      <c r="G35" s="1356"/>
    </row>
    <row r="36" spans="1:7" s="1338" customFormat="1" ht="158.4" x14ac:dyDescent="0.25">
      <c r="A36" s="1333" t="s">
        <v>684</v>
      </c>
      <c r="B36" s="1334" t="s">
        <v>816</v>
      </c>
      <c r="C36" s="1334" t="s">
        <v>817</v>
      </c>
      <c r="D36" s="1335" t="s">
        <v>818</v>
      </c>
      <c r="E36" s="1336" t="s">
        <v>819</v>
      </c>
      <c r="F36" s="1352" t="s">
        <v>819</v>
      </c>
      <c r="G36" s="1747" t="s">
        <v>726</v>
      </c>
    </row>
    <row r="37" spans="1:7" s="1338" customFormat="1" ht="72" x14ac:dyDescent="0.25">
      <c r="A37" s="1339" t="s">
        <v>685</v>
      </c>
      <c r="B37" s="1340" t="s">
        <v>820</v>
      </c>
      <c r="C37" s="1340" t="s">
        <v>821</v>
      </c>
      <c r="D37" s="1341" t="s">
        <v>822</v>
      </c>
      <c r="E37" s="1336" t="s">
        <v>814</v>
      </c>
      <c r="F37" s="1352" t="s">
        <v>814</v>
      </c>
      <c r="G37" s="1748"/>
    </row>
    <row r="38" spans="1:7" s="1338" customFormat="1" ht="43.2" x14ac:dyDescent="0.25">
      <c r="A38" s="1339" t="s">
        <v>686</v>
      </c>
      <c r="B38" s="1340" t="s">
        <v>823</v>
      </c>
      <c r="C38" s="1340" t="s">
        <v>824</v>
      </c>
      <c r="D38" s="1341" t="s">
        <v>825</v>
      </c>
      <c r="E38" s="1336" t="s">
        <v>814</v>
      </c>
      <c r="F38" s="1352" t="s">
        <v>814</v>
      </c>
      <c r="G38" s="1748"/>
    </row>
    <row r="39" spans="1:7" s="1338" customFormat="1" ht="115.2" x14ac:dyDescent="0.25">
      <c r="A39" s="1339" t="s">
        <v>654</v>
      </c>
      <c r="B39" s="1340" t="s">
        <v>826</v>
      </c>
      <c r="C39" s="1340" t="s">
        <v>827</v>
      </c>
      <c r="D39" s="1341" t="s">
        <v>828</v>
      </c>
      <c r="E39" s="1336" t="s">
        <v>814</v>
      </c>
      <c r="F39" s="1352" t="s">
        <v>829</v>
      </c>
      <c r="G39" s="1748"/>
    </row>
    <row r="40" spans="1:7" s="1338" customFormat="1" ht="115.8" thickBot="1" x14ac:dyDescent="0.3">
      <c r="A40" s="1357" t="s">
        <v>661</v>
      </c>
      <c r="B40" s="1358" t="s">
        <v>830</v>
      </c>
      <c r="C40" s="1358" t="s">
        <v>831</v>
      </c>
      <c r="D40" s="1359" t="s">
        <v>832</v>
      </c>
      <c r="E40" s="1360" t="s">
        <v>716</v>
      </c>
      <c r="F40" s="1361" t="s">
        <v>716</v>
      </c>
      <c r="G40" s="1749"/>
    </row>
    <row r="41" spans="1:7" s="1326" customFormat="1" ht="16.2" thickBot="1" x14ac:dyDescent="0.3">
      <c r="A41" s="1750"/>
      <c r="B41" s="1751"/>
      <c r="C41" s="1751"/>
      <c r="D41" s="1751"/>
      <c r="E41" s="1751"/>
      <c r="F41" s="1751"/>
      <c r="G41" s="1752"/>
    </row>
  </sheetData>
  <mergeCells count="9">
    <mergeCell ref="G32:G34"/>
    <mergeCell ref="G36:G40"/>
    <mergeCell ref="A41:G41"/>
    <mergeCell ref="A1:G1"/>
    <mergeCell ref="G4:G8"/>
    <mergeCell ref="G11:G15"/>
    <mergeCell ref="G17:G19"/>
    <mergeCell ref="G21:G25"/>
    <mergeCell ref="G27:G30"/>
  </mergeCells>
  <pageMargins left="0.25" right="0.25" top="0.75"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107" zoomScaleNormal="107" workbookViewId="0"/>
  </sheetViews>
  <sheetFormatPr defaultColWidth="11.44140625" defaultRowHeight="12" x14ac:dyDescent="0.25"/>
  <cols>
    <col min="1" max="1" width="4.44140625" style="16" customWidth="1"/>
    <col min="2" max="2" width="9.6640625" style="16" customWidth="1"/>
    <col min="3" max="3" width="9.44140625" style="16" bestFit="1" customWidth="1"/>
    <col min="4" max="4" width="9.5546875" style="16" customWidth="1"/>
    <col min="5" max="5" width="9.33203125" style="16" customWidth="1"/>
    <col min="6" max="6" width="8.6640625" style="16" customWidth="1"/>
    <col min="7" max="7" width="9.6640625" style="16" customWidth="1"/>
    <col min="8" max="8" width="11.33203125" style="16" bestFit="1" customWidth="1"/>
    <col min="9" max="9" width="9.6640625" style="16" customWidth="1"/>
    <col min="10" max="10" width="10.6640625" style="16" customWidth="1"/>
    <col min="11" max="11" width="10.44140625" style="16" customWidth="1"/>
    <col min="12" max="12" width="11.33203125" style="16" customWidth="1"/>
    <col min="13" max="13" width="9.5546875" style="16" customWidth="1"/>
    <col min="14" max="14" width="9.33203125" style="16" customWidth="1"/>
    <col min="15" max="15" width="11.5546875" style="16" customWidth="1"/>
    <col min="16" max="16" width="9.44140625" style="16" customWidth="1"/>
    <col min="17" max="17" width="10" style="16" customWidth="1"/>
    <col min="18" max="16384" width="11.44140625" style="16"/>
  </cols>
  <sheetData>
    <row r="1" spans="1:18" ht="14.4" thickBot="1" x14ac:dyDescent="0.35">
      <c r="A1" s="1586" t="s">
        <v>864</v>
      </c>
    </row>
    <row r="2" spans="1:18" x14ac:dyDescent="0.25">
      <c r="A2" s="1769" t="s">
        <v>371</v>
      </c>
      <c r="B2" s="1770"/>
      <c r="C2" s="1558" t="s">
        <v>240</v>
      </c>
      <c r="D2" s="1765" t="s">
        <v>262</v>
      </c>
      <c r="E2" s="1559"/>
      <c r="F2" s="1560"/>
      <c r="G2" s="1765" t="s">
        <v>261</v>
      </c>
      <c r="H2" s="1561" t="s">
        <v>240</v>
      </c>
      <c r="I2" s="1559" t="s">
        <v>433</v>
      </c>
      <c r="J2" s="1765" t="s">
        <v>262</v>
      </c>
      <c r="K2" s="1765" t="s">
        <v>261</v>
      </c>
      <c r="L2" s="1562" t="s">
        <v>432</v>
      </c>
      <c r="M2" s="1757" t="s">
        <v>30</v>
      </c>
      <c r="N2" s="1758"/>
      <c r="O2" s="1559"/>
      <c r="P2" s="1563"/>
      <c r="Q2" s="1563"/>
    </row>
    <row r="3" spans="1:18" x14ac:dyDescent="0.25">
      <c r="A3" s="1771"/>
      <c r="B3" s="1772"/>
      <c r="C3" s="1564" t="s">
        <v>260</v>
      </c>
      <c r="D3" s="1766"/>
      <c r="E3" s="1565" t="s">
        <v>588</v>
      </c>
      <c r="F3" s="1565" t="s">
        <v>266</v>
      </c>
      <c r="G3" s="1766"/>
      <c r="H3" s="1566" t="s">
        <v>430</v>
      </c>
      <c r="I3" s="1565" t="s">
        <v>264</v>
      </c>
      <c r="J3" s="1766"/>
      <c r="K3" s="1766"/>
      <c r="L3" s="1567" t="s">
        <v>431</v>
      </c>
      <c r="M3" s="1759"/>
      <c r="N3" s="1760"/>
      <c r="O3" s="1565" t="s">
        <v>586</v>
      </c>
      <c r="P3" s="1568" t="s">
        <v>587</v>
      </c>
      <c r="Q3" s="1568" t="s">
        <v>582</v>
      </c>
    </row>
    <row r="4" spans="1:18" ht="26.25" customHeight="1" x14ac:dyDescent="0.25">
      <c r="A4" s="1771"/>
      <c r="B4" s="1772"/>
      <c r="C4" s="1569" t="s">
        <v>283</v>
      </c>
      <c r="D4" s="1570" t="s">
        <v>584</v>
      </c>
      <c r="E4" s="1571" t="s">
        <v>582</v>
      </c>
      <c r="F4" s="1571" t="s">
        <v>582</v>
      </c>
      <c r="G4" s="1570" t="s">
        <v>585</v>
      </c>
      <c r="H4" s="1572" t="s">
        <v>284</v>
      </c>
      <c r="I4" s="1571" t="s">
        <v>270</v>
      </c>
      <c r="J4" s="1570" t="s">
        <v>584</v>
      </c>
      <c r="K4" s="1570" t="s">
        <v>585</v>
      </c>
      <c r="L4" s="1573" t="s">
        <v>863</v>
      </c>
      <c r="M4" s="1574" t="s">
        <v>270</v>
      </c>
      <c r="N4" s="1574" t="s">
        <v>284</v>
      </c>
      <c r="O4" s="1571" t="s">
        <v>16</v>
      </c>
      <c r="P4" s="1575" t="s">
        <v>582</v>
      </c>
      <c r="Q4" s="1575" t="s">
        <v>280</v>
      </c>
    </row>
    <row r="5" spans="1:18" ht="14.25" customHeight="1" thickBot="1" x14ac:dyDescent="0.3">
      <c r="A5" s="1767" t="s">
        <v>558</v>
      </c>
      <c r="B5" s="1768"/>
      <c r="C5" s="1557">
        <v>1</v>
      </c>
      <c r="D5" s="1110">
        <v>2</v>
      </c>
      <c r="E5" s="1111">
        <v>3</v>
      </c>
      <c r="F5" s="1111">
        <v>4</v>
      </c>
      <c r="G5" s="1110">
        <v>5</v>
      </c>
      <c r="H5" s="1112" t="s">
        <v>267</v>
      </c>
      <c r="I5" s="1111">
        <v>7</v>
      </c>
      <c r="J5" s="1110">
        <v>8</v>
      </c>
      <c r="K5" s="1110">
        <v>9</v>
      </c>
      <c r="L5" s="1113" t="s">
        <v>268</v>
      </c>
      <c r="M5" s="1112" t="s">
        <v>271</v>
      </c>
      <c r="N5" s="1112" t="s">
        <v>272</v>
      </c>
      <c r="O5" s="1111" t="s">
        <v>269</v>
      </c>
      <c r="P5" s="1114" t="s">
        <v>434</v>
      </c>
      <c r="Q5" s="1114"/>
    </row>
    <row r="6" spans="1:18" x14ac:dyDescent="0.25">
      <c r="A6" s="1540">
        <v>11</v>
      </c>
      <c r="B6" s="1535" t="s">
        <v>7</v>
      </c>
      <c r="C6" s="35">
        <f>'rozpis pro rozpocet'!G49</f>
        <v>314640</v>
      </c>
      <c r="D6" s="36"/>
      <c r="E6" s="37">
        <f>'rozpis pro rozpocet'!E49</f>
        <v>91019.155254663405</v>
      </c>
      <c r="F6" s="38">
        <f t="shared" ref="F6:F15" si="0">E6/SUM($E$6:$E$15,$E$17)</f>
        <v>0.1059381958410909</v>
      </c>
      <c r="G6" s="37"/>
      <c r="H6" s="564">
        <f>C6+G6+D6</f>
        <v>314640</v>
      </c>
      <c r="I6" s="37">
        <f>'rozpis pro rozpocet'!H49</f>
        <v>0</v>
      </c>
      <c r="J6" s="36"/>
      <c r="K6" s="40"/>
      <c r="L6" s="541">
        <f t="shared" ref="L6:L15" si="1">I6+K6+J6</f>
        <v>0</v>
      </c>
      <c r="M6" s="39">
        <f>I6</f>
        <v>0</v>
      </c>
      <c r="N6" s="39">
        <f>L6-M6</f>
        <v>0</v>
      </c>
      <c r="O6" s="37">
        <f>-D6-G6-J6-K6</f>
        <v>0</v>
      </c>
      <c r="P6" s="551">
        <f>O6+E6</f>
        <v>91019.155254663405</v>
      </c>
      <c r="Q6" s="41">
        <f>TRUNC(ROUND(P6,0),0)</f>
        <v>91019</v>
      </c>
      <c r="R6" s="65"/>
    </row>
    <row r="7" spans="1:18" x14ac:dyDescent="0.25">
      <c r="A7" s="1540">
        <v>16</v>
      </c>
      <c r="B7" s="1535" t="s">
        <v>613</v>
      </c>
      <c r="C7" s="35">
        <f>'rozpis pro rozpocet'!G50</f>
        <v>55996.7</v>
      </c>
      <c r="D7" s="1539"/>
      <c r="E7" s="37">
        <f>'rozpis pro rozpocet'!E50</f>
        <v>20248.000235294112</v>
      </c>
      <c r="F7" s="38">
        <f t="shared" si="0"/>
        <v>2.3566870163927833E-2</v>
      </c>
      <c r="G7" s="1532"/>
      <c r="H7" s="564">
        <f>C7+G7+D7</f>
        <v>55996.7</v>
      </c>
      <c r="I7" s="37">
        <f>'rozpis pro rozpocet'!H50</f>
        <v>21485</v>
      </c>
      <c r="J7" s="1539"/>
      <c r="K7" s="1538"/>
      <c r="L7" s="541">
        <f t="shared" si="1"/>
        <v>21485</v>
      </c>
      <c r="M7" s="39">
        <f>I7</f>
        <v>21485</v>
      </c>
      <c r="N7" s="39">
        <f>L7-M7</f>
        <v>0</v>
      </c>
      <c r="O7" s="37">
        <f>-D7-G7-J7-K7</f>
        <v>0</v>
      </c>
      <c r="P7" s="551">
        <f>O7+E7</f>
        <v>20248.000235294112</v>
      </c>
      <c r="Q7" s="41">
        <f>TRUNC(ROUND(P7,0),0)</f>
        <v>20248</v>
      </c>
      <c r="R7" s="65"/>
    </row>
    <row r="8" spans="1:18" x14ac:dyDescent="0.25">
      <c r="A8" s="729">
        <v>21</v>
      </c>
      <c r="B8" s="567" t="s">
        <v>8</v>
      </c>
      <c r="C8" s="35">
        <f>'rozpis pro rozpocet'!G51</f>
        <v>317858.5</v>
      </c>
      <c r="D8" s="17"/>
      <c r="E8" s="37">
        <f>'rozpis pro rozpocet'!E51</f>
        <v>91249.421525484009</v>
      </c>
      <c r="F8" s="19">
        <f t="shared" si="0"/>
        <v>0.10620620528619659</v>
      </c>
      <c r="G8" s="18"/>
      <c r="H8" s="561">
        <f t="shared" ref="H8:H28" si="2">C8+G8+D8</f>
        <v>317858.5</v>
      </c>
      <c r="I8" s="37">
        <f>'rozpis pro rozpocet'!H51</f>
        <v>126</v>
      </c>
      <c r="J8" s="17"/>
      <c r="K8" s="21"/>
      <c r="L8" s="538">
        <f t="shared" si="1"/>
        <v>126</v>
      </c>
      <c r="M8" s="20">
        <f t="shared" ref="M8:M15" si="3">I8</f>
        <v>126</v>
      </c>
      <c r="N8" s="20">
        <f t="shared" ref="N8:N15" si="4">L8-M8</f>
        <v>0</v>
      </c>
      <c r="O8" s="18">
        <f t="shared" ref="O8:O15" si="5">-D8-G8-J8-K8</f>
        <v>0</v>
      </c>
      <c r="P8" s="548">
        <f t="shared" ref="P8:P15" si="6">O8+E8</f>
        <v>91249.421525484009</v>
      </c>
      <c r="Q8" s="41">
        <f>TRUNC(ROUND(P8,0),0)</f>
        <v>91249</v>
      </c>
      <c r="R8" s="65"/>
    </row>
    <row r="9" spans="1:18" x14ac:dyDescent="0.25">
      <c r="A9" s="729">
        <v>22</v>
      </c>
      <c r="B9" s="567" t="s">
        <v>9</v>
      </c>
      <c r="C9" s="35">
        <f>'rozpis pro rozpocet'!G52</f>
        <v>120541.4</v>
      </c>
      <c r="D9" s="17"/>
      <c r="E9" s="37">
        <f>'rozpis pro rozpocet'!E52</f>
        <v>30296.710596616631</v>
      </c>
      <c r="F9" s="19">
        <f t="shared" si="0"/>
        <v>3.5262674670459355E-2</v>
      </c>
      <c r="G9" s="18"/>
      <c r="H9" s="561">
        <f t="shared" si="2"/>
        <v>120541.4</v>
      </c>
      <c r="I9" s="37">
        <f>'rozpis pro rozpocet'!H52</f>
        <v>0</v>
      </c>
      <c r="J9" s="17"/>
      <c r="K9" s="21"/>
      <c r="L9" s="538">
        <f t="shared" si="1"/>
        <v>0</v>
      </c>
      <c r="M9" s="20">
        <f t="shared" si="3"/>
        <v>0</v>
      </c>
      <c r="N9" s="20">
        <f t="shared" si="4"/>
        <v>0</v>
      </c>
      <c r="O9" s="18">
        <f t="shared" si="5"/>
        <v>0</v>
      </c>
      <c r="P9" s="548">
        <f t="shared" si="6"/>
        <v>30296.710596616631</v>
      </c>
      <c r="Q9" s="22">
        <f t="shared" ref="Q9:Q15" si="7">TRUNC(ROUND(P9,0),0)</f>
        <v>30297</v>
      </c>
      <c r="R9" s="65"/>
    </row>
    <row r="10" spans="1:18" x14ac:dyDescent="0.25">
      <c r="A10" s="729">
        <v>23</v>
      </c>
      <c r="B10" s="567" t="s">
        <v>10</v>
      </c>
      <c r="C10" s="35">
        <f>'rozpis pro rozpocet'!G53</f>
        <v>139942.79999999999</v>
      </c>
      <c r="D10" s="17"/>
      <c r="E10" s="37">
        <f>'rozpis pro rozpocet'!E53</f>
        <v>61580.374273015259</v>
      </c>
      <c r="F10" s="19">
        <f t="shared" si="0"/>
        <v>7.1674074885111849E-2</v>
      </c>
      <c r="G10" s="18"/>
      <c r="H10" s="561">
        <f t="shared" si="2"/>
        <v>139942.79999999999</v>
      </c>
      <c r="I10" s="37">
        <f>'rozpis pro rozpocet'!H53</f>
        <v>0</v>
      </c>
      <c r="J10" s="17"/>
      <c r="K10" s="21"/>
      <c r="L10" s="538">
        <f t="shared" si="1"/>
        <v>0</v>
      </c>
      <c r="M10" s="20">
        <f t="shared" si="3"/>
        <v>0</v>
      </c>
      <c r="N10" s="20">
        <f t="shared" si="4"/>
        <v>0</v>
      </c>
      <c r="O10" s="18">
        <f t="shared" si="5"/>
        <v>0</v>
      </c>
      <c r="P10" s="548">
        <f t="shared" si="6"/>
        <v>61580.374273015259</v>
      </c>
      <c r="Q10" s="22">
        <f>TRUNC(CEILING(P10,1),0)</f>
        <v>61581</v>
      </c>
      <c r="R10" s="65"/>
    </row>
    <row r="11" spans="1:18" x14ac:dyDescent="0.25">
      <c r="A11" s="729">
        <v>31</v>
      </c>
      <c r="B11" s="567" t="s">
        <v>11</v>
      </c>
      <c r="C11" s="35">
        <f>'rozpis pro rozpocet'!G54</f>
        <v>315955.20000000001</v>
      </c>
      <c r="D11" s="17"/>
      <c r="E11" s="37">
        <f>'rozpis pro rozpocet'!E54</f>
        <v>323020.21089317877</v>
      </c>
      <c r="F11" s="19">
        <f t="shared" si="0"/>
        <v>0.37596677607572909</v>
      </c>
      <c r="G11" s="18"/>
      <c r="H11" s="561">
        <f t="shared" si="2"/>
        <v>315955.20000000001</v>
      </c>
      <c r="I11" s="37">
        <f>'rozpis pro rozpocet'!H54</f>
        <v>2000</v>
      </c>
      <c r="J11" s="17"/>
      <c r="K11" s="21"/>
      <c r="L11" s="538">
        <f t="shared" si="1"/>
        <v>2000</v>
      </c>
      <c r="M11" s="20">
        <f t="shared" si="3"/>
        <v>2000</v>
      </c>
      <c r="N11" s="20">
        <f t="shared" si="4"/>
        <v>0</v>
      </c>
      <c r="O11" s="18">
        <f t="shared" si="5"/>
        <v>0</v>
      </c>
      <c r="P11" s="548">
        <f t="shared" si="6"/>
        <v>323020.21089317877</v>
      </c>
      <c r="Q11" s="22">
        <f t="shared" si="7"/>
        <v>323020</v>
      </c>
      <c r="R11" s="65"/>
    </row>
    <row r="12" spans="1:18" x14ac:dyDescent="0.25">
      <c r="A12" s="729">
        <v>33</v>
      </c>
      <c r="B12" s="567" t="s">
        <v>12</v>
      </c>
      <c r="C12" s="35">
        <f>'rozpis pro rozpocet'!G55</f>
        <v>116169.2</v>
      </c>
      <c r="D12" s="17"/>
      <c r="E12" s="37">
        <f>'rozpis pro rozpocet'!E55</f>
        <v>53314.068674389913</v>
      </c>
      <c r="F12" s="19">
        <f t="shared" si="0"/>
        <v>6.2052830884996711E-2</v>
      </c>
      <c r="G12" s="18"/>
      <c r="H12" s="561">
        <f t="shared" si="2"/>
        <v>116169.2</v>
      </c>
      <c r="I12" s="37">
        <f>'rozpis pro rozpocet'!H55</f>
        <v>46705</v>
      </c>
      <c r="J12" s="17"/>
      <c r="K12" s="21"/>
      <c r="L12" s="538">
        <f t="shared" si="1"/>
        <v>46705</v>
      </c>
      <c r="M12" s="20">
        <f t="shared" si="3"/>
        <v>46705</v>
      </c>
      <c r="N12" s="20">
        <f t="shared" si="4"/>
        <v>0</v>
      </c>
      <c r="O12" s="18">
        <f t="shared" si="5"/>
        <v>0</v>
      </c>
      <c r="P12" s="548">
        <f t="shared" si="6"/>
        <v>53314.068674389913</v>
      </c>
      <c r="Q12" s="22">
        <f t="shared" si="7"/>
        <v>53314</v>
      </c>
      <c r="R12" s="65"/>
    </row>
    <row r="13" spans="1:18" x14ac:dyDescent="0.25">
      <c r="A13" s="729">
        <v>41</v>
      </c>
      <c r="B13" s="567" t="s">
        <v>13</v>
      </c>
      <c r="C13" s="35">
        <f>'rozpis pro rozpocet'!G56</f>
        <v>220081.9</v>
      </c>
      <c r="D13" s="17"/>
      <c r="E13" s="37">
        <f>'rozpis pro rozpocet'!E56</f>
        <v>33318.228749945134</v>
      </c>
      <c r="F13" s="19">
        <f t="shared" si="0"/>
        <v>3.8779452880157425E-2</v>
      </c>
      <c r="G13" s="18"/>
      <c r="H13" s="561">
        <f t="shared" si="2"/>
        <v>220081.9</v>
      </c>
      <c r="I13" s="37">
        <f>'rozpis pro rozpocet'!H56</f>
        <v>400</v>
      </c>
      <c r="J13" s="17"/>
      <c r="K13" s="21"/>
      <c r="L13" s="538">
        <f t="shared" si="1"/>
        <v>400</v>
      </c>
      <c r="M13" s="20">
        <f t="shared" si="3"/>
        <v>400</v>
      </c>
      <c r="N13" s="20">
        <f t="shared" si="4"/>
        <v>0</v>
      </c>
      <c r="O13" s="18">
        <f t="shared" si="5"/>
        <v>0</v>
      </c>
      <c r="P13" s="548">
        <f t="shared" si="6"/>
        <v>33318.228749945134</v>
      </c>
      <c r="Q13" s="22">
        <f t="shared" si="7"/>
        <v>33318</v>
      </c>
      <c r="R13" s="65"/>
    </row>
    <row r="14" spans="1:18" x14ac:dyDescent="0.25">
      <c r="A14" s="729">
        <v>51</v>
      </c>
      <c r="B14" s="567" t="s">
        <v>14</v>
      </c>
      <c r="C14" s="35">
        <f>'rozpis pro rozpocet'!G57</f>
        <v>97923.3</v>
      </c>
      <c r="D14" s="17"/>
      <c r="E14" s="37">
        <f>'rozpis pro rozpocet'!E57</f>
        <v>6157.309303564125</v>
      </c>
      <c r="F14" s="19">
        <f t="shared" si="0"/>
        <v>7.1665600172852268E-3</v>
      </c>
      <c r="G14" s="18"/>
      <c r="H14" s="561">
        <f t="shared" si="2"/>
        <v>97923.3</v>
      </c>
      <c r="I14" s="37">
        <f>'rozpis pro rozpocet'!H57</f>
        <v>500</v>
      </c>
      <c r="J14" s="17"/>
      <c r="K14" s="21"/>
      <c r="L14" s="538">
        <f t="shared" si="1"/>
        <v>500</v>
      </c>
      <c r="M14" s="20">
        <f t="shared" si="3"/>
        <v>500</v>
      </c>
      <c r="N14" s="20">
        <f t="shared" si="4"/>
        <v>0</v>
      </c>
      <c r="O14" s="18">
        <f t="shared" si="5"/>
        <v>0</v>
      </c>
      <c r="P14" s="548">
        <f t="shared" si="6"/>
        <v>6157.309303564125</v>
      </c>
      <c r="Q14" s="22">
        <f t="shared" si="7"/>
        <v>6157</v>
      </c>
      <c r="R14" s="65"/>
    </row>
    <row r="15" spans="1:18" ht="12.6" thickBot="1" x14ac:dyDescent="0.3">
      <c r="A15" s="730">
        <v>56</v>
      </c>
      <c r="B15" s="568" t="s">
        <v>15</v>
      </c>
      <c r="C15" s="35">
        <f>'rozpis pro rozpocet'!G58</f>
        <v>118931</v>
      </c>
      <c r="D15" s="23"/>
      <c r="E15" s="37">
        <f>'rozpis pro rozpocet'!E58</f>
        <v>23204.22782650224</v>
      </c>
      <c r="F15" s="25">
        <f t="shared" si="0"/>
        <v>2.7007655970300137E-2</v>
      </c>
      <c r="G15" s="24"/>
      <c r="H15" s="562">
        <f t="shared" si="2"/>
        <v>118931</v>
      </c>
      <c r="I15" s="37">
        <f>'rozpis pro rozpocet'!H58</f>
        <v>0</v>
      </c>
      <c r="J15" s="23"/>
      <c r="K15" s="27"/>
      <c r="L15" s="539">
        <f t="shared" si="1"/>
        <v>0</v>
      </c>
      <c r="M15" s="20">
        <f t="shared" si="3"/>
        <v>0</v>
      </c>
      <c r="N15" s="26">
        <f t="shared" si="4"/>
        <v>0</v>
      </c>
      <c r="O15" s="24">
        <f t="shared" si="5"/>
        <v>0</v>
      </c>
      <c r="P15" s="549">
        <f t="shared" si="6"/>
        <v>23204.22782650224</v>
      </c>
      <c r="Q15" s="22">
        <f t="shared" si="7"/>
        <v>23204</v>
      </c>
      <c r="R15" s="65"/>
    </row>
    <row r="16" spans="1:18" ht="13.5" customHeight="1" thickBot="1" x14ac:dyDescent="0.3">
      <c r="A16" s="1761" t="s">
        <v>286</v>
      </c>
      <c r="B16" s="1762"/>
      <c r="C16" s="29">
        <f>SUM(C6:C15)</f>
        <v>1818039.9999999998</v>
      </c>
      <c r="D16" s="30">
        <f t="shared" ref="D16:P16" si="8">SUM(D6:D15)</f>
        <v>0</v>
      </c>
      <c r="E16" s="30">
        <f t="shared" si="8"/>
        <v>733407.70733265381</v>
      </c>
      <c r="F16" s="31">
        <f t="shared" si="8"/>
        <v>0.85362129667525499</v>
      </c>
      <c r="G16" s="30">
        <f t="shared" si="8"/>
        <v>0</v>
      </c>
      <c r="H16" s="563">
        <f t="shared" si="8"/>
        <v>1818039.9999999998</v>
      </c>
      <c r="I16" s="30">
        <f t="shared" si="8"/>
        <v>71216</v>
      </c>
      <c r="J16" s="30">
        <f t="shared" si="8"/>
        <v>0</v>
      </c>
      <c r="K16" s="30">
        <f t="shared" si="8"/>
        <v>0</v>
      </c>
      <c r="L16" s="540">
        <f t="shared" si="8"/>
        <v>71216</v>
      </c>
      <c r="M16" s="32">
        <f t="shared" si="8"/>
        <v>71216</v>
      </c>
      <c r="N16" s="32">
        <f t="shared" si="8"/>
        <v>0</v>
      </c>
      <c r="O16" s="30">
        <f t="shared" si="8"/>
        <v>0</v>
      </c>
      <c r="P16" s="550">
        <f t="shared" si="8"/>
        <v>733407.70733265381</v>
      </c>
      <c r="Q16" s="33">
        <f>SUM(Q6:Q15)</f>
        <v>733407</v>
      </c>
      <c r="R16" s="65"/>
    </row>
    <row r="17" spans="1:18" x14ac:dyDescent="0.25">
      <c r="A17" s="731">
        <v>71</v>
      </c>
      <c r="B17" s="732" t="s">
        <v>178</v>
      </c>
      <c r="C17" s="35">
        <f>'rozpis pro rozpocet'!G60</f>
        <v>0</v>
      </c>
      <c r="D17" s="36"/>
      <c r="E17" s="18">
        <f>'rozpis pro rozpocet'!E60</f>
        <v>125764.51598134039</v>
      </c>
      <c r="F17" s="38">
        <f>E17/SUM($E$6:$E$15,$E$17)</f>
        <v>0.14637870332474462</v>
      </c>
      <c r="G17" s="37">
        <f>-D29</f>
        <v>15900</v>
      </c>
      <c r="H17" s="564">
        <f t="shared" si="2"/>
        <v>15900</v>
      </c>
      <c r="I17" s="37">
        <f>'rozpis pro rozpocet'!H60</f>
        <v>0</v>
      </c>
      <c r="J17" s="36"/>
      <c r="K17" s="1576">
        <f>-J29</f>
        <v>6005</v>
      </c>
      <c r="L17" s="541">
        <f>I17+K17</f>
        <v>6005</v>
      </c>
      <c r="M17" s="20">
        <f>I17+J17</f>
        <v>0</v>
      </c>
      <c r="N17" s="39">
        <f t="shared" ref="N17:N32" si="9">L17-M17</f>
        <v>6005</v>
      </c>
      <c r="O17" s="37">
        <f t="shared" ref="O17:O28" si="10">-D17-G17-J17-K17</f>
        <v>-21905</v>
      </c>
      <c r="P17" s="551">
        <f t="shared" ref="P17:P28" si="11">O17+E17</f>
        <v>103859.51598134039</v>
      </c>
      <c r="Q17" s="41">
        <f>TRUNC(ROUND(P17,0),0)</f>
        <v>103860</v>
      </c>
      <c r="R17" s="65"/>
    </row>
    <row r="18" spans="1:18" x14ac:dyDescent="0.25">
      <c r="A18" s="731">
        <v>79</v>
      </c>
      <c r="B18" s="732" t="s">
        <v>239</v>
      </c>
      <c r="C18" s="35">
        <f>'rozpis pro rozpocet'!G61</f>
        <v>0</v>
      </c>
      <c r="D18" s="36"/>
      <c r="E18" s="18">
        <f>'rozpis pro rozpocet'!E61</f>
        <v>0</v>
      </c>
      <c r="F18" s="38"/>
      <c r="G18" s="37"/>
      <c r="H18" s="561">
        <f>C18+G18+D18</f>
        <v>0</v>
      </c>
      <c r="I18" s="37">
        <f>'rozpis pro rozpocet'!H61</f>
        <v>0</v>
      </c>
      <c r="J18" s="37"/>
      <c r="K18" s="40"/>
      <c r="L18" s="538">
        <f t="shared" ref="L18:L28" si="12">I18+K18+J18</f>
        <v>0</v>
      </c>
      <c r="M18" s="20">
        <f>I18+J18</f>
        <v>0</v>
      </c>
      <c r="N18" s="39">
        <f t="shared" si="9"/>
        <v>0</v>
      </c>
      <c r="O18" s="18">
        <f>-D18-G18-J18-K18</f>
        <v>0</v>
      </c>
      <c r="P18" s="548">
        <f t="shared" si="11"/>
        <v>0</v>
      </c>
      <c r="Q18" s="41">
        <f t="shared" ref="Q18:Q28" si="13">TRUNC(ROUND(P18,0),0)</f>
        <v>0</v>
      </c>
      <c r="R18" s="65"/>
    </row>
    <row r="19" spans="1:18" x14ac:dyDescent="0.25">
      <c r="A19" s="733">
        <v>81</v>
      </c>
      <c r="B19" s="734" t="s">
        <v>68</v>
      </c>
      <c r="C19" s="35">
        <f>'rozpis pro rozpocet'!G62</f>
        <v>0</v>
      </c>
      <c r="D19" s="17"/>
      <c r="E19" s="18">
        <f>'rozpis pro rozpocet'!E62</f>
        <v>0</v>
      </c>
      <c r="F19" s="19"/>
      <c r="G19" s="18"/>
      <c r="H19" s="561">
        <f t="shared" si="2"/>
        <v>0</v>
      </c>
      <c r="I19" s="37">
        <f>'rozpis pro rozpocet'!H62</f>
        <v>0</v>
      </c>
      <c r="J19" s="17"/>
      <c r="K19" s="17"/>
      <c r="L19" s="538">
        <f t="shared" si="12"/>
        <v>0</v>
      </c>
      <c r="M19" s="20">
        <f>I19+J19</f>
        <v>0</v>
      </c>
      <c r="N19" s="20">
        <f t="shared" si="9"/>
        <v>0</v>
      </c>
      <c r="O19" s="18">
        <f t="shared" si="10"/>
        <v>0</v>
      </c>
      <c r="P19" s="548">
        <f t="shared" si="11"/>
        <v>0</v>
      </c>
      <c r="Q19" s="41">
        <f t="shared" si="13"/>
        <v>0</v>
      </c>
      <c r="R19" s="65"/>
    </row>
    <row r="20" spans="1:18" x14ac:dyDescent="0.25">
      <c r="A20" s="733">
        <v>82</v>
      </c>
      <c r="B20" s="734" t="s">
        <v>1</v>
      </c>
      <c r="C20" s="35">
        <f>'rozpis pro rozpocet'!G63</f>
        <v>0</v>
      </c>
      <c r="D20" s="17"/>
      <c r="E20" s="18">
        <f>'rozpis pro rozpocet'!E63</f>
        <v>0</v>
      </c>
      <c r="F20" s="19"/>
      <c r="G20" s="18"/>
      <c r="H20" s="561">
        <f t="shared" si="2"/>
        <v>0</v>
      </c>
      <c r="I20" s="37">
        <f>'rozpis pro rozpocet'!H63</f>
        <v>9595</v>
      </c>
      <c r="J20" s="17"/>
      <c r="K20" s="17"/>
      <c r="L20" s="538">
        <f t="shared" si="12"/>
        <v>9595</v>
      </c>
      <c r="M20" s="20">
        <f>I20+J20</f>
        <v>9595</v>
      </c>
      <c r="N20" s="20">
        <f t="shared" si="9"/>
        <v>0</v>
      </c>
      <c r="O20" s="18">
        <f t="shared" si="10"/>
        <v>0</v>
      </c>
      <c r="P20" s="548">
        <f t="shared" si="11"/>
        <v>0</v>
      </c>
      <c r="Q20" s="41">
        <f t="shared" si="13"/>
        <v>0</v>
      </c>
      <c r="R20" s="65"/>
    </row>
    <row r="21" spans="1:18" x14ac:dyDescent="0.25">
      <c r="A21" s="733">
        <v>83</v>
      </c>
      <c r="B21" s="734" t="s">
        <v>79</v>
      </c>
      <c r="C21" s="35">
        <f>'rozpis pro rozpocet'!G64</f>
        <v>6500</v>
      </c>
      <c r="D21" s="17"/>
      <c r="E21" s="18">
        <f>'rozpis pro rozpocet'!E64</f>
        <v>0</v>
      </c>
      <c r="F21" s="19"/>
      <c r="G21" s="18"/>
      <c r="H21" s="561">
        <f t="shared" si="2"/>
        <v>6500</v>
      </c>
      <c r="I21" s="37">
        <f>'rozpis pro rozpocet'!H64</f>
        <v>2000</v>
      </c>
      <c r="J21" s="17"/>
      <c r="K21" s="17"/>
      <c r="L21" s="538">
        <f t="shared" si="12"/>
        <v>2000</v>
      </c>
      <c r="M21" s="20">
        <f t="shared" ref="M21:M28" si="14">I21+J21</f>
        <v>2000</v>
      </c>
      <c r="N21" s="20">
        <f t="shared" si="9"/>
        <v>0</v>
      </c>
      <c r="O21" s="18">
        <f t="shared" si="10"/>
        <v>0</v>
      </c>
      <c r="P21" s="548">
        <f t="shared" si="11"/>
        <v>0</v>
      </c>
      <c r="Q21" s="41">
        <f t="shared" si="13"/>
        <v>0</v>
      </c>
      <c r="R21" s="65"/>
    </row>
    <row r="22" spans="1:18" x14ac:dyDescent="0.25">
      <c r="A22" s="733">
        <v>84</v>
      </c>
      <c r="B22" s="734" t="s">
        <v>78</v>
      </c>
      <c r="C22" s="35">
        <f>'rozpis pro rozpocet'!G65</f>
        <v>1000</v>
      </c>
      <c r="D22" s="17"/>
      <c r="E22" s="18">
        <f>'rozpis pro rozpocet'!E65</f>
        <v>580.79999999999995</v>
      </c>
      <c r="F22" s="19"/>
      <c r="G22" s="17"/>
      <c r="H22" s="561">
        <f t="shared" si="2"/>
        <v>1000</v>
      </c>
      <c r="I22" s="37">
        <f>'rozpis pro rozpocet'!H65</f>
        <v>0</v>
      </c>
      <c r="J22" s="17"/>
      <c r="K22" s="17"/>
      <c r="L22" s="538">
        <f t="shared" si="12"/>
        <v>0</v>
      </c>
      <c r="M22" s="20">
        <f t="shared" si="14"/>
        <v>0</v>
      </c>
      <c r="N22" s="20">
        <f t="shared" si="9"/>
        <v>0</v>
      </c>
      <c r="O22" s="18">
        <f t="shared" si="10"/>
        <v>0</v>
      </c>
      <c r="P22" s="548">
        <f t="shared" si="11"/>
        <v>580.79999999999995</v>
      </c>
      <c r="Q22" s="41">
        <f t="shared" si="13"/>
        <v>581</v>
      </c>
      <c r="R22" s="65"/>
    </row>
    <row r="23" spans="1:18" x14ac:dyDescent="0.25">
      <c r="A23" s="733">
        <v>85</v>
      </c>
      <c r="B23" s="734" t="s">
        <v>95</v>
      </c>
      <c r="C23" s="35">
        <f>'rozpis pro rozpocet'!G66</f>
        <v>368.1</v>
      </c>
      <c r="D23" s="17"/>
      <c r="E23" s="18">
        <f>'rozpis pro rozpocet'!E66</f>
        <v>1793</v>
      </c>
      <c r="F23" s="19"/>
      <c r="G23" s="17"/>
      <c r="H23" s="561">
        <f t="shared" si="2"/>
        <v>368.1</v>
      </c>
      <c r="I23" s="37">
        <f>'rozpis pro rozpocet'!H66</f>
        <v>0</v>
      </c>
      <c r="J23" s="17"/>
      <c r="K23" s="17"/>
      <c r="L23" s="538">
        <f t="shared" si="12"/>
        <v>0</v>
      </c>
      <c r="M23" s="20">
        <f t="shared" si="14"/>
        <v>0</v>
      </c>
      <c r="N23" s="20">
        <f t="shared" si="9"/>
        <v>0</v>
      </c>
      <c r="O23" s="18">
        <f t="shared" si="10"/>
        <v>0</v>
      </c>
      <c r="P23" s="548">
        <f t="shared" si="11"/>
        <v>1793</v>
      </c>
      <c r="Q23" s="41">
        <f t="shared" si="13"/>
        <v>1793</v>
      </c>
      <c r="R23" s="65"/>
    </row>
    <row r="24" spans="1:18" x14ac:dyDescent="0.25">
      <c r="A24" s="733">
        <v>87</v>
      </c>
      <c r="B24" s="734" t="s">
        <v>122</v>
      </c>
      <c r="C24" s="35">
        <f>'rozpis pro rozpocet'!G67</f>
        <v>7900</v>
      </c>
      <c r="D24" s="206">
        <f>-'Plánované náklady z DKRVO'!C18</f>
        <v>-7900</v>
      </c>
      <c r="E24" s="18">
        <f>'rozpis pro rozpocet'!E67</f>
        <v>18.600000000000001</v>
      </c>
      <c r="F24" s="19"/>
      <c r="G24" s="17"/>
      <c r="H24" s="561">
        <f>C24+G24+D24</f>
        <v>0</v>
      </c>
      <c r="I24" s="37">
        <f>'rozpis pro rozpocet'!H67</f>
        <v>1260</v>
      </c>
      <c r="J24" s="18">
        <f>-('Plánované náklady z DKRVO'!C16+'Plánované náklady z DKRVO'!C17)</f>
        <v>-1260</v>
      </c>
      <c r="K24" s="18"/>
      <c r="L24" s="538">
        <f t="shared" si="12"/>
        <v>0</v>
      </c>
      <c r="M24" s="20">
        <f t="shared" si="14"/>
        <v>0</v>
      </c>
      <c r="N24" s="20">
        <f t="shared" si="9"/>
        <v>0</v>
      </c>
      <c r="O24" s="18">
        <f>-D24-G24-J24-K24</f>
        <v>9160</v>
      </c>
      <c r="P24" s="548">
        <f t="shared" si="11"/>
        <v>9178.6</v>
      </c>
      <c r="Q24" s="41">
        <f t="shared" si="13"/>
        <v>9179</v>
      </c>
      <c r="R24" s="65"/>
    </row>
    <row r="25" spans="1:18" x14ac:dyDescent="0.25">
      <c r="A25" s="733">
        <v>92</v>
      </c>
      <c r="B25" s="734" t="s">
        <v>17</v>
      </c>
      <c r="C25" s="35">
        <f>'rozpis pro rozpocet'!G68</f>
        <v>112952</v>
      </c>
      <c r="D25" s="206">
        <v>0</v>
      </c>
      <c r="E25" s="18">
        <f>'rozpis pro rozpocet'!E68</f>
        <v>7701.0482413001737</v>
      </c>
      <c r="F25" s="19"/>
      <c r="G25" s="17"/>
      <c r="H25" s="561">
        <f t="shared" si="2"/>
        <v>112952</v>
      </c>
      <c r="I25" s="37">
        <f>'rozpis pro rozpocet'!H68</f>
        <v>63660</v>
      </c>
      <c r="J25" s="18">
        <v>0</v>
      </c>
      <c r="K25" s="18"/>
      <c r="L25" s="538">
        <f t="shared" si="12"/>
        <v>63660</v>
      </c>
      <c r="M25" s="20">
        <f t="shared" si="14"/>
        <v>63660</v>
      </c>
      <c r="N25" s="20">
        <f t="shared" si="9"/>
        <v>0</v>
      </c>
      <c r="O25" s="18">
        <f t="shared" si="10"/>
        <v>0</v>
      </c>
      <c r="P25" s="548">
        <f>O25+E25</f>
        <v>7701.0482413001737</v>
      </c>
      <c r="Q25" s="41">
        <f t="shared" si="13"/>
        <v>7701</v>
      </c>
      <c r="R25" s="65"/>
    </row>
    <row r="26" spans="1:18" x14ac:dyDescent="0.25">
      <c r="A26" s="733">
        <v>96</v>
      </c>
      <c r="B26" s="734" t="s">
        <v>23</v>
      </c>
      <c r="C26" s="35">
        <f>'rozpis pro rozpocet'!G69</f>
        <v>42899.999999999993</v>
      </c>
      <c r="D26" s="206"/>
      <c r="E26" s="18">
        <f>'rozpis pro rozpocet'!E69</f>
        <v>897.2</v>
      </c>
      <c r="F26" s="19"/>
      <c r="G26" s="17"/>
      <c r="H26" s="561">
        <f t="shared" si="2"/>
        <v>42899.999999999993</v>
      </c>
      <c r="I26" s="37">
        <f>'rozpis pro rozpocet'!H69</f>
        <v>0</v>
      </c>
      <c r="J26" s="17"/>
      <c r="K26" s="17"/>
      <c r="L26" s="538">
        <f t="shared" si="12"/>
        <v>0</v>
      </c>
      <c r="M26" s="20">
        <f t="shared" si="14"/>
        <v>0</v>
      </c>
      <c r="N26" s="20">
        <f t="shared" si="9"/>
        <v>0</v>
      </c>
      <c r="O26" s="18">
        <f t="shared" si="10"/>
        <v>0</v>
      </c>
      <c r="P26" s="548">
        <f t="shared" si="11"/>
        <v>897.2</v>
      </c>
      <c r="Q26" s="41">
        <f t="shared" si="13"/>
        <v>897</v>
      </c>
      <c r="R26" s="65"/>
    </row>
    <row r="27" spans="1:18" x14ac:dyDescent="0.25">
      <c r="A27" s="733">
        <v>97</v>
      </c>
      <c r="B27" s="734" t="s">
        <v>24</v>
      </c>
      <c r="C27" s="35">
        <f>'rozpis pro rozpocet'!G70</f>
        <v>13200</v>
      </c>
      <c r="D27" s="206"/>
      <c r="E27" s="18">
        <f>'rozpis pro rozpocet'!E70</f>
        <v>0</v>
      </c>
      <c r="F27" s="19"/>
      <c r="G27" s="17"/>
      <c r="H27" s="561">
        <f>C27+G27+D27</f>
        <v>13200</v>
      </c>
      <c r="I27" s="37">
        <f>'rozpis pro rozpocet'!H70</f>
        <v>0</v>
      </c>
      <c r="J27" s="18"/>
      <c r="K27" s="17"/>
      <c r="L27" s="538">
        <f t="shared" si="12"/>
        <v>0</v>
      </c>
      <c r="M27" s="20">
        <f t="shared" si="14"/>
        <v>0</v>
      </c>
      <c r="N27" s="20">
        <f t="shared" si="9"/>
        <v>0</v>
      </c>
      <c r="O27" s="18">
        <f t="shared" si="10"/>
        <v>0</v>
      </c>
      <c r="P27" s="548">
        <f t="shared" si="11"/>
        <v>0</v>
      </c>
      <c r="Q27" s="41">
        <f t="shared" si="13"/>
        <v>0</v>
      </c>
      <c r="R27" s="65"/>
    </row>
    <row r="28" spans="1:18" ht="12.6" thickBot="1" x14ac:dyDescent="0.3">
      <c r="A28" s="735">
        <v>99</v>
      </c>
      <c r="B28" s="736" t="s">
        <v>81</v>
      </c>
      <c r="C28" s="35">
        <f>'rozpis pro rozpocet'!G71</f>
        <v>89755.992000000319</v>
      </c>
      <c r="D28" s="1128">
        <f>-'Plánované náklady z DKRVO'!C9</f>
        <v>-8000</v>
      </c>
      <c r="E28" s="18">
        <f>'rozpis pro rozpocet'!E71</f>
        <v>62000</v>
      </c>
      <c r="F28" s="25"/>
      <c r="G28" s="23"/>
      <c r="H28" s="562">
        <f t="shared" si="2"/>
        <v>81755.992000000319</v>
      </c>
      <c r="I28" s="37">
        <f>'rozpis pro rozpocet'!H71</f>
        <v>107172</v>
      </c>
      <c r="J28" s="24">
        <f>-('Plánované náklady z DKRVO'!C7+'Plánované náklady z DKRVO'!C8+'Plánované náklady z DKRVO'!C10)</f>
        <v>-4745</v>
      </c>
      <c r="K28" s="24"/>
      <c r="L28" s="539">
        <f t="shared" si="12"/>
        <v>102427</v>
      </c>
      <c r="M28" s="20">
        <f t="shared" si="14"/>
        <v>102427</v>
      </c>
      <c r="N28" s="26">
        <f t="shared" si="9"/>
        <v>0</v>
      </c>
      <c r="O28" s="24">
        <f t="shared" si="10"/>
        <v>12745</v>
      </c>
      <c r="P28" s="549">
        <f t="shared" si="11"/>
        <v>74745</v>
      </c>
      <c r="Q28" s="41">
        <f t="shared" si="13"/>
        <v>74745</v>
      </c>
      <c r="R28" s="65"/>
    </row>
    <row r="29" spans="1:18" ht="13.5" customHeight="1" thickBot="1" x14ac:dyDescent="0.3">
      <c r="A29" s="1763" t="s">
        <v>287</v>
      </c>
      <c r="B29" s="1764"/>
      <c r="C29" s="43">
        <f t="shared" ref="C29:I29" si="15">SUM(C17:C28)</f>
        <v>274576.0920000003</v>
      </c>
      <c r="D29" s="44">
        <f t="shared" si="15"/>
        <v>-15900</v>
      </c>
      <c r="E29" s="44">
        <f t="shared" si="15"/>
        <v>198755.16422264057</v>
      </c>
      <c r="F29" s="45">
        <f t="shared" si="15"/>
        <v>0.14637870332474462</v>
      </c>
      <c r="G29" s="44">
        <f t="shared" si="15"/>
        <v>15900</v>
      </c>
      <c r="H29" s="565">
        <f t="shared" si="15"/>
        <v>274576.0920000003</v>
      </c>
      <c r="I29" s="44">
        <f t="shared" si="15"/>
        <v>183687</v>
      </c>
      <c r="J29" s="44">
        <f t="shared" ref="J29:P29" si="16">SUM(J17:J28)</f>
        <v>-6005</v>
      </c>
      <c r="K29" s="44">
        <f t="shared" si="16"/>
        <v>6005</v>
      </c>
      <c r="L29" s="542">
        <f t="shared" si="16"/>
        <v>183687</v>
      </c>
      <c r="M29" s="46">
        <f t="shared" si="16"/>
        <v>177682</v>
      </c>
      <c r="N29" s="46">
        <f t="shared" si="16"/>
        <v>6005</v>
      </c>
      <c r="O29" s="44">
        <f t="shared" si="16"/>
        <v>0</v>
      </c>
      <c r="P29" s="552">
        <f t="shared" si="16"/>
        <v>198755.16422264057</v>
      </c>
      <c r="Q29" s="47">
        <f>SUM(Q17:Q28)</f>
        <v>198756</v>
      </c>
      <c r="R29" s="65"/>
    </row>
    <row r="30" spans="1:18" x14ac:dyDescent="0.25">
      <c r="A30" s="737" t="s">
        <v>514</v>
      </c>
      <c r="B30" s="738"/>
      <c r="C30" s="35">
        <f t="shared" ref="C30:P30" si="17">C16+C17</f>
        <v>1818039.9999999998</v>
      </c>
      <c r="D30" s="37">
        <f t="shared" si="17"/>
        <v>0</v>
      </c>
      <c r="E30" s="37">
        <f t="shared" si="17"/>
        <v>859172.22331399424</v>
      </c>
      <c r="F30" s="38">
        <f t="shared" si="17"/>
        <v>0.99999999999999956</v>
      </c>
      <c r="G30" s="37">
        <f t="shared" si="17"/>
        <v>15900</v>
      </c>
      <c r="H30" s="564">
        <f t="shared" si="17"/>
        <v>1833939.9999999998</v>
      </c>
      <c r="I30" s="37">
        <f t="shared" si="17"/>
        <v>71216</v>
      </c>
      <c r="J30" s="37">
        <f t="shared" si="17"/>
        <v>0</v>
      </c>
      <c r="K30" s="37">
        <f t="shared" si="17"/>
        <v>6005</v>
      </c>
      <c r="L30" s="541">
        <f t="shared" si="17"/>
        <v>77221</v>
      </c>
      <c r="M30" s="39">
        <f t="shared" si="17"/>
        <v>71216</v>
      </c>
      <c r="N30" s="20">
        <f t="shared" si="9"/>
        <v>6005</v>
      </c>
      <c r="O30" s="37">
        <f t="shared" si="17"/>
        <v>-21905</v>
      </c>
      <c r="P30" s="551">
        <f t="shared" si="17"/>
        <v>837267.22331399424</v>
      </c>
      <c r="Q30" s="551">
        <f>Q16+Q17</f>
        <v>837267</v>
      </c>
      <c r="R30" s="65"/>
    </row>
    <row r="31" spans="1:18" x14ac:dyDescent="0.25">
      <c r="A31" s="737" t="s">
        <v>265</v>
      </c>
      <c r="B31" s="738"/>
      <c r="C31" s="49"/>
      <c r="D31" s="17"/>
      <c r="E31" s="17"/>
      <c r="F31" s="19"/>
      <c r="G31" s="17"/>
      <c r="H31" s="561"/>
      <c r="I31" s="18">
        <f>'rozpis pro rozpocet'!H73</f>
        <v>88000</v>
      </c>
      <c r="J31" s="17"/>
      <c r="K31" s="17"/>
      <c r="L31" s="538">
        <f>I31+K31</f>
        <v>88000</v>
      </c>
      <c r="M31" s="20">
        <f>L31</f>
        <v>88000</v>
      </c>
      <c r="N31" s="20">
        <f t="shared" si="9"/>
        <v>0</v>
      </c>
      <c r="O31" s="18">
        <f>G31+K31</f>
        <v>0</v>
      </c>
      <c r="P31" s="548">
        <f>O31+E31</f>
        <v>0</v>
      </c>
      <c r="Q31" s="22"/>
      <c r="R31" s="65"/>
    </row>
    <row r="32" spans="1:18" ht="12.6" thickBot="1" x14ac:dyDescent="0.3">
      <c r="A32" s="737" t="s">
        <v>32</v>
      </c>
      <c r="B32" s="738"/>
      <c r="C32" s="50"/>
      <c r="D32" s="23"/>
      <c r="E32" s="23"/>
      <c r="F32" s="25"/>
      <c r="G32" s="23"/>
      <c r="H32" s="562"/>
      <c r="I32" s="24">
        <f>'rozpis pro rozpocet'!I71</f>
        <v>15000</v>
      </c>
      <c r="J32" s="23"/>
      <c r="K32" s="23"/>
      <c r="L32" s="539">
        <f>I32</f>
        <v>15000</v>
      </c>
      <c r="M32" s="26">
        <f>L32</f>
        <v>15000</v>
      </c>
      <c r="N32" s="20">
        <f t="shared" si="9"/>
        <v>0</v>
      </c>
      <c r="O32" s="24"/>
      <c r="P32" s="549"/>
      <c r="Q32" s="28"/>
      <c r="R32" s="65"/>
    </row>
    <row r="33" spans="1:18" ht="12.6" thickBot="1" x14ac:dyDescent="0.3">
      <c r="A33" s="51" t="s">
        <v>70</v>
      </c>
      <c r="B33" s="739"/>
      <c r="C33" s="43">
        <f t="shared" ref="C33:H33" si="18">C16+C29+C31</f>
        <v>2092616.0920000002</v>
      </c>
      <c r="D33" s="44">
        <f t="shared" si="18"/>
        <v>-15900</v>
      </c>
      <c r="E33" s="44">
        <f>E16+E29+E31</f>
        <v>932162.87155529438</v>
      </c>
      <c r="F33" s="45">
        <f t="shared" si="18"/>
        <v>0.99999999999999956</v>
      </c>
      <c r="G33" s="44">
        <f t="shared" si="18"/>
        <v>15900</v>
      </c>
      <c r="H33" s="565">
        <f t="shared" si="18"/>
        <v>2092616.0920000002</v>
      </c>
      <c r="I33" s="44">
        <f>I16+I29+I31+I32</f>
        <v>357903</v>
      </c>
      <c r="J33" s="44">
        <f>J16+J29+J31+J32</f>
        <v>-6005</v>
      </c>
      <c r="K33" s="44">
        <f t="shared" ref="K33:P33" si="19">K16+K29+K31+K32</f>
        <v>6005</v>
      </c>
      <c r="L33" s="542">
        <f>L16+L29+L31+L32</f>
        <v>357903</v>
      </c>
      <c r="M33" s="46">
        <f t="shared" si="19"/>
        <v>351898</v>
      </c>
      <c r="N33" s="46">
        <f>N16+N31+N29+N32</f>
        <v>6005</v>
      </c>
      <c r="O33" s="44">
        <f t="shared" si="19"/>
        <v>0</v>
      </c>
      <c r="P33" s="552">
        <f t="shared" si="19"/>
        <v>932162.87155529438</v>
      </c>
      <c r="Q33" s="47">
        <f>Q16+Q29+Q31+Q32</f>
        <v>932163</v>
      </c>
      <c r="R33" s="65"/>
    </row>
    <row r="34" spans="1:18" ht="12.6" thickBot="1" x14ac:dyDescent="0.3">
      <c r="B34" s="52"/>
      <c r="C34" s="824">
        <f>'rozpis pro rozpocet'!G74</f>
        <v>2092616.0920000002</v>
      </c>
      <c r="D34" s="53"/>
      <c r="E34" s="825">
        <f>'rozpis pro rozpocet'!E74</f>
        <v>932162.87155529438</v>
      </c>
      <c r="F34" s="53"/>
      <c r="G34" s="53"/>
      <c r="H34" s="53"/>
      <c r="I34" s="825">
        <f>'rozpis pro rozpocet'!H74+I32</f>
        <v>357903</v>
      </c>
      <c r="J34" s="53"/>
      <c r="K34" s="54"/>
      <c r="L34" s="54"/>
      <c r="M34" s="54"/>
      <c r="N34" s="825">
        <f>'Plánované náklady z DKRVO'!C7+'Plánované náklady z DKRVO'!C8+'Plánované náklady z DKRVO'!C10+'Plánované náklady z DKRVO'!C16+'Plánované náklady z DKRVO'!C17</f>
        <v>6005</v>
      </c>
      <c r="O34" s="55">
        <f>G34+K34</f>
        <v>0</v>
      </c>
      <c r="P34" s="56">
        <f>O34+E34</f>
        <v>932162.87155529438</v>
      </c>
      <c r="Q34" s="56"/>
      <c r="R34" s="65"/>
    </row>
    <row r="35" spans="1:18" x14ac:dyDescent="0.25">
      <c r="E35" s="65"/>
      <c r="I35" s="823">
        <f>C34+I34</f>
        <v>2450519.0920000002</v>
      </c>
      <c r="Q35" s="65"/>
    </row>
    <row r="36" spans="1:18" x14ac:dyDescent="0.25">
      <c r="A36" s="796" t="s">
        <v>285</v>
      </c>
      <c r="Q36" s="65"/>
    </row>
    <row r="38" spans="1:18" x14ac:dyDescent="0.25">
      <c r="H38" s="610"/>
    </row>
    <row r="39" spans="1:18" x14ac:dyDescent="0.25">
      <c r="H39" s="610"/>
    </row>
  </sheetData>
  <mergeCells count="9">
    <mergeCell ref="M2:N3"/>
    <mergeCell ref="A16:B16"/>
    <mergeCell ref="A29:B29"/>
    <mergeCell ref="D2:D3"/>
    <mergeCell ref="G2:G3"/>
    <mergeCell ref="J2:J3"/>
    <mergeCell ref="K2:K3"/>
    <mergeCell ref="A5:B5"/>
    <mergeCell ref="A2:B4"/>
  </mergeCells>
  <pageMargins left="0.70866141732283472" right="0.70866141732283472" top="0.78740157480314965" bottom="0.78740157480314965" header="0.31496062992125984" footer="0.31496062992125984"/>
  <pageSetup paperSize="9" scale="81" orientation="landscape" r:id="rId1"/>
  <headerFooter differentFirst="1" scaleWithDoc="0" alignWithMargins="0">
    <oddFooter>&amp;C&amp;9 7</oddFooter>
    <firstFooter>&amp;C&amp;N+7</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ColWidth="9.33203125" defaultRowHeight="14.4" x14ac:dyDescent="0.3"/>
  <cols>
    <col min="1" max="1" width="21.21875" style="1152" customWidth="1"/>
    <col min="2" max="2" width="10.33203125" style="1152" customWidth="1"/>
    <col min="3" max="3" width="14" style="1152" customWidth="1"/>
    <col min="4" max="16384" width="9.33203125" style="1152"/>
  </cols>
  <sheetData>
    <row r="1" spans="1:3" ht="18" x14ac:dyDescent="0.35">
      <c r="A1" s="1151" t="s">
        <v>569</v>
      </c>
      <c r="B1" s="1151"/>
    </row>
    <row r="2" spans="1:3" x14ac:dyDescent="0.3">
      <c r="A2" s="1153" t="s">
        <v>505</v>
      </c>
      <c r="B2" s="1153"/>
    </row>
    <row r="3" spans="1:3" ht="15" thickBot="1" x14ac:dyDescent="0.35">
      <c r="A3" s="1154"/>
      <c r="B3" s="1154"/>
    </row>
    <row r="4" spans="1:3" ht="15" thickBot="1" x14ac:dyDescent="0.35">
      <c r="B4" s="1155" t="s">
        <v>506</v>
      </c>
      <c r="C4" s="1156">
        <f>C11+C19</f>
        <v>21905</v>
      </c>
    </row>
    <row r="5" spans="1:3" ht="16.2" thickBot="1" x14ac:dyDescent="0.35">
      <c r="A5" s="1157" t="s">
        <v>372</v>
      </c>
      <c r="B5" s="1157"/>
    </row>
    <row r="6" spans="1:3" x14ac:dyDescent="0.3">
      <c r="A6" s="1577" t="s">
        <v>368</v>
      </c>
      <c r="B6" s="1578" t="s">
        <v>509</v>
      </c>
      <c r="C6" s="1579" t="s">
        <v>507</v>
      </c>
    </row>
    <row r="7" spans="1:3" x14ac:dyDescent="0.3">
      <c r="A7" s="1580" t="s">
        <v>190</v>
      </c>
      <c r="B7" s="1581">
        <v>1112</v>
      </c>
      <c r="C7" s="1582">
        <v>1845</v>
      </c>
    </row>
    <row r="8" spans="1:3" x14ac:dyDescent="0.3">
      <c r="A8" s="1580" t="s">
        <v>508</v>
      </c>
      <c r="B8" s="1581">
        <v>1112</v>
      </c>
      <c r="C8" s="1582">
        <v>1700</v>
      </c>
    </row>
    <row r="9" spans="1:3" x14ac:dyDescent="0.3">
      <c r="A9" s="1580" t="s">
        <v>503</v>
      </c>
      <c r="B9" s="1581">
        <v>1111</v>
      </c>
      <c r="C9" s="1582">
        <v>8000</v>
      </c>
    </row>
    <row r="10" spans="1:3" x14ac:dyDescent="0.3">
      <c r="A10" s="1580" t="s">
        <v>637</v>
      </c>
      <c r="B10" s="1581">
        <v>1112</v>
      </c>
      <c r="C10" s="1582">
        <v>1200</v>
      </c>
    </row>
    <row r="11" spans="1:3" ht="15" thickBot="1" x14ac:dyDescent="0.35">
      <c r="A11" s="1583" t="s">
        <v>70</v>
      </c>
      <c r="B11" s="1584"/>
      <c r="C11" s="1585">
        <f>SUM(C7:C10)</f>
        <v>12745</v>
      </c>
    </row>
    <row r="12" spans="1:3" x14ac:dyDescent="0.3">
      <c r="A12" s="1158"/>
      <c r="B12" s="1158"/>
      <c r="C12" s="1158"/>
    </row>
    <row r="13" spans="1:3" x14ac:dyDescent="0.3">
      <c r="A13" s="1158"/>
      <c r="B13" s="1158"/>
      <c r="C13" s="1158"/>
    </row>
    <row r="14" spans="1:3" ht="16.2" thickBot="1" x14ac:dyDescent="0.35">
      <c r="A14" s="1157" t="s">
        <v>379</v>
      </c>
      <c r="B14" s="1157"/>
    </row>
    <row r="15" spans="1:3" x14ac:dyDescent="0.3">
      <c r="A15" s="1577" t="s">
        <v>640</v>
      </c>
      <c r="B15" s="1578" t="s">
        <v>509</v>
      </c>
      <c r="C15" s="1579" t="s">
        <v>507</v>
      </c>
    </row>
    <row r="16" spans="1:3" x14ac:dyDescent="0.3">
      <c r="A16" s="1580" t="s">
        <v>638</v>
      </c>
      <c r="B16" s="1581">
        <v>1112</v>
      </c>
      <c r="C16" s="1582">
        <v>630</v>
      </c>
    </row>
    <row r="17" spans="1:3" x14ac:dyDescent="0.3">
      <c r="A17" s="1580" t="s">
        <v>22</v>
      </c>
      <c r="B17" s="1581">
        <v>1112</v>
      </c>
      <c r="C17" s="1582">
        <v>630</v>
      </c>
    </row>
    <row r="18" spans="1:3" x14ac:dyDescent="0.3">
      <c r="A18" s="1580" t="s">
        <v>639</v>
      </c>
      <c r="B18" s="1581">
        <v>1111</v>
      </c>
      <c r="C18" s="1582">
        <v>7900</v>
      </c>
    </row>
    <row r="19" spans="1:3" ht="15" thickBot="1" x14ac:dyDescent="0.35">
      <c r="A19" s="1583" t="s">
        <v>70</v>
      </c>
      <c r="B19" s="1584"/>
      <c r="C19" s="1585">
        <f>SUM(C16:C18)</f>
        <v>9160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M50"/>
  <sheetViews>
    <sheetView showGridLines="0" zoomScale="99" zoomScaleNormal="99" workbookViewId="0"/>
  </sheetViews>
  <sheetFormatPr defaultColWidth="8.6640625" defaultRowHeight="13.8" x14ac:dyDescent="0.3"/>
  <cols>
    <col min="1" max="1" width="4.33203125" style="1" customWidth="1"/>
    <col min="2" max="2" width="7" style="1" customWidth="1"/>
    <col min="3" max="3" width="9.44140625" style="1" customWidth="1"/>
    <col min="4" max="4" width="5.6640625" style="1" customWidth="1"/>
    <col min="5" max="6" width="9.44140625" style="1" customWidth="1"/>
    <col min="7" max="7" width="5.6640625" style="1" customWidth="1"/>
    <col min="8" max="9" width="9.44140625" style="1" customWidth="1"/>
    <col min="10" max="10" width="5.6640625" style="1" customWidth="1"/>
    <col min="11" max="12" width="9.44140625" style="1" customWidth="1"/>
    <col min="13" max="13" width="5.6640625" style="1" customWidth="1"/>
    <col min="14" max="16" width="9.44140625" style="1" customWidth="1"/>
    <col min="17" max="17" width="8.33203125" style="1" customWidth="1"/>
    <col min="18" max="19" width="9.44140625" style="1" customWidth="1"/>
    <col min="20" max="20" width="8.33203125" style="1" customWidth="1"/>
    <col min="21" max="22" width="9.44140625" style="1" customWidth="1"/>
    <col min="23" max="23" width="5.6640625" style="1" customWidth="1"/>
    <col min="24" max="25" width="9.44140625" style="1" customWidth="1"/>
    <col min="26" max="26" width="5.6640625" style="1" customWidth="1"/>
    <col min="27" max="29" width="9.44140625" style="1" customWidth="1"/>
    <col min="30" max="30" width="5.6640625" style="1" customWidth="1"/>
    <col min="31" max="31" width="9.44140625" style="1" customWidth="1"/>
    <col min="32" max="32" width="9.5546875" style="1" customWidth="1"/>
    <col min="33" max="33" width="5.6640625" style="1" customWidth="1"/>
    <col min="34" max="37" width="8.6640625" style="1"/>
    <col min="38" max="38" width="9.44140625" style="1" bestFit="1" customWidth="1"/>
    <col min="39" max="16384" width="8.6640625" style="1"/>
  </cols>
  <sheetData>
    <row r="1" spans="1:35" s="126" customFormat="1" ht="15.6" x14ac:dyDescent="0.3">
      <c r="A1" s="590" t="s">
        <v>602</v>
      </c>
      <c r="K1" s="126" t="s">
        <v>301</v>
      </c>
      <c r="N1" s="591">
        <f>'str1'!H8</f>
        <v>572129.93484247837</v>
      </c>
      <c r="Q1" s="776" t="s">
        <v>289</v>
      </c>
      <c r="R1" s="585">
        <f>D3+G3+J3+O3+Q3+W3+Z3+AD3+AG3+T3</f>
        <v>1</v>
      </c>
      <c r="S1" s="585"/>
      <c r="T1" s="585"/>
      <c r="U1" s="585"/>
    </row>
    <row r="2" spans="1:35" ht="14.4" thickBot="1" x14ac:dyDescent="0.35">
      <c r="A2" s="58"/>
    </row>
    <row r="3" spans="1:35" ht="12.75" customHeight="1" x14ac:dyDescent="0.3">
      <c r="A3" s="1599"/>
      <c r="B3" s="1600"/>
      <c r="C3" s="147"/>
      <c r="D3" s="775">
        <v>0.30442634135192076</v>
      </c>
      <c r="E3" s="148"/>
      <c r="F3" s="147"/>
      <c r="G3" s="775">
        <v>5.5736586480792556E-3</v>
      </c>
      <c r="H3" s="148"/>
      <c r="I3" s="147"/>
      <c r="J3" s="775">
        <v>0.1</v>
      </c>
      <c r="K3" s="148"/>
      <c r="L3" s="150">
        <v>2.5</v>
      </c>
      <c r="M3" s="151">
        <v>1.5</v>
      </c>
      <c r="N3" s="152" t="s">
        <v>175</v>
      </c>
      <c r="O3" s="774">
        <v>0.04</v>
      </c>
      <c r="P3" s="149"/>
      <c r="Q3" s="775">
        <v>0.05</v>
      </c>
      <c r="R3" s="148"/>
      <c r="S3" s="149"/>
      <c r="T3" s="775">
        <v>0.05</v>
      </c>
      <c r="U3" s="1072"/>
      <c r="V3" s="149"/>
      <c r="W3" s="775">
        <v>0.1</v>
      </c>
      <c r="X3" s="1072"/>
      <c r="Y3" s="149"/>
      <c r="Z3" s="775">
        <v>0.03</v>
      </c>
      <c r="AA3" s="148"/>
      <c r="AB3" s="149"/>
      <c r="AC3" s="1525"/>
      <c r="AD3" s="775">
        <v>0.27</v>
      </c>
      <c r="AE3" s="148"/>
      <c r="AF3" s="149"/>
      <c r="AG3" s="775">
        <v>0.05</v>
      </c>
      <c r="AH3" s="148"/>
      <c r="AI3" s="1607" t="s">
        <v>290</v>
      </c>
    </row>
    <row r="4" spans="1:35" s="156" customFormat="1" ht="69.75" customHeight="1" x14ac:dyDescent="0.2">
      <c r="A4" s="1605" t="s">
        <v>483</v>
      </c>
      <c r="B4" s="1606"/>
      <c r="C4" s="153" t="s">
        <v>853</v>
      </c>
      <c r="D4" s="154" t="s">
        <v>21</v>
      </c>
      <c r="E4" s="155" t="s">
        <v>856</v>
      </c>
      <c r="F4" s="153" t="s">
        <v>465</v>
      </c>
      <c r="G4" s="154" t="s">
        <v>21</v>
      </c>
      <c r="H4" s="155" t="s">
        <v>464</v>
      </c>
      <c r="I4" s="153" t="s">
        <v>463</v>
      </c>
      <c r="J4" s="154" t="s">
        <v>21</v>
      </c>
      <c r="K4" s="155" t="s">
        <v>467</v>
      </c>
      <c r="L4" s="153" t="s">
        <v>205</v>
      </c>
      <c r="M4" s="154" t="s">
        <v>206</v>
      </c>
      <c r="N4" s="154" t="s">
        <v>175</v>
      </c>
      <c r="O4" s="155" t="s">
        <v>281</v>
      </c>
      <c r="P4" s="153" t="s">
        <v>854</v>
      </c>
      <c r="Q4" s="154" t="s">
        <v>21</v>
      </c>
      <c r="R4" s="155" t="s">
        <v>859</v>
      </c>
      <c r="S4" s="153" t="s">
        <v>479</v>
      </c>
      <c r="T4" s="154" t="s">
        <v>21</v>
      </c>
      <c r="U4" s="155" t="s">
        <v>480</v>
      </c>
      <c r="V4" s="153" t="s">
        <v>478</v>
      </c>
      <c r="W4" s="154" t="s">
        <v>21</v>
      </c>
      <c r="X4" s="155" t="s">
        <v>481</v>
      </c>
      <c r="Y4" s="153" t="s">
        <v>466</v>
      </c>
      <c r="Z4" s="154" t="s">
        <v>21</v>
      </c>
      <c r="AA4" s="155" t="s">
        <v>468</v>
      </c>
      <c r="AB4" s="153" t="s">
        <v>469</v>
      </c>
      <c r="AC4" s="1526" t="s">
        <v>858</v>
      </c>
      <c r="AD4" s="154" t="s">
        <v>21</v>
      </c>
      <c r="AE4" s="155" t="s">
        <v>470</v>
      </c>
      <c r="AF4" s="153" t="s">
        <v>857</v>
      </c>
      <c r="AG4" s="154" t="s">
        <v>21</v>
      </c>
      <c r="AH4" s="155" t="s">
        <v>860</v>
      </c>
      <c r="AI4" s="1608"/>
    </row>
    <row r="5" spans="1:35" s="156" customFormat="1" ht="10.8" thickBot="1" x14ac:dyDescent="0.25">
      <c r="A5" s="1090"/>
      <c r="B5" s="1091"/>
      <c r="C5" s="1092"/>
      <c r="D5" s="1093"/>
      <c r="E5" s="1094" t="s">
        <v>207</v>
      </c>
      <c r="F5" s="1092"/>
      <c r="G5" s="1093"/>
      <c r="H5" s="1094" t="s">
        <v>208</v>
      </c>
      <c r="I5" s="1092"/>
      <c r="J5" s="1093"/>
      <c r="K5" s="1094" t="s">
        <v>209</v>
      </c>
      <c r="L5" s="1092"/>
      <c r="M5" s="1093"/>
      <c r="N5" s="1093"/>
      <c r="O5" s="1094" t="s">
        <v>210</v>
      </c>
      <c r="P5" s="1092"/>
      <c r="Q5" s="1093"/>
      <c r="R5" s="1094" t="s">
        <v>211</v>
      </c>
      <c r="S5" s="1092"/>
      <c r="T5" s="1093"/>
      <c r="U5" s="1094" t="s">
        <v>212</v>
      </c>
      <c r="V5" s="1092"/>
      <c r="W5" s="1093"/>
      <c r="X5" s="1094" t="s">
        <v>213</v>
      </c>
      <c r="Y5" s="1092"/>
      <c r="Z5" s="1093"/>
      <c r="AA5" s="1094" t="s">
        <v>214</v>
      </c>
      <c r="AB5" s="1092"/>
      <c r="AC5" s="1527"/>
      <c r="AD5" s="1093"/>
      <c r="AE5" s="1094" t="s">
        <v>482</v>
      </c>
      <c r="AF5" s="1092"/>
      <c r="AG5" s="1093"/>
      <c r="AH5" s="1094" t="s">
        <v>282</v>
      </c>
      <c r="AI5" s="1095" t="s">
        <v>442</v>
      </c>
    </row>
    <row r="6" spans="1:35" x14ac:dyDescent="0.3">
      <c r="A6" s="157">
        <v>11</v>
      </c>
      <c r="B6" s="158" t="s">
        <v>7</v>
      </c>
      <c r="C6" s="1082">
        <v>91019.155254663405</v>
      </c>
      <c r="D6" s="1083">
        <f>C6/$C$18</f>
        <v>0.10728099374033102</v>
      </c>
      <c r="E6" s="1084">
        <f t="shared" ref="E6:E17" si="0">D6*$N$1*$D$3</f>
        <v>18685.283323658063</v>
      </c>
      <c r="F6" s="1082"/>
      <c r="G6" s="1083"/>
      <c r="H6" s="1084"/>
      <c r="I6" s="1082">
        <v>308021.09698999999</v>
      </c>
      <c r="J6" s="1083">
        <f>I6/$I$18</f>
        <v>0.19778802906379309</v>
      </c>
      <c r="K6" s="1084">
        <f>J6*$N$1*$J$3</f>
        <v>11316.045218089017</v>
      </c>
      <c r="L6" s="1082">
        <v>56.063750000000006</v>
      </c>
      <c r="M6" s="1085">
        <v>59.754583333333336</v>
      </c>
      <c r="N6" s="1086">
        <f t="shared" ref="N6:N17" si="1">L6*$L$3+M6*$M$3</f>
        <v>229.79125000000002</v>
      </c>
      <c r="O6" s="1084">
        <f t="shared" ref="O6:O17" si="2">N6/$N$18*$N$1*$O$3</f>
        <v>4328.3507511423213</v>
      </c>
      <c r="P6" s="1082">
        <v>2383.3547177260166</v>
      </c>
      <c r="Q6" s="1087">
        <f t="shared" ref="Q6:Q17" si="3">P6/$P$18</f>
        <v>0.15006434264386392</v>
      </c>
      <c r="R6" s="1084">
        <f t="shared" ref="R6:R17" si="4">Q6*$N$1*$Q$3</f>
        <v>4292.8151289506604</v>
      </c>
      <c r="S6" s="1082">
        <v>916</v>
      </c>
      <c r="T6" s="1087">
        <f>S6/$S$18</f>
        <v>0.44315432994678278</v>
      </c>
      <c r="U6" s="1084">
        <f>T6*$T$3*$N$1</f>
        <v>12677.092895880751</v>
      </c>
      <c r="V6" s="1082">
        <v>6.1089095238095235</v>
      </c>
      <c r="W6" s="1087">
        <f>V6/$V$18</f>
        <v>3.2494049387942925E-2</v>
      </c>
      <c r="X6" s="1084">
        <f t="shared" ref="X6:X17" si="5">W6*$W$3*$N$1</f>
        <v>1859.0818359092061</v>
      </c>
      <c r="Y6" s="1088">
        <v>60.819672131147541</v>
      </c>
      <c r="Z6" s="1087">
        <f t="shared" ref="Z6:Z14" si="6">Y6/$Y$18</f>
        <v>0.10630490178648759</v>
      </c>
      <c r="AA6" s="1084">
        <f>Z6*$N$1*$Z$3</f>
        <v>1824.6064959761761</v>
      </c>
      <c r="AB6" s="1088">
        <v>33788.31503732517</v>
      </c>
      <c r="AC6" s="1528">
        <v>2225</v>
      </c>
      <c r="AD6" s="1087">
        <f>((AB6/$AB$18)*0.9)+((AC6/$AC$18)*0.1)</f>
        <v>7.2512125369060293E-2</v>
      </c>
      <c r="AE6" s="1084">
        <f>AD6*$N$1*$AD$3</f>
        <v>11201.316541926324</v>
      </c>
      <c r="AF6" s="1088">
        <v>39.666666666666671</v>
      </c>
      <c r="AG6" s="1087">
        <f t="shared" ref="AG6:AG14" si="7">AF6/$AF$18</f>
        <v>0.11579051594014587</v>
      </c>
      <c r="AH6" s="1084">
        <f t="shared" ref="AH6:AH17" si="8">AG6*$N$1*$AG$3</f>
        <v>3312.3610170106313</v>
      </c>
      <c r="AI6" s="1089">
        <f>E6+H6+K6+O6+R6+X6+AA6+AE6+AH6+U6</f>
        <v>69496.953208543157</v>
      </c>
    </row>
    <row r="7" spans="1:35" x14ac:dyDescent="0.3">
      <c r="A7" s="116">
        <v>21</v>
      </c>
      <c r="B7" s="162" t="s">
        <v>8</v>
      </c>
      <c r="C7" s="159">
        <v>91249.421525484009</v>
      </c>
      <c r="D7" s="174">
        <f t="shared" ref="D7:D17" si="9">C7/$C$18</f>
        <v>0.10755240028425463</v>
      </c>
      <c r="E7" s="160">
        <f t="shared" si="0"/>
        <v>18732.554587581868</v>
      </c>
      <c r="F7" s="159">
        <v>4348.32</v>
      </c>
      <c r="G7" s="174">
        <f>F7/$F$18</f>
        <v>0.49210182634655997</v>
      </c>
      <c r="H7" s="160">
        <f>G7*$N$1*$G$3</f>
        <v>1569.2423335604756</v>
      </c>
      <c r="I7" s="159">
        <v>120202.69459999999</v>
      </c>
      <c r="J7" s="174">
        <f t="shared" ref="J7:J17" si="10">I7/$I$18</f>
        <v>7.7185148307756649E-2</v>
      </c>
      <c r="K7" s="160">
        <f t="shared" ref="K7:K17" si="11">J7*$N$1*$J$3</f>
        <v>4415.9933872123838</v>
      </c>
      <c r="L7" s="159">
        <v>33.049999999999997</v>
      </c>
      <c r="M7" s="161">
        <v>78.254166666666663</v>
      </c>
      <c r="N7" s="118">
        <f t="shared" si="1"/>
        <v>200.00624999999999</v>
      </c>
      <c r="O7" s="160">
        <f t="shared" si="2"/>
        <v>3767.320132601476</v>
      </c>
      <c r="P7" s="159">
        <v>2586.7154739710309</v>
      </c>
      <c r="Q7" s="1073">
        <f t="shared" si="3"/>
        <v>0.16286864658506825</v>
      </c>
      <c r="R7" s="160">
        <f t="shared" si="4"/>
        <v>4659.1014079298866</v>
      </c>
      <c r="S7" s="159">
        <v>339</v>
      </c>
      <c r="T7" s="1087">
        <f t="shared" ref="T7:T14" si="12">S7/$S$18</f>
        <v>0.16400580551523947</v>
      </c>
      <c r="U7" s="1084">
        <f t="shared" ref="U7:U17" si="13">T7*$T$3*$N$1</f>
        <v>4691.6315411611067</v>
      </c>
      <c r="V7" s="159">
        <v>44.357866666666666</v>
      </c>
      <c r="W7" s="1087">
        <f t="shared" ref="W7:W17" si="14">V7/$V$18</f>
        <v>0.23594500861286546</v>
      </c>
      <c r="X7" s="160">
        <f t="shared" si="5"/>
        <v>13499.120240408671</v>
      </c>
      <c r="Y7" s="117">
        <v>56.317064083457524</v>
      </c>
      <c r="Z7" s="1073">
        <f t="shared" si="6"/>
        <v>9.8434926669545036E-2</v>
      </c>
      <c r="AA7" s="160">
        <f t="shared" ref="AA7:AA14" si="15">Z7*$N$1*$Z$3</f>
        <v>1689.5270454501281</v>
      </c>
      <c r="AB7" s="117">
        <v>114294.95614966992</v>
      </c>
      <c r="AC7" s="1529">
        <v>15468</v>
      </c>
      <c r="AD7" s="1087">
        <f t="shared" ref="AD7:AD14" si="16">((AB7/$AB$18)*0.9)+((AC7/$AC$18)*0.1)</f>
        <v>0.26293179710212178</v>
      </c>
      <c r="AE7" s="160">
        <f t="shared" ref="AE7:AE17" si="17">AD7*$N$1*$AD$3</f>
        <v>40616.411024894223</v>
      </c>
      <c r="AF7" s="117">
        <v>34.648910411622275</v>
      </c>
      <c r="AG7" s="1073">
        <f t="shared" si="7"/>
        <v>0.10114324067207482</v>
      </c>
      <c r="AH7" s="160">
        <f t="shared" si="8"/>
        <v>2893.3537847735643</v>
      </c>
      <c r="AI7" s="1089">
        <f t="shared" ref="AI7:AI17" si="18">E7+H7+K7+O7+R7+X7+AA7+AE7+AH7+U7</f>
        <v>96534.255485573784</v>
      </c>
    </row>
    <row r="8" spans="1:35" x14ac:dyDescent="0.3">
      <c r="A8" s="116">
        <v>22</v>
      </c>
      <c r="B8" s="162" t="s">
        <v>9</v>
      </c>
      <c r="C8" s="159">
        <v>30296.710596616631</v>
      </c>
      <c r="D8" s="174">
        <f t="shared" si="9"/>
        <v>3.5709639479451452E-2</v>
      </c>
      <c r="E8" s="160">
        <f t="shared" si="0"/>
        <v>6219.5987173112198</v>
      </c>
      <c r="F8" s="159"/>
      <c r="G8" s="174"/>
      <c r="H8" s="160"/>
      <c r="I8" s="159">
        <v>37151.070090000001</v>
      </c>
      <c r="J8" s="174">
        <f t="shared" si="10"/>
        <v>2.3855628729711625E-2</v>
      </c>
      <c r="K8" s="160">
        <f t="shared" si="11"/>
        <v>1364.8519310756267</v>
      </c>
      <c r="L8" s="159">
        <v>11.950000000000001</v>
      </c>
      <c r="M8" s="161">
        <v>32.400000000000006</v>
      </c>
      <c r="N8" s="118">
        <f t="shared" si="1"/>
        <v>78.475000000000009</v>
      </c>
      <c r="O8" s="160">
        <f t="shared" si="2"/>
        <v>1478.1560446531091</v>
      </c>
      <c r="P8" s="159">
        <v>1841.1935001867764</v>
      </c>
      <c r="Q8" s="1073">
        <f t="shared" si="3"/>
        <v>0.11592797758165929</v>
      </c>
      <c r="R8" s="160">
        <f t="shared" si="4"/>
        <v>3316.2933130107517</v>
      </c>
      <c r="S8" s="159">
        <v>11</v>
      </c>
      <c r="T8" s="1087">
        <f t="shared" si="12"/>
        <v>5.3217223028543779E-3</v>
      </c>
      <c r="U8" s="1084">
        <f t="shared" si="13"/>
        <v>152.23583171909195</v>
      </c>
      <c r="V8" s="159">
        <v>3.9561904761904763</v>
      </c>
      <c r="W8" s="1087">
        <f t="shared" si="14"/>
        <v>2.1043469087307285E-2</v>
      </c>
      <c r="X8" s="160">
        <f t="shared" si="5"/>
        <v>1203.9598597780825</v>
      </c>
      <c r="Y8" s="117">
        <v>21</v>
      </c>
      <c r="Z8" s="1073">
        <f t="shared" si="6"/>
        <v>3.670527740929666E-2</v>
      </c>
      <c r="AA8" s="160">
        <f t="shared" si="15"/>
        <v>630.00563917667978</v>
      </c>
      <c r="AB8" s="117">
        <v>40101.026139793787</v>
      </c>
      <c r="AC8" s="1529">
        <v>4349</v>
      </c>
      <c r="AD8" s="1087">
        <f t="shared" si="16"/>
        <v>8.9855622528948409E-2</v>
      </c>
      <c r="AE8" s="160">
        <f t="shared" si="17"/>
        <v>13880.454694933749</v>
      </c>
      <c r="AF8" s="117">
        <v>62.91935483870968</v>
      </c>
      <c r="AG8" s="1073">
        <f t="shared" si="7"/>
        <v>0.18366717376626823</v>
      </c>
      <c r="AH8" s="160">
        <f t="shared" si="8"/>
        <v>5254.0744079798606</v>
      </c>
      <c r="AI8" s="1089">
        <f t="shared" si="18"/>
        <v>33499.630439638175</v>
      </c>
    </row>
    <row r="9" spans="1:35" x14ac:dyDescent="0.3">
      <c r="A9" s="116">
        <v>23</v>
      </c>
      <c r="B9" s="162" t="s">
        <v>855</v>
      </c>
      <c r="C9" s="159">
        <v>61580.374273015259</v>
      </c>
      <c r="D9" s="174">
        <f t="shared" si="9"/>
        <v>7.2582564938407396E-2</v>
      </c>
      <c r="E9" s="160">
        <f t="shared" si="0"/>
        <v>12641.808608844896</v>
      </c>
      <c r="F9" s="159"/>
      <c r="G9" s="174"/>
      <c r="H9" s="160"/>
      <c r="I9" s="159">
        <v>77975.146810000006</v>
      </c>
      <c r="J9" s="174">
        <f t="shared" si="10"/>
        <v>5.0069786628967536E-2</v>
      </c>
      <c r="K9" s="160">
        <f t="shared" si="11"/>
        <v>2864.6423761607994</v>
      </c>
      <c r="L9" s="159">
        <v>14.94166666666667</v>
      </c>
      <c r="M9" s="161">
        <v>34.949999999999996</v>
      </c>
      <c r="N9" s="118">
        <f t="shared" si="1"/>
        <v>89.779166666666669</v>
      </c>
      <c r="O9" s="160">
        <f t="shared" si="2"/>
        <v>1691.0814640618316</v>
      </c>
      <c r="P9" s="159">
        <v>1593.2732040686587</v>
      </c>
      <c r="Q9" s="1073">
        <f t="shared" si="3"/>
        <v>0.10031804927835825</v>
      </c>
      <c r="R9" s="160">
        <f t="shared" si="4"/>
        <v>2869.7479498575822</v>
      </c>
      <c r="S9" s="159">
        <v>264</v>
      </c>
      <c r="T9" s="1087">
        <f t="shared" si="12"/>
        <v>0.12772133526850507</v>
      </c>
      <c r="U9" s="1084">
        <f t="shared" si="13"/>
        <v>3653.6599612582072</v>
      </c>
      <c r="V9" s="159">
        <v>10.992376190476186</v>
      </c>
      <c r="W9" s="1087">
        <f t="shared" si="14"/>
        <v>5.846981583735078E-2</v>
      </c>
      <c r="X9" s="160">
        <f t="shared" si="5"/>
        <v>3345.2331925275216</v>
      </c>
      <c r="Y9" s="117">
        <v>55</v>
      </c>
      <c r="Z9" s="1073">
        <f t="shared" si="6"/>
        <v>9.6132869405300775E-2</v>
      </c>
      <c r="AA9" s="160">
        <f t="shared" si="15"/>
        <v>1650.0147692722562</v>
      </c>
      <c r="AB9" s="117">
        <v>73187.890477963971</v>
      </c>
      <c r="AC9" s="1529">
        <v>8954</v>
      </c>
      <c r="AD9" s="1087">
        <f t="shared" si="16"/>
        <v>0.1662535617625461</v>
      </c>
      <c r="AE9" s="160">
        <f t="shared" si="17"/>
        <v>25682.032653804574</v>
      </c>
      <c r="AF9" s="117">
        <v>34.550561797752813</v>
      </c>
      <c r="AG9" s="1073">
        <f t="shared" si="7"/>
        <v>0.10085615235084937</v>
      </c>
      <c r="AH9" s="160">
        <f t="shared" si="8"/>
        <v>2885.1411936477261</v>
      </c>
      <c r="AI9" s="1089">
        <f t="shared" si="18"/>
        <v>57283.362169435393</v>
      </c>
    </row>
    <row r="10" spans="1:35" x14ac:dyDescent="0.3">
      <c r="A10" s="116">
        <v>31</v>
      </c>
      <c r="B10" s="162" t="s">
        <v>11</v>
      </c>
      <c r="C10" s="159">
        <v>323020.21089317877</v>
      </c>
      <c r="D10" s="174">
        <f t="shared" si="9"/>
        <v>0.38073226592658371</v>
      </c>
      <c r="E10" s="160">
        <f t="shared" si="0"/>
        <v>66312.680478295035</v>
      </c>
      <c r="F10" s="159"/>
      <c r="G10" s="174"/>
      <c r="H10" s="160"/>
      <c r="I10" s="159">
        <v>498179.70643000008</v>
      </c>
      <c r="J10" s="174">
        <f t="shared" si="10"/>
        <v>0.31989361513626358</v>
      </c>
      <c r="K10" s="160">
        <f t="shared" si="11"/>
        <v>18302.071318443534</v>
      </c>
      <c r="L10" s="159">
        <v>61.341250000000002</v>
      </c>
      <c r="M10" s="161">
        <v>113.41083333333331</v>
      </c>
      <c r="N10" s="118">
        <f t="shared" si="1"/>
        <v>323.46937500000001</v>
      </c>
      <c r="O10" s="160">
        <f t="shared" si="2"/>
        <v>6092.8730413050425</v>
      </c>
      <c r="P10" s="159">
        <v>1917.7007369432874</v>
      </c>
      <c r="Q10" s="1073">
        <f t="shared" si="3"/>
        <v>0.12074514059393572</v>
      </c>
      <c r="R10" s="160">
        <f t="shared" si="4"/>
        <v>3454.0954710277169</v>
      </c>
      <c r="S10" s="159">
        <v>223</v>
      </c>
      <c r="T10" s="1087">
        <f t="shared" si="12"/>
        <v>0.10788582486695694</v>
      </c>
      <c r="U10" s="1084">
        <f t="shared" si="13"/>
        <v>3086.2354975779558</v>
      </c>
      <c r="V10" s="159">
        <v>89.308276190476192</v>
      </c>
      <c r="W10" s="1087">
        <f t="shared" si="14"/>
        <v>0.47504182636440451</v>
      </c>
      <c r="X10" s="160">
        <f t="shared" si="5"/>
        <v>27178.564916531868</v>
      </c>
      <c r="Y10" s="117">
        <v>145</v>
      </c>
      <c r="Z10" s="1073">
        <f t="shared" si="6"/>
        <v>0.25344120115942931</v>
      </c>
      <c r="AA10" s="160">
        <f t="shared" si="15"/>
        <v>4350.0389371723122</v>
      </c>
      <c r="AB10" s="117">
        <v>50102.943128187078</v>
      </c>
      <c r="AC10" s="1529">
        <v>5607</v>
      </c>
      <c r="AD10" s="1087">
        <f t="shared" si="16"/>
        <v>0.11265227417192691</v>
      </c>
      <c r="AE10" s="160">
        <f t="shared" si="17"/>
        <v>17401.969336097223</v>
      </c>
      <c r="AF10" s="117">
        <v>120.32667876588022</v>
      </c>
      <c r="AG10" s="1073">
        <f t="shared" si="7"/>
        <v>0.35124424073106209</v>
      </c>
      <c r="AH10" s="160">
        <f t="shared" si="8"/>
        <v>10047.867228162919</v>
      </c>
      <c r="AI10" s="1089">
        <f t="shared" si="18"/>
        <v>156226.39622461359</v>
      </c>
    </row>
    <row r="11" spans="1:35" x14ac:dyDescent="0.3">
      <c r="A11" s="116">
        <v>33</v>
      </c>
      <c r="B11" s="162" t="s">
        <v>12</v>
      </c>
      <c r="C11" s="159">
        <v>53314.068674389913</v>
      </c>
      <c r="D11" s="174">
        <f t="shared" si="9"/>
        <v>6.2839368830944597E-2</v>
      </c>
      <c r="E11" s="160">
        <f t="shared" si="0"/>
        <v>10944.822279779381</v>
      </c>
      <c r="F11" s="159">
        <v>1494.8</v>
      </c>
      <c r="G11" s="174">
        <f>F11/$F$18</f>
        <v>0.16916735889328244</v>
      </c>
      <c r="H11" s="160">
        <f>G11*$N$1*$G$3</f>
        <v>539.45050966952738</v>
      </c>
      <c r="I11" s="159">
        <v>67607.704240000006</v>
      </c>
      <c r="J11" s="174">
        <f t="shared" si="10"/>
        <v>4.3412593169199626E-2</v>
      </c>
      <c r="K11" s="160">
        <f t="shared" si="11"/>
        <v>2483.7644101237206</v>
      </c>
      <c r="L11" s="159">
        <v>13.766666666666667</v>
      </c>
      <c r="M11" s="161">
        <v>26.004166666666663</v>
      </c>
      <c r="N11" s="118">
        <f t="shared" si="1"/>
        <v>73.422916666666666</v>
      </c>
      <c r="O11" s="160">
        <f t="shared" si="2"/>
        <v>1382.9949421713261</v>
      </c>
      <c r="P11" s="159">
        <v>811.29842446709915</v>
      </c>
      <c r="Q11" s="1073">
        <f t="shared" si="3"/>
        <v>5.1082184221330582E-2</v>
      </c>
      <c r="R11" s="160">
        <f t="shared" si="4"/>
        <v>1461.2823365080671</v>
      </c>
      <c r="S11" s="159">
        <v>94</v>
      </c>
      <c r="T11" s="1087">
        <f t="shared" si="12"/>
        <v>4.5476536042573776E-2</v>
      </c>
      <c r="U11" s="1084">
        <f t="shared" si="13"/>
        <v>1300.9243801449679</v>
      </c>
      <c r="V11" s="159">
        <v>12.799595238095238</v>
      </c>
      <c r="W11" s="1087">
        <f t="shared" si="14"/>
        <v>6.8082638675745738E-2</v>
      </c>
      <c r="X11" s="160">
        <f t="shared" si="5"/>
        <v>3895.2115629458408</v>
      </c>
      <c r="Y11" s="117">
        <v>151</v>
      </c>
      <c r="Z11" s="1073">
        <f t="shared" si="6"/>
        <v>0.26392842327637123</v>
      </c>
      <c r="AA11" s="160">
        <f t="shared" si="15"/>
        <v>4530.0405483656496</v>
      </c>
      <c r="AB11" s="117">
        <v>18043.727328400808</v>
      </c>
      <c r="AC11" s="1529">
        <v>3378</v>
      </c>
      <c r="AD11" s="1087">
        <f t="shared" si="16"/>
        <v>4.3589017881064278E-2</v>
      </c>
      <c r="AE11" s="160">
        <f t="shared" si="17"/>
        <v>6733.4171292380515</v>
      </c>
      <c r="AF11" s="117">
        <v>3.9259259259259256</v>
      </c>
      <c r="AG11" s="1073">
        <f t="shared" si="7"/>
        <v>1.1460125760649356E-2</v>
      </c>
      <c r="AH11" s="160">
        <f t="shared" si="8"/>
        <v>327.83405023634623</v>
      </c>
      <c r="AI11" s="1089">
        <f t="shared" si="18"/>
        <v>33599.742149182879</v>
      </c>
    </row>
    <row r="12" spans="1:35" x14ac:dyDescent="0.3">
      <c r="A12" s="116">
        <v>41</v>
      </c>
      <c r="B12" s="162" t="s">
        <v>13</v>
      </c>
      <c r="C12" s="159">
        <v>33318.228749945134</v>
      </c>
      <c r="D12" s="174">
        <f t="shared" si="9"/>
        <v>3.9270993890911161E-2</v>
      </c>
      <c r="E12" s="160">
        <f t="shared" si="0"/>
        <v>6839.8848823998205</v>
      </c>
      <c r="F12" s="159">
        <v>2993.1</v>
      </c>
      <c r="G12" s="174">
        <f>F12/$F$18</f>
        <v>0.33873081476015765</v>
      </c>
      <c r="H12" s="160">
        <f>G12*$N$1*$G$3</f>
        <v>1080.1641159297978</v>
      </c>
      <c r="I12" s="159">
        <v>28416.688109999999</v>
      </c>
      <c r="J12" s="174">
        <f t="shared" si="10"/>
        <v>1.8247064206708848E-2</v>
      </c>
      <c r="K12" s="160">
        <f t="shared" si="11"/>
        <v>1043.9691655650854</v>
      </c>
      <c r="L12" s="159">
        <v>9.2654166666666651</v>
      </c>
      <c r="M12" s="161">
        <v>49.109583333333326</v>
      </c>
      <c r="N12" s="118">
        <f t="shared" si="1"/>
        <v>96.827916666666653</v>
      </c>
      <c r="O12" s="160">
        <f t="shared" si="2"/>
        <v>1823.8518039120843</v>
      </c>
      <c r="P12" s="159">
        <v>2673.3280602636532</v>
      </c>
      <c r="Q12" s="1073">
        <f t="shared" si="3"/>
        <v>0.16832207772144911</v>
      </c>
      <c r="R12" s="160">
        <f t="shared" si="4"/>
        <v>4815.1049679661628</v>
      </c>
      <c r="S12" s="159">
        <v>39</v>
      </c>
      <c r="T12" s="1087">
        <f t="shared" si="12"/>
        <v>1.8867924528301886E-2</v>
      </c>
      <c r="U12" s="1084">
        <f t="shared" si="13"/>
        <v>539.74522154950785</v>
      </c>
      <c r="V12" s="159">
        <v>8.8937000000000008</v>
      </c>
      <c r="W12" s="1087">
        <f t="shared" si="14"/>
        <v>4.7306696213980273E-2</v>
      </c>
      <c r="X12" s="160">
        <f t="shared" si="5"/>
        <v>2706.5577022517455</v>
      </c>
      <c r="Y12" s="117">
        <v>17.988077496274215</v>
      </c>
      <c r="Z12" s="1073">
        <f t="shared" si="6"/>
        <v>3.1440827360031981E-2</v>
      </c>
      <c r="AA12" s="160">
        <f t="shared" si="15"/>
        <v>539.64715526666123</v>
      </c>
      <c r="AB12" s="117">
        <v>47491.289333851688</v>
      </c>
      <c r="AC12" s="1529">
        <v>1813</v>
      </c>
      <c r="AD12" s="1087">
        <f t="shared" si="16"/>
        <v>9.8999083752702471E-2</v>
      </c>
      <c r="AE12" s="160">
        <f t="shared" si="17"/>
        <v>15292.891620962657</v>
      </c>
      <c r="AF12" s="117">
        <v>16.18695652173913</v>
      </c>
      <c r="AG12" s="1073">
        <f t="shared" si="7"/>
        <v>4.7251160852593684E-2</v>
      </c>
      <c r="AH12" s="160">
        <f t="shared" si="8"/>
        <v>1351.6901789912945</v>
      </c>
      <c r="AI12" s="1089">
        <f t="shared" si="18"/>
        <v>36033.506814794819</v>
      </c>
    </row>
    <row r="13" spans="1:35" x14ac:dyDescent="0.3">
      <c r="A13" s="116">
        <v>51</v>
      </c>
      <c r="B13" s="162" t="s">
        <v>14</v>
      </c>
      <c r="C13" s="159">
        <v>6157.309303564125</v>
      </c>
      <c r="D13" s="174">
        <f t="shared" si="9"/>
        <v>7.2573982806668673E-3</v>
      </c>
      <c r="E13" s="160">
        <f t="shared" si="0"/>
        <v>1264.0313846748945</v>
      </c>
      <c r="F13" s="159"/>
      <c r="G13" s="174"/>
      <c r="H13" s="160"/>
      <c r="I13" s="159">
        <v>12245.36182</v>
      </c>
      <c r="J13" s="174">
        <f t="shared" si="10"/>
        <v>7.8630522494030752E-3</v>
      </c>
      <c r="K13" s="160">
        <f t="shared" si="11"/>
        <v>449.86875711139851</v>
      </c>
      <c r="L13" s="159">
        <v>3.100000000000001</v>
      </c>
      <c r="M13" s="161">
        <v>8.8166666666666664</v>
      </c>
      <c r="N13" s="118">
        <f t="shared" si="1"/>
        <v>20.975000000000001</v>
      </c>
      <c r="O13" s="160">
        <f t="shared" si="2"/>
        <v>395.08535248931457</v>
      </c>
      <c r="P13" s="159">
        <v>856.85678027556196</v>
      </c>
      <c r="Q13" s="1073">
        <f t="shared" si="3"/>
        <v>5.3950697525491698E-2</v>
      </c>
      <c r="R13" s="160">
        <f t="shared" si="4"/>
        <v>1543.3404529982913</v>
      </c>
      <c r="S13" s="159">
        <v>10</v>
      </c>
      <c r="T13" s="1087">
        <f t="shared" si="12"/>
        <v>4.8379293662312532E-3</v>
      </c>
      <c r="U13" s="1084">
        <f t="shared" si="13"/>
        <v>138.39621065371998</v>
      </c>
      <c r="V13" s="159">
        <v>2.1</v>
      </c>
      <c r="W13" s="1087">
        <f t="shared" si="14"/>
        <v>1.1170161130840772E-2</v>
      </c>
      <c r="X13" s="160">
        <f t="shared" si="5"/>
        <v>639.07835599679152</v>
      </c>
      <c r="Y13" s="117">
        <v>17</v>
      </c>
      <c r="Z13" s="1073">
        <f t="shared" si="6"/>
        <v>2.9713795998002057E-2</v>
      </c>
      <c r="AA13" s="160">
        <f t="shared" si="15"/>
        <v>510.00456504778828</v>
      </c>
      <c r="AB13" s="117">
        <v>19397.237169204189</v>
      </c>
      <c r="AC13" s="1529">
        <v>336</v>
      </c>
      <c r="AD13" s="1087">
        <f t="shared" si="16"/>
        <v>3.9536142913197993E-2</v>
      </c>
      <c r="AE13" s="160">
        <f t="shared" si="17"/>
        <v>6107.3489345897378</v>
      </c>
      <c r="AF13" s="117">
        <v>21.3</v>
      </c>
      <c r="AG13" s="1073">
        <f t="shared" si="7"/>
        <v>6.2176587971221178E-2</v>
      </c>
      <c r="AH13" s="160">
        <f t="shared" si="8"/>
        <v>1778.6543612351197</v>
      </c>
      <c r="AI13" s="1089">
        <f t="shared" si="18"/>
        <v>12825.808374797058</v>
      </c>
    </row>
    <row r="14" spans="1:35" x14ac:dyDescent="0.3">
      <c r="A14" s="116">
        <v>56</v>
      </c>
      <c r="B14" s="162" t="s">
        <v>15</v>
      </c>
      <c r="C14" s="159">
        <v>23204.22782650224</v>
      </c>
      <c r="D14" s="174">
        <f t="shared" si="9"/>
        <v>2.7349985980853822E-2</v>
      </c>
      <c r="E14" s="160">
        <f t="shared" si="0"/>
        <v>4763.5859729942958</v>
      </c>
      <c r="F14" s="159"/>
      <c r="G14" s="174"/>
      <c r="H14" s="160"/>
      <c r="I14" s="159">
        <v>26343.939269999999</v>
      </c>
      <c r="J14" s="174">
        <f t="shared" si="10"/>
        <v>1.6916100477879673E-2</v>
      </c>
      <c r="K14" s="160">
        <f t="shared" si="11"/>
        <v>967.82074641981148</v>
      </c>
      <c r="L14" s="159">
        <v>6.5375000000000005</v>
      </c>
      <c r="M14" s="161">
        <v>24.299999999999997</v>
      </c>
      <c r="N14" s="118">
        <f t="shared" si="1"/>
        <v>52.793749999999996</v>
      </c>
      <c r="O14" s="160">
        <f t="shared" si="2"/>
        <v>994.42371051169232</v>
      </c>
      <c r="P14" s="159">
        <v>1218.4978606356967</v>
      </c>
      <c r="Q14" s="1073">
        <f t="shared" si="3"/>
        <v>7.6720883848843263E-2</v>
      </c>
      <c r="R14" s="160">
        <f t="shared" si="4"/>
        <v>2194.7157138748025</v>
      </c>
      <c r="S14" s="159">
        <v>171</v>
      </c>
      <c r="T14" s="1087">
        <f t="shared" si="12"/>
        <v>8.2728592162554432E-2</v>
      </c>
      <c r="U14" s="1084">
        <f t="shared" si="13"/>
        <v>2366.5752021786116</v>
      </c>
      <c r="V14" s="159">
        <v>9.4839547619047622</v>
      </c>
      <c r="W14" s="1087">
        <f t="shared" si="14"/>
        <v>5.0446334689562292E-2</v>
      </c>
      <c r="X14" s="160">
        <f t="shared" si="5"/>
        <v>2886.1858178981133</v>
      </c>
      <c r="Y14" s="117">
        <v>48</v>
      </c>
      <c r="Z14" s="1073">
        <f t="shared" si="6"/>
        <v>8.3897776935535226E-2</v>
      </c>
      <c r="AA14" s="160">
        <f t="shared" si="15"/>
        <v>1440.0128895466964</v>
      </c>
      <c r="AB14" s="117">
        <v>53650.021011500343</v>
      </c>
      <c r="AC14" s="1529">
        <v>2873</v>
      </c>
      <c r="AD14" s="1087">
        <f t="shared" si="16"/>
        <v>0.11367037451843183</v>
      </c>
      <c r="AE14" s="160">
        <f t="shared" si="17"/>
        <v>17559.24047102264</v>
      </c>
      <c r="AF14" s="117">
        <v>9.0476190476190474</v>
      </c>
      <c r="AG14" s="1073">
        <f t="shared" si="7"/>
        <v>2.6410801955135309E-2</v>
      </c>
      <c r="AH14" s="160">
        <f t="shared" si="8"/>
        <v>755.5205200864583</v>
      </c>
      <c r="AI14" s="1089">
        <f t="shared" si="18"/>
        <v>33928.081044533123</v>
      </c>
    </row>
    <row r="15" spans="1:35" x14ac:dyDescent="0.3">
      <c r="A15" s="116">
        <v>71</v>
      </c>
      <c r="B15" s="162" t="s">
        <v>178</v>
      </c>
      <c r="C15" s="159">
        <v>125764.51598134039</v>
      </c>
      <c r="D15" s="174">
        <f t="shared" si="9"/>
        <v>0.148234096592087</v>
      </c>
      <c r="E15" s="160">
        <f t="shared" si="0"/>
        <v>25818.143517143515</v>
      </c>
      <c r="F15" s="159"/>
      <c r="G15" s="174"/>
      <c r="H15" s="160"/>
      <c r="I15" s="159">
        <v>317202.75985000003</v>
      </c>
      <c r="J15" s="174">
        <f t="shared" si="10"/>
        <v>0.20368380379595891</v>
      </c>
      <c r="K15" s="160">
        <f t="shared" si="11"/>
        <v>11653.360139425013</v>
      </c>
      <c r="L15" s="159">
        <v>7.0929166666666665</v>
      </c>
      <c r="M15" s="161">
        <v>16.548333333333328</v>
      </c>
      <c r="N15" s="118">
        <f t="shared" si="1"/>
        <v>42.554791666666659</v>
      </c>
      <c r="O15" s="160">
        <f t="shared" si="2"/>
        <v>801.56256809222123</v>
      </c>
      <c r="P15" s="159"/>
      <c r="Q15" s="1073">
        <f t="shared" si="3"/>
        <v>0</v>
      </c>
      <c r="R15" s="160">
        <f t="shared" si="4"/>
        <v>0</v>
      </c>
      <c r="S15" s="159"/>
      <c r="T15" s="1073">
        <f>S15/$V$18</f>
        <v>0</v>
      </c>
      <c r="U15" s="1084">
        <f t="shared" si="13"/>
        <v>0</v>
      </c>
      <c r="V15" s="159"/>
      <c r="W15" s="1087">
        <f t="shared" si="14"/>
        <v>0</v>
      </c>
      <c r="X15" s="160">
        <f t="shared" si="5"/>
        <v>0</v>
      </c>
      <c r="Y15" s="159"/>
      <c r="Z15" s="161"/>
      <c r="AA15" s="160"/>
      <c r="AB15" s="159"/>
      <c r="AC15" s="1530"/>
      <c r="AD15" s="161"/>
      <c r="AE15" s="160">
        <f t="shared" si="17"/>
        <v>0</v>
      </c>
      <c r="AF15" s="159"/>
      <c r="AG15" s="161"/>
      <c r="AH15" s="160">
        <f t="shared" si="8"/>
        <v>0</v>
      </c>
      <c r="AI15" s="1089">
        <f t="shared" si="18"/>
        <v>38273.066224660754</v>
      </c>
    </row>
    <row r="16" spans="1:35" x14ac:dyDescent="0.3">
      <c r="A16" s="116">
        <v>85</v>
      </c>
      <c r="B16" s="162" t="s">
        <v>95</v>
      </c>
      <c r="C16" s="159">
        <v>1793</v>
      </c>
      <c r="D16" s="174">
        <f t="shared" si="9"/>
        <v>2.113344396992282E-3</v>
      </c>
      <c r="E16" s="160">
        <f t="shared" si="0"/>
        <v>368.08420057933222</v>
      </c>
      <c r="F16" s="159"/>
      <c r="G16" s="174"/>
      <c r="H16" s="160"/>
      <c r="I16" s="159">
        <v>0</v>
      </c>
      <c r="J16" s="174">
        <f t="shared" si="10"/>
        <v>0</v>
      </c>
      <c r="K16" s="160">
        <f t="shared" si="11"/>
        <v>0</v>
      </c>
      <c r="L16" s="159">
        <v>0</v>
      </c>
      <c r="M16" s="161">
        <v>0</v>
      </c>
      <c r="N16" s="118">
        <f t="shared" si="1"/>
        <v>0</v>
      </c>
      <c r="O16" s="160">
        <f t="shared" si="2"/>
        <v>0</v>
      </c>
      <c r="P16" s="159"/>
      <c r="Q16" s="1073">
        <f t="shared" si="3"/>
        <v>0</v>
      </c>
      <c r="R16" s="160">
        <f t="shared" si="4"/>
        <v>0</v>
      </c>
      <c r="S16" s="159"/>
      <c r="T16" s="1073">
        <f>S16/$V$18</f>
        <v>0</v>
      </c>
      <c r="U16" s="1084">
        <f t="shared" si="13"/>
        <v>0</v>
      </c>
      <c r="V16" s="159"/>
      <c r="W16" s="1087">
        <f t="shared" si="14"/>
        <v>0</v>
      </c>
      <c r="X16" s="160">
        <f t="shared" si="5"/>
        <v>0</v>
      </c>
      <c r="Y16" s="159"/>
      <c r="Z16" s="161"/>
      <c r="AA16" s="160"/>
      <c r="AB16" s="159"/>
      <c r="AC16" s="1530"/>
      <c r="AD16" s="161"/>
      <c r="AE16" s="160">
        <f t="shared" si="17"/>
        <v>0</v>
      </c>
      <c r="AF16" s="159"/>
      <c r="AG16" s="161"/>
      <c r="AH16" s="160">
        <f t="shared" si="8"/>
        <v>0</v>
      </c>
      <c r="AI16" s="1089">
        <f t="shared" si="18"/>
        <v>368.08420057933222</v>
      </c>
    </row>
    <row r="17" spans="1:39" ht="14.4" thickBot="1" x14ac:dyDescent="0.35">
      <c r="A17" s="121">
        <v>92</v>
      </c>
      <c r="B17" s="163" t="s">
        <v>17</v>
      </c>
      <c r="C17" s="164">
        <v>7701.0482413001737</v>
      </c>
      <c r="D17" s="174">
        <f t="shared" si="9"/>
        <v>9.0769476585158895E-3</v>
      </c>
      <c r="E17" s="160">
        <f t="shared" si="0"/>
        <v>1580.9448887461499</v>
      </c>
      <c r="F17" s="164"/>
      <c r="G17" s="174"/>
      <c r="H17" s="160"/>
      <c r="I17" s="164">
        <v>63983.152719999998</v>
      </c>
      <c r="J17" s="174">
        <f t="shared" si="10"/>
        <v>4.1085178234357513E-2</v>
      </c>
      <c r="K17" s="160">
        <f t="shared" si="11"/>
        <v>2350.6060346214576</v>
      </c>
      <c r="L17" s="164">
        <v>1</v>
      </c>
      <c r="M17" s="165">
        <v>2.9166666666666665</v>
      </c>
      <c r="N17" s="118">
        <f t="shared" si="1"/>
        <v>6.875</v>
      </c>
      <c r="O17" s="160">
        <f t="shared" si="2"/>
        <v>129.49758275871451</v>
      </c>
      <c r="P17" s="164"/>
      <c r="Q17" s="1073">
        <f t="shared" si="3"/>
        <v>0</v>
      </c>
      <c r="R17" s="160">
        <f t="shared" si="4"/>
        <v>0</v>
      </c>
      <c r="S17" s="164"/>
      <c r="T17" s="1073">
        <f>S17/$V$18</f>
        <v>0</v>
      </c>
      <c r="U17" s="1084">
        <f t="shared" si="13"/>
        <v>0</v>
      </c>
      <c r="V17" s="164"/>
      <c r="W17" s="1087">
        <f t="shared" si="14"/>
        <v>0</v>
      </c>
      <c r="X17" s="160">
        <f t="shared" si="5"/>
        <v>0</v>
      </c>
      <c r="Y17" s="164"/>
      <c r="Z17" s="161"/>
      <c r="AA17" s="160"/>
      <c r="AB17" s="164"/>
      <c r="AC17" s="1531"/>
      <c r="AD17" s="161"/>
      <c r="AE17" s="160">
        <f t="shared" si="17"/>
        <v>0</v>
      </c>
      <c r="AF17" s="164"/>
      <c r="AG17" s="161"/>
      <c r="AH17" s="160">
        <f t="shared" si="8"/>
        <v>0</v>
      </c>
      <c r="AI17" s="1089">
        <f t="shared" si="18"/>
        <v>4061.0485061263221</v>
      </c>
    </row>
    <row r="18" spans="1:39" ht="14.4" thickBot="1" x14ac:dyDescent="0.35">
      <c r="A18" s="166" t="s">
        <v>203</v>
      </c>
      <c r="B18" s="167"/>
      <c r="C18" s="168">
        <f t="shared" ref="C18:K18" si="19">SUM(C6:C17)</f>
        <v>848418.27132000017</v>
      </c>
      <c r="D18" s="171">
        <f t="shared" si="19"/>
        <v>0.99999999999999978</v>
      </c>
      <c r="E18" s="169">
        <f t="shared" si="19"/>
        <v>174171.4228420085</v>
      </c>
      <c r="F18" s="168">
        <f t="shared" si="19"/>
        <v>8836.2199999999993</v>
      </c>
      <c r="G18" s="171">
        <f t="shared" si="19"/>
        <v>1</v>
      </c>
      <c r="H18" s="169">
        <f t="shared" si="19"/>
        <v>3188.8569591598007</v>
      </c>
      <c r="I18" s="168">
        <f t="shared" si="19"/>
        <v>1557329.3209299999</v>
      </c>
      <c r="J18" s="171">
        <f t="shared" si="19"/>
        <v>1.0000000000000002</v>
      </c>
      <c r="K18" s="169">
        <f t="shared" si="19"/>
        <v>57212.993484247854</v>
      </c>
      <c r="L18" s="168">
        <f t="shared" ref="L18:AE18" si="20">SUM(L6:L17)</f>
        <v>218.10916666666668</v>
      </c>
      <c r="M18" s="171">
        <f>SUM(M6:M17)</f>
        <v>446.46499999999997</v>
      </c>
      <c r="N18" s="172">
        <f>SUM(N6:N17)</f>
        <v>1214.9704166666668</v>
      </c>
      <c r="O18" s="169">
        <f t="shared" si="20"/>
        <v>22885.197393699127</v>
      </c>
      <c r="P18" s="168">
        <f t="shared" si="20"/>
        <v>15882.21875853778</v>
      </c>
      <c r="Q18" s="171">
        <f t="shared" si="20"/>
        <v>1.0000000000000002</v>
      </c>
      <c r="R18" s="169">
        <f t="shared" si="20"/>
        <v>28606.49674212392</v>
      </c>
      <c r="S18" s="168">
        <f>SUM(S6:S17)</f>
        <v>2067</v>
      </c>
      <c r="T18" s="171">
        <f>SUM(T6:T17)</f>
        <v>0.99999999999999989</v>
      </c>
      <c r="U18" s="169">
        <f>SUM(U6:U17)</f>
        <v>28606.496742123913</v>
      </c>
      <c r="V18" s="168">
        <f t="shared" si="20"/>
        <v>188.00086904761903</v>
      </c>
      <c r="W18" s="171">
        <f t="shared" si="20"/>
        <v>1.0000000000000002</v>
      </c>
      <c r="X18" s="169">
        <f t="shared" si="20"/>
        <v>57212.99348424784</v>
      </c>
      <c r="Y18" s="170">
        <f>SUM(Y6:Y17)</f>
        <v>572.12481371087938</v>
      </c>
      <c r="Z18" s="171">
        <f>SUM(Z6:Z17)</f>
        <v>0.99999999999999989</v>
      </c>
      <c r="AA18" s="169">
        <f>SUM(AA6:AA17)</f>
        <v>17163.898045274349</v>
      </c>
      <c r="AB18" s="170">
        <f t="shared" si="20"/>
        <v>450057.40577589691</v>
      </c>
      <c r="AC18" s="170">
        <f t="shared" si="20"/>
        <v>45003</v>
      </c>
      <c r="AD18" s="171">
        <f t="shared" si="20"/>
        <v>1</v>
      </c>
      <c r="AE18" s="169">
        <f t="shared" si="20"/>
        <v>154475.08240746916</v>
      </c>
      <c r="AF18" s="170">
        <f>SUM(AF6:AF17)</f>
        <v>342.57267397591579</v>
      </c>
      <c r="AG18" s="171">
        <f>SUM(AG6:AG17)</f>
        <v>1</v>
      </c>
      <c r="AH18" s="169">
        <f>SUM(AH6:AH17)</f>
        <v>28606.49674212392</v>
      </c>
      <c r="AI18" s="1081">
        <f>SUM(AI6:AI17)</f>
        <v>572129.93484247825</v>
      </c>
    </row>
    <row r="19" spans="1:39" x14ac:dyDescent="0.3">
      <c r="A19" s="116"/>
      <c r="B19" s="173" t="s">
        <v>78</v>
      </c>
      <c r="C19" s="174">
        <v>580.79999999999995</v>
      </c>
      <c r="D19" s="13"/>
      <c r="P19" s="13"/>
      <c r="S19" s="13"/>
      <c r="V19" s="13"/>
      <c r="W19" s="13"/>
      <c r="X19" s="13"/>
      <c r="Y19" s="13"/>
      <c r="Z19" s="13"/>
      <c r="AA19" s="13"/>
      <c r="AB19" s="13"/>
      <c r="AC19" s="13"/>
      <c r="AD19" s="13"/>
      <c r="AE19" s="13"/>
      <c r="AF19" s="13"/>
      <c r="AG19" s="13"/>
      <c r="AH19" s="13"/>
      <c r="AI19" s="13"/>
      <c r="AJ19" s="13"/>
      <c r="AK19" s="13"/>
      <c r="AM19" s="59"/>
    </row>
    <row r="20" spans="1:39" x14ac:dyDescent="0.3">
      <c r="A20" s="116"/>
      <c r="B20" s="173" t="s">
        <v>122</v>
      </c>
      <c r="C20" s="174">
        <v>18.600000000000001</v>
      </c>
      <c r="D20" s="13"/>
      <c r="P20" s="13"/>
      <c r="S20" s="13"/>
      <c r="V20" s="13"/>
      <c r="W20" s="13"/>
      <c r="X20" s="13"/>
      <c r="Y20" s="13"/>
      <c r="Z20" s="13"/>
      <c r="AA20" s="13"/>
      <c r="AB20" s="13"/>
      <c r="AC20" s="13"/>
      <c r="AD20" s="13"/>
      <c r="AE20" s="13"/>
      <c r="AF20" s="13"/>
      <c r="AG20" s="13"/>
      <c r="AH20" s="13"/>
      <c r="AI20" s="13"/>
      <c r="AJ20" s="13"/>
      <c r="AK20" s="13"/>
      <c r="AM20" s="59"/>
    </row>
    <row r="21" spans="1:39" x14ac:dyDescent="0.3">
      <c r="A21" s="116"/>
      <c r="B21" s="173" t="s">
        <v>23</v>
      </c>
      <c r="C21" s="174">
        <v>897.2</v>
      </c>
      <c r="D21" s="13"/>
      <c r="P21" s="13"/>
      <c r="S21" s="13"/>
      <c r="V21" s="13"/>
      <c r="W21" s="13"/>
      <c r="X21" s="13"/>
      <c r="Y21" s="13"/>
      <c r="Z21" s="13"/>
      <c r="AA21" s="13"/>
      <c r="AB21" s="13"/>
      <c r="AC21" s="13"/>
      <c r="AD21" s="13"/>
      <c r="AE21" s="13"/>
      <c r="AF21" s="13"/>
      <c r="AG21" s="13"/>
      <c r="AH21" s="13"/>
      <c r="AI21" s="13"/>
      <c r="AJ21" s="13"/>
      <c r="AK21" s="13"/>
      <c r="AM21" s="59"/>
    </row>
    <row r="22" spans="1:39" x14ac:dyDescent="0.3">
      <c r="A22" s="175" t="s">
        <v>70</v>
      </c>
      <c r="B22" s="176"/>
      <c r="C22" s="177">
        <f>C18+SUM(C19:C21)</f>
        <v>849914.87132000015</v>
      </c>
      <c r="D22" s="13"/>
      <c r="P22" s="13"/>
      <c r="S22" s="13"/>
      <c r="V22" s="13"/>
      <c r="W22" s="13"/>
      <c r="X22" s="13"/>
      <c r="Y22" s="13"/>
      <c r="Z22" s="13"/>
      <c r="AA22" s="13"/>
      <c r="AB22" s="13"/>
      <c r="AC22" s="13"/>
      <c r="AD22" s="13"/>
      <c r="AE22" s="13"/>
      <c r="AF22" s="13"/>
      <c r="AG22" s="13"/>
      <c r="AH22" s="13"/>
      <c r="AI22" s="13"/>
      <c r="AJ22" s="13"/>
      <c r="AK22" s="13"/>
      <c r="AM22" s="59"/>
    </row>
    <row r="23" spans="1:39" x14ac:dyDescent="0.3">
      <c r="A23" s="13"/>
      <c r="B23" s="13"/>
      <c r="C23" s="13"/>
      <c r="D23" s="13"/>
      <c r="M23" s="13"/>
      <c r="P23" s="13"/>
      <c r="S23" s="13"/>
      <c r="V23" s="13"/>
      <c r="W23" s="13"/>
      <c r="X23" s="13"/>
      <c r="Y23" s="13"/>
      <c r="Z23" s="13"/>
      <c r="AA23" s="13"/>
      <c r="AB23" s="13"/>
      <c r="AC23" s="13"/>
      <c r="AD23" s="13"/>
      <c r="AE23" s="13"/>
      <c r="AF23" s="13"/>
      <c r="AG23" s="13"/>
      <c r="AH23" s="13"/>
      <c r="AI23" s="13"/>
      <c r="AJ23" s="13"/>
      <c r="AK23" s="13"/>
      <c r="AM23" s="59"/>
    </row>
    <row r="24" spans="1:39" ht="13.5" hidden="1" customHeight="1" thickBot="1" x14ac:dyDescent="0.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9" ht="12.75" hidden="1" customHeight="1" x14ac:dyDescent="0.3">
      <c r="A25" s="1601"/>
      <c r="B25" s="1602"/>
      <c r="C25" s="178" t="s">
        <v>174</v>
      </c>
      <c r="D25" s="178" t="s">
        <v>174</v>
      </c>
      <c r="E25" s="179" t="s">
        <v>176</v>
      </c>
      <c r="F25" s="179"/>
      <c r="G25" s="179"/>
      <c r="H25" s="179"/>
      <c r="I25" s="179"/>
      <c r="J25" s="179"/>
      <c r="K25" s="179"/>
      <c r="L25" s="178" t="s">
        <v>185</v>
      </c>
      <c r="M25" s="178"/>
      <c r="N25" s="179"/>
      <c r="O25" s="178"/>
      <c r="P25" s="178"/>
      <c r="Q25" s="179"/>
      <c r="R25" s="178"/>
      <c r="S25" s="178"/>
      <c r="T25" s="179"/>
      <c r="U25" s="13"/>
      <c r="V25" s="13"/>
      <c r="W25" s="13"/>
      <c r="X25" s="13"/>
      <c r="Y25" s="13"/>
      <c r="Z25" s="13"/>
      <c r="AA25" s="13"/>
      <c r="AB25" s="13"/>
      <c r="AC25" s="13"/>
      <c r="AD25" s="178"/>
      <c r="AE25" s="13"/>
      <c r="AF25" s="13"/>
      <c r="AG25" s="13"/>
      <c r="AH25" s="13"/>
      <c r="AI25" s="13"/>
      <c r="AJ25" s="13"/>
      <c r="AK25" s="13"/>
    </row>
    <row r="26" spans="1:39" ht="13.5" hidden="1" customHeight="1" thickBot="1" x14ac:dyDescent="0.35">
      <c r="A26" s="1603"/>
      <c r="B26" s="1604"/>
      <c r="C26" s="114" t="s">
        <v>227</v>
      </c>
      <c r="D26" s="114" t="s">
        <v>215</v>
      </c>
      <c r="E26" s="180" t="s">
        <v>177</v>
      </c>
      <c r="F26" s="180"/>
      <c r="G26" s="180"/>
      <c r="H26" s="180"/>
      <c r="I26" s="180"/>
      <c r="J26" s="180"/>
      <c r="K26" s="180"/>
      <c r="L26" s="114" t="s">
        <v>204</v>
      </c>
      <c r="M26" s="114"/>
      <c r="N26" s="180"/>
      <c r="O26" s="114"/>
      <c r="P26" s="114"/>
      <c r="Q26" s="180"/>
      <c r="R26" s="114"/>
      <c r="S26" s="114"/>
      <c r="T26" s="180"/>
      <c r="U26" s="13"/>
      <c r="V26" s="13"/>
      <c r="W26" s="13"/>
      <c r="X26" s="13"/>
      <c r="Y26" s="13"/>
      <c r="Z26" s="13"/>
      <c r="AA26" s="13"/>
      <c r="AB26" s="13"/>
      <c r="AC26" s="13"/>
      <c r="AD26" s="114"/>
      <c r="AE26" s="13"/>
      <c r="AF26" s="13"/>
      <c r="AG26" s="13"/>
      <c r="AH26" s="13"/>
      <c r="AI26" s="13"/>
      <c r="AJ26" s="13"/>
      <c r="AK26" s="13"/>
    </row>
    <row r="27" spans="1:39" ht="12.75" hidden="1" customHeight="1" x14ac:dyDescent="0.3">
      <c r="A27" s="181">
        <v>11</v>
      </c>
      <c r="B27" s="182" t="s">
        <v>7</v>
      </c>
      <c r="C27" s="115" t="e">
        <f>'str1'!#REF!</f>
        <v>#REF!</v>
      </c>
      <c r="D27" s="115">
        <f t="shared" ref="D27:D38" si="21">AI6</f>
        <v>69496.953208543157</v>
      </c>
      <c r="E27" s="183" t="e">
        <f>SUM(C27:D27)</f>
        <v>#REF!</v>
      </c>
      <c r="F27" s="183"/>
      <c r="G27" s="183"/>
      <c r="H27" s="183"/>
      <c r="I27" s="183"/>
      <c r="J27" s="183"/>
      <c r="K27" s="183"/>
      <c r="L27" s="115">
        <v>328299</v>
      </c>
      <c r="M27" s="115"/>
      <c r="N27" s="183"/>
      <c r="O27" s="115"/>
      <c r="P27" s="115"/>
      <c r="Q27" s="183"/>
      <c r="R27" s="115"/>
      <c r="S27" s="115"/>
      <c r="T27" s="183"/>
      <c r="U27" s="13"/>
      <c r="V27" s="13"/>
      <c r="W27" s="13"/>
      <c r="X27" s="13"/>
      <c r="Y27" s="13"/>
      <c r="Z27" s="13"/>
      <c r="AA27" s="13"/>
      <c r="AB27" s="13"/>
      <c r="AC27" s="13"/>
      <c r="AD27" s="115"/>
      <c r="AE27" s="13"/>
      <c r="AF27" s="13"/>
      <c r="AG27" s="13"/>
      <c r="AH27" s="13"/>
      <c r="AI27" s="13"/>
      <c r="AJ27" s="13"/>
      <c r="AK27" s="13"/>
    </row>
    <row r="28" spans="1:39" ht="12.75" hidden="1" customHeight="1" x14ac:dyDescent="0.3">
      <c r="A28" s="184">
        <v>21</v>
      </c>
      <c r="B28" s="185" t="s">
        <v>8</v>
      </c>
      <c r="C28" s="120" t="e">
        <f>'str1'!#REF!</f>
        <v>#REF!</v>
      </c>
      <c r="D28" s="120">
        <f t="shared" si="21"/>
        <v>96534.255485573784</v>
      </c>
      <c r="E28" s="186" t="e">
        <f t="shared" ref="E28:E38" si="22">SUM(C28:D28)</f>
        <v>#REF!</v>
      </c>
      <c r="F28" s="186"/>
      <c r="G28" s="186"/>
      <c r="H28" s="186"/>
      <c r="I28" s="186"/>
      <c r="J28" s="186"/>
      <c r="K28" s="186"/>
      <c r="L28" s="120">
        <v>333427</v>
      </c>
      <c r="M28" s="120"/>
      <c r="N28" s="186"/>
      <c r="O28" s="120"/>
      <c r="P28" s="120"/>
      <c r="Q28" s="186"/>
      <c r="R28" s="120"/>
      <c r="S28" s="120"/>
      <c r="T28" s="186"/>
      <c r="U28" s="13"/>
      <c r="V28" s="13"/>
      <c r="W28" s="13"/>
      <c r="X28" s="13"/>
      <c r="Y28" s="13"/>
      <c r="Z28" s="13"/>
      <c r="AA28" s="13"/>
      <c r="AB28" s="13"/>
      <c r="AC28" s="13"/>
      <c r="AD28" s="120"/>
      <c r="AE28" s="13"/>
      <c r="AF28" s="13"/>
      <c r="AG28" s="13"/>
      <c r="AH28" s="13"/>
      <c r="AI28" s="13"/>
      <c r="AJ28" s="13"/>
      <c r="AK28" s="13"/>
    </row>
    <row r="29" spans="1:39" ht="12.75" hidden="1" customHeight="1" x14ac:dyDescent="0.3">
      <c r="A29" s="184">
        <v>22</v>
      </c>
      <c r="B29" s="185" t="s">
        <v>9</v>
      </c>
      <c r="C29" s="120" t="e">
        <f>'str1'!#REF!</f>
        <v>#REF!</v>
      </c>
      <c r="D29" s="120">
        <f t="shared" si="21"/>
        <v>33499.630439638175</v>
      </c>
      <c r="E29" s="186" t="e">
        <f t="shared" si="22"/>
        <v>#REF!</v>
      </c>
      <c r="F29" s="186"/>
      <c r="G29" s="186"/>
      <c r="H29" s="186"/>
      <c r="I29" s="186"/>
      <c r="J29" s="186"/>
      <c r="K29" s="186"/>
      <c r="L29" s="120">
        <v>126011</v>
      </c>
      <c r="M29" s="120"/>
      <c r="N29" s="186"/>
      <c r="O29" s="120"/>
      <c r="P29" s="120"/>
      <c r="Q29" s="186"/>
      <c r="R29" s="120"/>
      <c r="S29" s="120"/>
      <c r="T29" s="186"/>
      <c r="U29" s="13"/>
      <c r="V29" s="13"/>
      <c r="W29" s="13"/>
      <c r="X29" s="13"/>
      <c r="Y29" s="13"/>
      <c r="Z29" s="13"/>
      <c r="AA29" s="13"/>
      <c r="AB29" s="13"/>
      <c r="AC29" s="13"/>
      <c r="AD29" s="120"/>
      <c r="AE29" s="13"/>
      <c r="AF29" s="13"/>
      <c r="AG29" s="13"/>
      <c r="AH29" s="13"/>
      <c r="AI29" s="13"/>
      <c r="AJ29" s="13"/>
      <c r="AK29" s="13"/>
    </row>
    <row r="30" spans="1:39" ht="12.75" hidden="1" customHeight="1" x14ac:dyDescent="0.3">
      <c r="A30" s="184">
        <v>23</v>
      </c>
      <c r="B30" s="185" t="s">
        <v>10</v>
      </c>
      <c r="C30" s="120" t="e">
        <f>'str1'!#REF!</f>
        <v>#REF!</v>
      </c>
      <c r="D30" s="120">
        <f t="shared" si="21"/>
        <v>57283.362169435393</v>
      </c>
      <c r="E30" s="186" t="e">
        <f t="shared" si="22"/>
        <v>#REF!</v>
      </c>
      <c r="F30" s="186"/>
      <c r="G30" s="186"/>
      <c r="H30" s="186"/>
      <c r="I30" s="186"/>
      <c r="J30" s="186"/>
      <c r="K30" s="186"/>
      <c r="L30" s="120">
        <v>139398</v>
      </c>
      <c r="M30" s="120"/>
      <c r="N30" s="186"/>
      <c r="O30" s="120"/>
      <c r="P30" s="120"/>
      <c r="Q30" s="186"/>
      <c r="R30" s="120"/>
      <c r="S30" s="120"/>
      <c r="T30" s="186"/>
      <c r="U30" s="13"/>
      <c r="V30" s="13"/>
      <c r="W30" s="13"/>
      <c r="X30" s="13"/>
      <c r="Y30" s="13"/>
      <c r="Z30" s="13"/>
      <c r="AA30" s="13"/>
      <c r="AB30" s="13"/>
      <c r="AC30" s="13"/>
      <c r="AD30" s="120"/>
      <c r="AE30" s="13"/>
      <c r="AF30" s="13"/>
      <c r="AG30" s="13"/>
      <c r="AH30" s="13"/>
      <c r="AI30" s="13"/>
      <c r="AJ30" s="13"/>
      <c r="AK30" s="13"/>
    </row>
    <row r="31" spans="1:39" ht="12.75" hidden="1" customHeight="1" x14ac:dyDescent="0.3">
      <c r="A31" s="184">
        <v>31</v>
      </c>
      <c r="B31" s="185" t="s">
        <v>11</v>
      </c>
      <c r="C31" s="120" t="e">
        <f>'str1'!#REF!</f>
        <v>#REF!</v>
      </c>
      <c r="D31" s="120">
        <f t="shared" si="21"/>
        <v>156226.39622461359</v>
      </c>
      <c r="E31" s="186" t="e">
        <f t="shared" si="22"/>
        <v>#REF!</v>
      </c>
      <c r="F31" s="186"/>
      <c r="G31" s="186"/>
      <c r="H31" s="186"/>
      <c r="I31" s="186"/>
      <c r="J31" s="186"/>
      <c r="K31" s="186"/>
      <c r="L31" s="120">
        <v>345106</v>
      </c>
      <c r="M31" s="120"/>
      <c r="N31" s="186"/>
      <c r="O31" s="120"/>
      <c r="P31" s="120"/>
      <c r="Q31" s="186"/>
      <c r="R31" s="120"/>
      <c r="S31" s="120"/>
      <c r="T31" s="186"/>
      <c r="U31" s="13"/>
      <c r="V31" s="13"/>
      <c r="W31" s="13"/>
      <c r="X31" s="13"/>
      <c r="Y31" s="13"/>
      <c r="Z31" s="13"/>
      <c r="AA31" s="13"/>
      <c r="AB31" s="13"/>
      <c r="AC31" s="13"/>
      <c r="AD31" s="120"/>
      <c r="AE31" s="13"/>
      <c r="AF31" s="13"/>
      <c r="AG31" s="13"/>
      <c r="AH31" s="13"/>
      <c r="AI31" s="13"/>
      <c r="AJ31" s="13"/>
      <c r="AK31" s="13"/>
    </row>
    <row r="32" spans="1:39" ht="12.75" hidden="1" customHeight="1" x14ac:dyDescent="0.3">
      <c r="A32" s="184">
        <v>33</v>
      </c>
      <c r="B32" s="185" t="s">
        <v>12</v>
      </c>
      <c r="C32" s="120" t="e">
        <f>'str1'!#REF!</f>
        <v>#REF!</v>
      </c>
      <c r="D32" s="120">
        <f t="shared" si="21"/>
        <v>33599.742149182879</v>
      </c>
      <c r="E32" s="186" t="e">
        <f t="shared" si="22"/>
        <v>#REF!</v>
      </c>
      <c r="F32" s="186"/>
      <c r="G32" s="186"/>
      <c r="H32" s="186"/>
      <c r="I32" s="186"/>
      <c r="J32" s="186"/>
      <c r="K32" s="186"/>
      <c r="L32" s="120">
        <v>126549</v>
      </c>
      <c r="M32" s="120"/>
      <c r="N32" s="186"/>
      <c r="O32" s="120"/>
      <c r="P32" s="120"/>
      <c r="Q32" s="186"/>
      <c r="R32" s="120"/>
      <c r="S32" s="120"/>
      <c r="T32" s="186"/>
      <c r="AD32" s="120"/>
    </row>
    <row r="33" spans="1:32" ht="12.75" hidden="1" customHeight="1" x14ac:dyDescent="0.3">
      <c r="A33" s="184">
        <v>41</v>
      </c>
      <c r="B33" s="185" t="s">
        <v>13</v>
      </c>
      <c r="C33" s="120" t="e">
        <f>'str1'!#REF!</f>
        <v>#REF!</v>
      </c>
      <c r="D33" s="120">
        <f t="shared" si="21"/>
        <v>36033.506814794819</v>
      </c>
      <c r="E33" s="186" t="e">
        <f t="shared" si="22"/>
        <v>#REF!</v>
      </c>
      <c r="F33" s="186"/>
      <c r="G33" s="186"/>
      <c r="H33" s="186"/>
      <c r="I33" s="186"/>
      <c r="J33" s="186"/>
      <c r="K33" s="186"/>
      <c r="L33" s="120">
        <v>202164</v>
      </c>
      <c r="M33" s="120"/>
      <c r="N33" s="186"/>
      <c r="O33" s="120"/>
      <c r="P33" s="120"/>
      <c r="Q33" s="186"/>
      <c r="R33" s="120"/>
      <c r="S33" s="120"/>
      <c r="T33" s="186"/>
      <c r="AD33" s="120"/>
    </row>
    <row r="34" spans="1:32" ht="12.75" hidden="1" customHeight="1" x14ac:dyDescent="0.3">
      <c r="A34" s="184">
        <v>51</v>
      </c>
      <c r="B34" s="185" t="s">
        <v>14</v>
      </c>
      <c r="C34" s="120" t="e">
        <f>'str1'!#REF!</f>
        <v>#REF!</v>
      </c>
      <c r="D34" s="120">
        <f t="shared" si="21"/>
        <v>12825.808374797058</v>
      </c>
      <c r="E34" s="186" t="e">
        <f t="shared" si="22"/>
        <v>#REF!</v>
      </c>
      <c r="F34" s="186"/>
      <c r="G34" s="186"/>
      <c r="H34" s="186"/>
      <c r="I34" s="186"/>
      <c r="J34" s="186"/>
      <c r="K34" s="186"/>
      <c r="L34" s="120">
        <v>71266</v>
      </c>
      <c r="M34" s="120"/>
      <c r="N34" s="186"/>
      <c r="O34" s="120"/>
      <c r="P34" s="120"/>
      <c r="Q34" s="186"/>
      <c r="R34" s="120"/>
      <c r="S34" s="120"/>
      <c r="T34" s="186"/>
      <c r="AD34" s="120"/>
    </row>
    <row r="35" spans="1:32" ht="12.75" hidden="1" customHeight="1" x14ac:dyDescent="0.3">
      <c r="A35" s="184">
        <v>56</v>
      </c>
      <c r="B35" s="185" t="s">
        <v>15</v>
      </c>
      <c r="C35" s="120" t="e">
        <f>'str1'!#REF!</f>
        <v>#REF!</v>
      </c>
      <c r="D35" s="120">
        <f t="shared" si="21"/>
        <v>33928.081044533123</v>
      </c>
      <c r="E35" s="186" t="e">
        <f t="shared" si="22"/>
        <v>#REF!</v>
      </c>
      <c r="F35" s="186"/>
      <c r="G35" s="186"/>
      <c r="H35" s="186"/>
      <c r="I35" s="186"/>
      <c r="J35" s="186"/>
      <c r="K35" s="186"/>
      <c r="L35" s="120">
        <v>122590</v>
      </c>
      <c r="M35" s="120"/>
      <c r="N35" s="186"/>
      <c r="O35" s="120"/>
      <c r="P35" s="120"/>
      <c r="Q35" s="186"/>
      <c r="R35" s="120"/>
      <c r="S35" s="120"/>
      <c r="T35" s="186"/>
      <c r="AD35" s="120"/>
    </row>
    <row r="36" spans="1:32" ht="12.75" hidden="1" customHeight="1" x14ac:dyDescent="0.3">
      <c r="A36" s="184">
        <v>71</v>
      </c>
      <c r="B36" s="185" t="s">
        <v>178</v>
      </c>
      <c r="C36" s="120" t="e">
        <f>'str1'!#REF!</f>
        <v>#REF!</v>
      </c>
      <c r="D36" s="120">
        <f t="shared" si="21"/>
        <v>38273.066224660754</v>
      </c>
      <c r="E36" s="186" t="e">
        <f t="shared" si="22"/>
        <v>#REF!</v>
      </c>
      <c r="F36" s="186"/>
      <c r="G36" s="186"/>
      <c r="H36" s="186"/>
      <c r="I36" s="186"/>
      <c r="J36" s="186"/>
      <c r="K36" s="186"/>
      <c r="L36" s="120">
        <v>21395</v>
      </c>
      <c r="M36" s="120"/>
      <c r="N36" s="186"/>
      <c r="O36" s="120"/>
      <c r="P36" s="120"/>
      <c r="Q36" s="186"/>
      <c r="R36" s="120"/>
      <c r="S36" s="120"/>
      <c r="T36" s="186"/>
      <c r="AD36" s="120"/>
    </row>
    <row r="37" spans="1:32" ht="12.75" hidden="1" customHeight="1" x14ac:dyDescent="0.3">
      <c r="A37" s="184">
        <v>85</v>
      </c>
      <c r="B37" s="185" t="s">
        <v>95</v>
      </c>
      <c r="C37" s="120" t="e">
        <f>'str1'!#REF!</f>
        <v>#REF!</v>
      </c>
      <c r="D37" s="120">
        <f t="shared" si="21"/>
        <v>368.08420057933222</v>
      </c>
      <c r="E37" s="187" t="e">
        <f t="shared" si="22"/>
        <v>#REF!</v>
      </c>
      <c r="F37" s="187"/>
      <c r="G37" s="187"/>
      <c r="H37" s="187"/>
      <c r="I37" s="187"/>
      <c r="J37" s="187"/>
      <c r="K37" s="187"/>
      <c r="L37" s="120">
        <v>1648</v>
      </c>
      <c r="M37" s="120"/>
      <c r="N37" s="187"/>
      <c r="O37" s="120"/>
      <c r="P37" s="120"/>
      <c r="Q37" s="187"/>
      <c r="R37" s="120"/>
      <c r="S37" s="120"/>
      <c r="T37" s="187"/>
      <c r="AD37" s="120"/>
    </row>
    <row r="38" spans="1:32" ht="13.5" hidden="1" customHeight="1" thickBot="1" x14ac:dyDescent="0.35">
      <c r="A38" s="188">
        <v>92</v>
      </c>
      <c r="B38" s="189" t="s">
        <v>17</v>
      </c>
      <c r="C38" s="190" t="e">
        <f>'str1'!#REF!</f>
        <v>#REF!</v>
      </c>
      <c r="D38" s="190">
        <f t="shared" si="21"/>
        <v>4061.0485061263221</v>
      </c>
      <c r="E38" s="191" t="e">
        <f t="shared" si="22"/>
        <v>#REF!</v>
      </c>
      <c r="F38" s="191"/>
      <c r="G38" s="191"/>
      <c r="H38" s="191"/>
      <c r="I38" s="191"/>
      <c r="J38" s="191"/>
      <c r="K38" s="191"/>
      <c r="L38" s="190">
        <v>2251</v>
      </c>
      <c r="M38" s="190"/>
      <c r="N38" s="191"/>
      <c r="O38" s="190"/>
      <c r="P38" s="190"/>
      <c r="Q38" s="191"/>
      <c r="R38" s="190"/>
      <c r="S38" s="190"/>
      <c r="T38" s="191"/>
      <c r="AD38" s="190"/>
    </row>
    <row r="39" spans="1:32" ht="13.5" hidden="1" customHeight="1" thickBot="1" x14ac:dyDescent="0.35">
      <c r="A39" s="192" t="s">
        <v>67</v>
      </c>
      <c r="B39" s="128"/>
      <c r="C39" s="122" t="e">
        <f>SUM(C27:C37)</f>
        <v>#REF!</v>
      </c>
      <c r="D39" s="122">
        <f>SUM(D27:D38)</f>
        <v>572129.93484247825</v>
      </c>
      <c r="E39" s="193" t="e">
        <f>SUM(E27:E38)</f>
        <v>#REF!</v>
      </c>
      <c r="F39" s="193"/>
      <c r="G39" s="193"/>
      <c r="H39" s="193"/>
      <c r="I39" s="193"/>
      <c r="J39" s="193"/>
      <c r="K39" s="193"/>
      <c r="L39" s="122">
        <f>SUM(L27:L38)</f>
        <v>1820104</v>
      </c>
      <c r="M39" s="122"/>
      <c r="N39" s="193"/>
      <c r="O39" s="122"/>
      <c r="P39" s="122"/>
      <c r="Q39" s="193"/>
      <c r="R39" s="122"/>
      <c r="S39" s="122"/>
      <c r="T39" s="193"/>
      <c r="AD39" s="122"/>
    </row>
    <row r="40" spans="1:32" hidden="1" x14ac:dyDescent="0.3">
      <c r="A40" s="194"/>
      <c r="B40" s="195"/>
      <c r="C40" s="195"/>
      <c r="D40" s="195"/>
      <c r="E40" s="195"/>
      <c r="F40" s="195"/>
      <c r="G40" s="195"/>
      <c r="H40" s="195"/>
      <c r="I40" s="195"/>
      <c r="J40" s="195"/>
      <c r="K40" s="195"/>
      <c r="L40" s="195"/>
      <c r="M40" s="195"/>
      <c r="N40" s="195"/>
      <c r="O40" s="195"/>
      <c r="P40" s="195"/>
      <c r="Q40" s="195"/>
      <c r="R40" s="195"/>
      <c r="S40" s="195"/>
      <c r="T40" s="195"/>
      <c r="AD40" s="195"/>
    </row>
    <row r="42" spans="1:32" x14ac:dyDescent="0.3">
      <c r="AE42" s="1071"/>
      <c r="AF42" s="1070"/>
    </row>
    <row r="43" spans="1:32" x14ac:dyDescent="0.3">
      <c r="AE43" s="1071"/>
      <c r="AF43" s="1070"/>
    </row>
    <row r="44" spans="1:32" x14ac:dyDescent="0.3">
      <c r="AE44" s="1071"/>
      <c r="AF44" s="1070"/>
    </row>
    <row r="45" spans="1:32" x14ac:dyDescent="0.3">
      <c r="C45" s="59"/>
      <c r="D45" s="59"/>
      <c r="E45" s="59"/>
      <c r="F45" s="59"/>
      <c r="G45" s="59"/>
      <c r="H45" s="59"/>
      <c r="I45" s="59"/>
      <c r="J45" s="59"/>
      <c r="K45" s="59"/>
      <c r="L45" s="59"/>
      <c r="M45" s="59"/>
      <c r="N45" s="59"/>
      <c r="O45" s="59"/>
      <c r="P45" s="59"/>
      <c r="Q45" s="59"/>
      <c r="R45" s="59"/>
      <c r="S45" s="59"/>
      <c r="T45" s="59"/>
      <c r="AE45" s="1071"/>
      <c r="AF45" s="1070"/>
    </row>
    <row r="46" spans="1:32" x14ac:dyDescent="0.3">
      <c r="AE46" s="1071"/>
      <c r="AF46" s="1070"/>
    </row>
    <row r="47" spans="1:32" x14ac:dyDescent="0.3">
      <c r="AE47" s="1071"/>
      <c r="AF47" s="1070"/>
    </row>
    <row r="48" spans="1:32" x14ac:dyDescent="0.3">
      <c r="AE48" s="1071"/>
      <c r="AF48" s="1070"/>
    </row>
    <row r="49" spans="31:32" x14ac:dyDescent="0.3">
      <c r="AE49" s="1071"/>
      <c r="AF49" s="1070"/>
    </row>
    <row r="50" spans="31:32" x14ac:dyDescent="0.3">
      <c r="AE50" s="1071"/>
      <c r="AF50" s="1070"/>
    </row>
  </sheetData>
  <mergeCells count="4">
    <mergeCell ref="A3:B3"/>
    <mergeCell ref="A25:B26"/>
    <mergeCell ref="A4:B4"/>
    <mergeCell ref="AI3:AI4"/>
  </mergeCells>
  <phoneticPr fontId="9" type="noConversion"/>
  <pageMargins left="0.27559055118110237" right="0.19685039370078741" top="0.98425196850393704" bottom="0.98425196850393704" header="0.51181102362204722" footer="0.51181102362204722"/>
  <pageSetup paperSize="9" scale="52" orientation="landscape"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T26"/>
  <sheetViews>
    <sheetView showGridLines="0" workbookViewId="0"/>
  </sheetViews>
  <sheetFormatPr defaultColWidth="11.44140625" defaultRowHeight="13.8" x14ac:dyDescent="0.3"/>
  <cols>
    <col min="1" max="1" width="11.44140625" style="1" customWidth="1"/>
    <col min="2" max="2" width="11.33203125" style="1" customWidth="1"/>
    <col min="3" max="3" width="10.44140625" style="1" customWidth="1"/>
    <col min="4" max="4" width="10.33203125" style="1" customWidth="1"/>
    <col min="5" max="5" width="10.6640625" style="1" customWidth="1"/>
    <col min="6" max="7" width="11.33203125" style="1" customWidth="1"/>
    <col min="8" max="8" width="10.44140625" style="1" customWidth="1"/>
    <col min="9" max="9" width="10.33203125" style="1" customWidth="1"/>
    <col min="10" max="10" width="11" style="1" bestFit="1" customWidth="1"/>
    <col min="11" max="11" width="9.6640625" style="1" customWidth="1"/>
    <col min="12" max="12" width="9.33203125" style="1" customWidth="1"/>
    <col min="13" max="13" width="9.5546875" style="1" customWidth="1"/>
    <col min="14" max="14" width="4" style="1" customWidth="1"/>
    <col min="15" max="15" width="10.33203125" style="1" customWidth="1"/>
    <col min="16" max="16" width="2.6640625" style="1" customWidth="1"/>
    <col min="17" max="17" width="8.6640625" style="1" customWidth="1"/>
    <col min="18" max="18" width="11.44140625" style="1" customWidth="1"/>
    <col min="19" max="19" width="10.6640625" style="1" customWidth="1"/>
    <col min="20" max="16384" width="11.44140625" style="1"/>
  </cols>
  <sheetData>
    <row r="1" spans="1:19" ht="15.6" x14ac:dyDescent="0.3">
      <c r="A1" s="60" t="s">
        <v>603</v>
      </c>
    </row>
    <row r="2" spans="1:19" ht="14.4" thickBot="1" x14ac:dyDescent="0.35"/>
    <row r="3" spans="1:19" ht="27.6" x14ac:dyDescent="0.3">
      <c r="A3" s="1196" t="s">
        <v>371</v>
      </c>
      <c r="B3" s="1197" t="s">
        <v>578</v>
      </c>
      <c r="C3" s="1198" t="s">
        <v>579</v>
      </c>
      <c r="D3" s="1199" t="s">
        <v>580</v>
      </c>
      <c r="E3" s="1200" t="s">
        <v>70</v>
      </c>
      <c r="S3" s="59"/>
    </row>
    <row r="4" spans="1:19" x14ac:dyDescent="0.3">
      <c r="A4" s="1201" t="s">
        <v>7</v>
      </c>
      <c r="B4" s="634">
        <v>75750.8</v>
      </c>
      <c r="C4" s="634">
        <v>15268.355254663398</v>
      </c>
      <c r="D4" s="1202"/>
      <c r="E4" s="1203">
        <f>SUM(B4:D4)</f>
        <v>91019.155254663405</v>
      </c>
      <c r="S4" s="59"/>
    </row>
    <row r="5" spans="1:19" x14ac:dyDescent="0.3">
      <c r="A5" s="1542" t="s">
        <v>613</v>
      </c>
      <c r="B5" s="1537"/>
      <c r="C5" s="1537"/>
      <c r="D5" s="1534"/>
      <c r="E5" s="1203">
        <v>20248.000235294112</v>
      </c>
      <c r="S5" s="59"/>
    </row>
    <row r="6" spans="1:19" x14ac:dyDescent="0.3">
      <c r="A6" s="1201" t="s">
        <v>8</v>
      </c>
      <c r="B6" s="634">
        <v>74632.399999999994</v>
      </c>
      <c r="C6" s="634">
        <v>16617.021525484015</v>
      </c>
      <c r="D6" s="1202"/>
      <c r="E6" s="1203">
        <f t="shared" ref="E6:E20" si="0">SUM(B6:D6)</f>
        <v>91249.421525484009</v>
      </c>
      <c r="S6" s="59"/>
    </row>
    <row r="7" spans="1:19" x14ac:dyDescent="0.3">
      <c r="A7" s="1201" t="s">
        <v>9</v>
      </c>
      <c r="B7" s="634">
        <v>26143.8</v>
      </c>
      <c r="C7" s="634">
        <v>4152.9105966166308</v>
      </c>
      <c r="D7" s="1202"/>
      <c r="E7" s="1203">
        <f t="shared" si="0"/>
        <v>30296.710596616631</v>
      </c>
      <c r="S7" s="59"/>
    </row>
    <row r="8" spans="1:19" x14ac:dyDescent="0.3">
      <c r="A8" s="1201" t="s">
        <v>10</v>
      </c>
      <c r="B8" s="634">
        <v>40034.5</v>
      </c>
      <c r="C8" s="634">
        <v>21545.874273015255</v>
      </c>
      <c r="D8" s="1202"/>
      <c r="E8" s="1203">
        <f t="shared" si="0"/>
        <v>61580.374273015259</v>
      </c>
      <c r="S8" s="59"/>
    </row>
    <row r="9" spans="1:19" ht="13.2" customHeight="1" x14ac:dyDescent="0.3">
      <c r="A9" s="1201" t="s">
        <v>11</v>
      </c>
      <c r="B9" s="634">
        <v>274096.09999999998</v>
      </c>
      <c r="C9" s="634">
        <v>48924.110893178768</v>
      </c>
      <c r="D9" s="1202"/>
      <c r="E9" s="1203">
        <f t="shared" si="0"/>
        <v>323020.21089317877</v>
      </c>
      <c r="S9" s="59"/>
    </row>
    <row r="10" spans="1:19" x14ac:dyDescent="0.3">
      <c r="A10" s="1201" t="s">
        <v>12</v>
      </c>
      <c r="B10" s="634">
        <v>46326</v>
      </c>
      <c r="C10" s="634">
        <v>6988.0686743899169</v>
      </c>
      <c r="D10" s="1202"/>
      <c r="E10" s="1203">
        <f t="shared" si="0"/>
        <v>53314.068674389913</v>
      </c>
      <c r="S10" s="59"/>
    </row>
    <row r="11" spans="1:19" x14ac:dyDescent="0.3">
      <c r="A11" s="1201" t="s">
        <v>13</v>
      </c>
      <c r="B11" s="634">
        <v>29592.5</v>
      </c>
      <c r="C11" s="634">
        <v>3725.728749945134</v>
      </c>
      <c r="D11" s="1202"/>
      <c r="E11" s="1203">
        <f t="shared" si="0"/>
        <v>33318.228749945134</v>
      </c>
      <c r="S11" s="59"/>
    </row>
    <row r="12" spans="1:19" x14ac:dyDescent="0.3">
      <c r="A12" s="1201" t="s">
        <v>14</v>
      </c>
      <c r="B12" s="634">
        <v>4503.7</v>
      </c>
      <c r="C12" s="634">
        <v>1653.609303564125</v>
      </c>
      <c r="D12" s="1202"/>
      <c r="E12" s="1203">
        <f t="shared" si="0"/>
        <v>6157.309303564125</v>
      </c>
      <c r="S12" s="59"/>
    </row>
    <row r="13" spans="1:19" x14ac:dyDescent="0.3">
      <c r="A13" s="1201" t="s">
        <v>15</v>
      </c>
      <c r="B13" s="634">
        <v>15987.1</v>
      </c>
      <c r="C13" s="634">
        <v>7217.1278265022374</v>
      </c>
      <c r="D13" s="1202"/>
      <c r="E13" s="1203">
        <f t="shared" si="0"/>
        <v>23204.22782650224</v>
      </c>
      <c r="S13" s="59"/>
    </row>
    <row r="14" spans="1:19" x14ac:dyDescent="0.3">
      <c r="A14" s="1201" t="s">
        <v>238</v>
      </c>
      <c r="B14" s="634">
        <v>100878.8</v>
      </c>
      <c r="C14" s="634">
        <v>24885.715981340385</v>
      </c>
      <c r="D14" s="1202"/>
      <c r="E14" s="1203">
        <f t="shared" si="0"/>
        <v>125764.51598134039</v>
      </c>
      <c r="S14" s="59"/>
    </row>
    <row r="15" spans="1:19" x14ac:dyDescent="0.3">
      <c r="A15" s="1201" t="s">
        <v>95</v>
      </c>
      <c r="B15" s="634">
        <v>1793</v>
      </c>
      <c r="C15" s="634"/>
      <c r="D15" s="1202"/>
      <c r="E15" s="1203">
        <f t="shared" si="0"/>
        <v>1793</v>
      </c>
      <c r="S15" s="59"/>
    </row>
    <row r="16" spans="1:19" x14ac:dyDescent="0.3">
      <c r="A16" s="1201" t="s">
        <v>122</v>
      </c>
      <c r="B16" s="634">
        <v>18.600000000000001</v>
      </c>
      <c r="C16" s="634"/>
      <c r="D16" s="1202"/>
      <c r="E16" s="1203">
        <f t="shared" si="0"/>
        <v>18.600000000000001</v>
      </c>
      <c r="S16" s="59"/>
    </row>
    <row r="17" spans="1:20" x14ac:dyDescent="0.3">
      <c r="A17" s="1201" t="s">
        <v>78</v>
      </c>
      <c r="B17" s="634">
        <v>580.79999999999995</v>
      </c>
      <c r="C17" s="634"/>
      <c r="D17" s="1202"/>
      <c r="E17" s="1203">
        <f t="shared" si="0"/>
        <v>580.79999999999995</v>
      </c>
      <c r="S17" s="59"/>
    </row>
    <row r="18" spans="1:20" x14ac:dyDescent="0.3">
      <c r="A18" s="1201" t="s">
        <v>17</v>
      </c>
      <c r="B18" s="634">
        <v>5136.2</v>
      </c>
      <c r="C18" s="634">
        <v>2564.8482413001739</v>
      </c>
      <c r="D18" s="1202"/>
      <c r="E18" s="1203">
        <f t="shared" si="0"/>
        <v>7701.0482413001737</v>
      </c>
      <c r="S18" s="59"/>
    </row>
    <row r="19" spans="1:20" ht="14.4" x14ac:dyDescent="0.3">
      <c r="A19" s="1201" t="s">
        <v>23</v>
      </c>
      <c r="B19" s="634">
        <v>897.2</v>
      </c>
      <c r="C19" s="634"/>
      <c r="D19" s="1202"/>
      <c r="E19" s="1203">
        <f t="shared" si="0"/>
        <v>897.2</v>
      </c>
      <c r="F19" s="1536"/>
      <c r="S19" s="59"/>
    </row>
    <row r="20" spans="1:20" ht="14.4" x14ac:dyDescent="0.3">
      <c r="A20" s="1533" t="s">
        <v>18</v>
      </c>
      <c r="B20" s="634">
        <v>0</v>
      </c>
      <c r="C20" s="634"/>
      <c r="D20" s="1202">
        <v>62000</v>
      </c>
      <c r="E20" s="1203">
        <f t="shared" si="0"/>
        <v>62000</v>
      </c>
      <c r="F20" s="1536"/>
      <c r="S20" s="59"/>
    </row>
    <row r="21" spans="1:20" ht="15" thickBot="1" x14ac:dyDescent="0.35">
      <c r="A21" s="1204" t="s">
        <v>581</v>
      </c>
      <c r="B21" s="1205">
        <f>SUM(B4:B20)</f>
        <v>696371.49999999988</v>
      </c>
      <c r="C21" s="1205">
        <f t="shared" ref="C21:E21" si="1">SUM(C4:C20)</f>
        <v>153543.37132000003</v>
      </c>
      <c r="D21" s="1205">
        <f t="shared" si="1"/>
        <v>62000</v>
      </c>
      <c r="E21" s="1205">
        <f t="shared" si="1"/>
        <v>932162.87155529438</v>
      </c>
      <c r="F21" s="1543"/>
      <c r="S21" s="59"/>
    </row>
    <row r="22" spans="1:20" ht="12.75" customHeight="1" x14ac:dyDescent="0.3">
      <c r="A22" s="1541"/>
      <c r="B22" s="1541"/>
      <c r="C22" s="1541"/>
      <c r="D22" s="1541"/>
      <c r="E22" s="1541"/>
      <c r="F22" s="1536"/>
      <c r="T22" s="59"/>
    </row>
    <row r="23" spans="1:20" ht="8.4" customHeight="1" x14ac:dyDescent="0.3">
      <c r="A23" s="1536"/>
      <c r="B23" s="1536"/>
      <c r="C23" s="1536"/>
      <c r="D23" s="1536"/>
      <c r="E23" s="1536"/>
      <c r="F23" s="1536"/>
      <c r="T23" s="59"/>
    </row>
    <row r="24" spans="1:20" x14ac:dyDescent="0.3">
      <c r="T24" s="59"/>
    </row>
    <row r="26" spans="1:20" x14ac:dyDescent="0.3">
      <c r="L26" s="59"/>
    </row>
  </sheetData>
  <pageMargins left="0.70866141732283472" right="0.70866141732283472" top="0.78740157480314965" bottom="0.78740157480314965" header="0.31496062992125984" footer="0.31496062992125984"/>
  <pageSetup paperSize="9" orientation="landscape" r:id="rId1"/>
  <headerFooter alignWithMargins="0">
    <oddFooter xml:space="preserve">&amp;C&amp;9 3  
&amp;10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O51"/>
  <sheetViews>
    <sheetView showGridLines="0" workbookViewId="0"/>
  </sheetViews>
  <sheetFormatPr defaultColWidth="8.6640625" defaultRowHeight="13.8" x14ac:dyDescent="0.3"/>
  <cols>
    <col min="1" max="1" width="3.6640625" style="1" customWidth="1"/>
    <col min="2" max="2" width="8.6640625" style="1"/>
    <col min="3" max="3" width="9.6640625" style="1" customWidth="1"/>
    <col min="4" max="5" width="10.6640625" style="1" customWidth="1"/>
    <col min="6" max="6" width="10" style="1" customWidth="1"/>
    <col min="7" max="7" width="11" style="1" customWidth="1"/>
    <col min="8" max="8" width="9.5546875" style="1" customWidth="1"/>
    <col min="9" max="9" width="9.33203125" style="1" bestFit="1" customWidth="1"/>
    <col min="10" max="16384" width="8.6640625" style="1"/>
  </cols>
  <sheetData>
    <row r="1" spans="1:12" ht="16.2" thickBot="1" x14ac:dyDescent="0.35">
      <c r="A1" s="57" t="s">
        <v>273</v>
      </c>
      <c r="B1" s="12"/>
      <c r="C1" s="12"/>
      <c r="D1" s="12"/>
      <c r="E1" s="12"/>
      <c r="F1" s="12"/>
      <c r="G1" s="12"/>
      <c r="H1" s="12"/>
      <c r="I1" s="12"/>
      <c r="J1" s="13"/>
      <c r="K1" s="13"/>
      <c r="L1" s="13"/>
    </row>
    <row r="2" spans="1:12" x14ac:dyDescent="0.3">
      <c r="A2" s="73"/>
      <c r="B2" s="76"/>
      <c r="C2" s="1612" t="s">
        <v>604</v>
      </c>
      <c r="D2" s="1613"/>
      <c r="E2" s="1614"/>
      <c r="F2" s="1615" t="s">
        <v>583</v>
      </c>
      <c r="G2" s="1615"/>
      <c r="H2" s="1616"/>
      <c r="I2" s="12"/>
      <c r="J2" s="12"/>
      <c r="K2" s="12"/>
      <c r="L2" s="13"/>
    </row>
    <row r="3" spans="1:12" ht="33.75" customHeight="1" thickBot="1" x14ac:dyDescent="0.35">
      <c r="A3" s="1620" t="s">
        <v>6</v>
      </c>
      <c r="B3" s="1621"/>
      <c r="C3" s="197" t="s">
        <v>19</v>
      </c>
      <c r="D3" s="198" t="s">
        <v>582</v>
      </c>
      <c r="E3" s="199" t="s">
        <v>16</v>
      </c>
      <c r="F3" s="200" t="s">
        <v>19</v>
      </c>
      <c r="G3" s="198" t="s">
        <v>582</v>
      </c>
      <c r="H3" s="199" t="s">
        <v>16</v>
      </c>
      <c r="I3" s="12"/>
      <c r="J3" s="12"/>
      <c r="K3" s="12"/>
      <c r="L3" s="13"/>
    </row>
    <row r="4" spans="1:12" ht="14.4" thickBot="1" x14ac:dyDescent="0.35">
      <c r="A4" s="569">
        <v>11</v>
      </c>
      <c r="B4" s="130" t="s">
        <v>7</v>
      </c>
      <c r="C4" s="201">
        <f>'str1'!H17</f>
        <v>414960.4</v>
      </c>
      <c r="D4" s="202">
        <f>'str3'!E4</f>
        <v>91019.155254663405</v>
      </c>
      <c r="E4" s="586">
        <f>SUM(C4:D4)</f>
        <v>505979.55525466346</v>
      </c>
      <c r="F4" s="201">
        <v>413650.1</v>
      </c>
      <c r="G4" s="202">
        <v>87899.281904619929</v>
      </c>
      <c r="H4" s="586">
        <v>501549.38190461992</v>
      </c>
      <c r="I4" s="12"/>
      <c r="J4" s="12"/>
      <c r="K4" s="12"/>
      <c r="L4" s="13"/>
    </row>
    <row r="5" spans="1:12" x14ac:dyDescent="0.3">
      <c r="A5" s="1239">
        <v>16</v>
      </c>
      <c r="B5" s="1236" t="s">
        <v>613</v>
      </c>
      <c r="C5" s="201">
        <f>'str1'!H18</f>
        <v>66644.399999999994</v>
      </c>
      <c r="D5" s="202">
        <f>'str3'!E5</f>
        <v>20248.000235294112</v>
      </c>
      <c r="E5" s="586">
        <f>SUM(C5:D5)</f>
        <v>86892.400235294102</v>
      </c>
      <c r="F5" s="1241">
        <v>0</v>
      </c>
      <c r="G5" s="1240">
        <v>0</v>
      </c>
      <c r="H5" s="1242">
        <v>0</v>
      </c>
      <c r="I5" s="12"/>
      <c r="J5" s="12"/>
      <c r="K5" s="12"/>
      <c r="L5" s="13"/>
    </row>
    <row r="6" spans="1:12" x14ac:dyDescent="0.3">
      <c r="A6" s="570">
        <v>21</v>
      </c>
      <c r="B6" s="134" t="s">
        <v>8</v>
      </c>
      <c r="C6" s="537">
        <f>'str1'!H19</f>
        <v>412047.6</v>
      </c>
      <c r="D6" s="206">
        <f>'str3'!E6</f>
        <v>91249.421525484009</v>
      </c>
      <c r="E6" s="204">
        <f t="shared" ref="E6:E21" si="0">SUM(C6:D6)</f>
        <v>503297.02152548399</v>
      </c>
      <c r="F6" s="205">
        <v>411292.2</v>
      </c>
      <c r="G6" s="206">
        <v>84126.93832749025</v>
      </c>
      <c r="H6" s="587">
        <v>495419.13832749025</v>
      </c>
      <c r="I6" s="12"/>
      <c r="J6" s="12"/>
      <c r="K6" s="12"/>
      <c r="L6" s="13"/>
    </row>
    <row r="7" spans="1:12" x14ac:dyDescent="0.3">
      <c r="A7" s="570">
        <v>22</v>
      </c>
      <c r="B7" s="134" t="s">
        <v>9</v>
      </c>
      <c r="C7" s="537">
        <f>'str1'!H20</f>
        <v>156605.1</v>
      </c>
      <c r="D7" s="206">
        <f>'str3'!E7</f>
        <v>30296.710596616631</v>
      </c>
      <c r="E7" s="204">
        <f t="shared" si="0"/>
        <v>186901.81059661665</v>
      </c>
      <c r="F7" s="205">
        <v>152439.9</v>
      </c>
      <c r="G7" s="206">
        <v>31753.645615777277</v>
      </c>
      <c r="H7" s="587">
        <v>184193.54561577726</v>
      </c>
      <c r="I7" s="12"/>
      <c r="J7" s="12"/>
      <c r="K7" s="12"/>
      <c r="L7" s="13"/>
    </row>
    <row r="8" spans="1:12" x14ac:dyDescent="0.3">
      <c r="A8" s="570">
        <v>23</v>
      </c>
      <c r="B8" s="134" t="s">
        <v>10</v>
      </c>
      <c r="C8" s="537">
        <f>'str1'!H21</f>
        <v>190749.6</v>
      </c>
      <c r="D8" s="206">
        <f>'str3'!E8</f>
        <v>61580.374273015259</v>
      </c>
      <c r="E8" s="204">
        <f t="shared" si="0"/>
        <v>252329.97427301528</v>
      </c>
      <c r="F8" s="205">
        <v>183333.5</v>
      </c>
      <c r="G8" s="206">
        <v>54373.120726495377</v>
      </c>
      <c r="H8" s="587">
        <v>237706.62072649537</v>
      </c>
      <c r="I8" s="12"/>
      <c r="J8" s="12"/>
      <c r="K8" s="12"/>
      <c r="L8" s="13"/>
    </row>
    <row r="9" spans="1:12" x14ac:dyDescent="0.3">
      <c r="A9" s="570">
        <v>31</v>
      </c>
      <c r="B9" s="134" t="s">
        <v>11</v>
      </c>
      <c r="C9" s="537">
        <f>'str1'!H22</f>
        <v>486192.6</v>
      </c>
      <c r="D9" s="206">
        <f>'str3'!E9</f>
        <v>323020.21089317877</v>
      </c>
      <c r="E9" s="204">
        <f t="shared" si="0"/>
        <v>809212.81089317868</v>
      </c>
      <c r="F9" s="205">
        <v>467518.6</v>
      </c>
      <c r="G9" s="206">
        <v>301958.16776458832</v>
      </c>
      <c r="H9" s="587">
        <v>769476.76776458835</v>
      </c>
      <c r="I9" s="12"/>
      <c r="J9" s="12"/>
      <c r="K9" s="12"/>
      <c r="L9" s="13"/>
    </row>
    <row r="10" spans="1:12" x14ac:dyDescent="0.3">
      <c r="A10" s="570">
        <v>33</v>
      </c>
      <c r="B10" s="134" t="s">
        <v>12</v>
      </c>
      <c r="C10" s="537">
        <f>'str1'!H23</f>
        <v>171021.4</v>
      </c>
      <c r="D10" s="206">
        <f>'str3'!E10</f>
        <v>53314.068674389913</v>
      </c>
      <c r="E10" s="204">
        <f t="shared" si="0"/>
        <v>224335.46867438991</v>
      </c>
      <c r="F10" s="205">
        <v>165989.6</v>
      </c>
      <c r="G10" s="206">
        <v>52975.863119559363</v>
      </c>
      <c r="H10" s="587">
        <v>218965.46311955937</v>
      </c>
      <c r="I10" s="12"/>
      <c r="J10" s="12"/>
      <c r="K10" s="12"/>
      <c r="L10" s="13"/>
    </row>
    <row r="11" spans="1:12" x14ac:dyDescent="0.3">
      <c r="A11" s="570">
        <v>41</v>
      </c>
      <c r="B11" s="134" t="s">
        <v>13</v>
      </c>
      <c r="C11" s="588">
        <f>'str1'!H24</f>
        <v>254586.6</v>
      </c>
      <c r="D11" s="206">
        <f>'str3'!E11</f>
        <v>33318.228749945134</v>
      </c>
      <c r="E11" s="204">
        <f t="shared" si="0"/>
        <v>287904.82874994515</v>
      </c>
      <c r="F11" s="205">
        <v>238322.5</v>
      </c>
      <c r="G11" s="206">
        <v>34841.842922172254</v>
      </c>
      <c r="H11" s="587">
        <v>273164.34292217228</v>
      </c>
      <c r="I11" s="12"/>
      <c r="J11" s="12"/>
      <c r="K11" s="12"/>
      <c r="L11" s="13"/>
    </row>
    <row r="12" spans="1:12" x14ac:dyDescent="0.3">
      <c r="A12" s="570">
        <v>51</v>
      </c>
      <c r="B12" s="134" t="s">
        <v>14</v>
      </c>
      <c r="C12" s="537">
        <f>'str1'!H25</f>
        <v>95735.7</v>
      </c>
      <c r="D12" s="206">
        <f>'str3'!E12</f>
        <v>6157.309303564125</v>
      </c>
      <c r="E12" s="204">
        <f t="shared" si="0"/>
        <v>101893.00930356412</v>
      </c>
      <c r="F12" s="205">
        <v>91390</v>
      </c>
      <c r="G12" s="206">
        <v>8068.2852163608832</v>
      </c>
      <c r="H12" s="587">
        <v>99458.285216360877</v>
      </c>
      <c r="I12" s="12"/>
      <c r="J12" s="12"/>
      <c r="K12" s="12"/>
      <c r="L12" s="13"/>
    </row>
    <row r="13" spans="1:12" x14ac:dyDescent="0.3">
      <c r="A13" s="570">
        <v>56</v>
      </c>
      <c r="B13" s="134" t="s">
        <v>15</v>
      </c>
      <c r="C13" s="589">
        <f>'str1'!H26</f>
        <v>159273.60000000001</v>
      </c>
      <c r="D13" s="206">
        <f>'str3'!E13</f>
        <v>23204.22782650224</v>
      </c>
      <c r="E13" s="204">
        <f t="shared" si="0"/>
        <v>182477.82782650224</v>
      </c>
      <c r="F13" s="205">
        <v>156501.5</v>
      </c>
      <c r="G13" s="206">
        <v>23521.039341130112</v>
      </c>
      <c r="H13" s="587">
        <v>180022.53934113012</v>
      </c>
      <c r="I13" s="12"/>
      <c r="J13" s="12"/>
      <c r="K13" s="12"/>
      <c r="L13" s="13"/>
    </row>
    <row r="14" spans="1:12" x14ac:dyDescent="0.3">
      <c r="A14" s="570"/>
      <c r="B14" s="134" t="s">
        <v>173</v>
      </c>
      <c r="C14" s="537">
        <v>0</v>
      </c>
      <c r="D14" s="206">
        <v>0</v>
      </c>
      <c r="E14" s="204">
        <f t="shared" si="0"/>
        <v>0</v>
      </c>
      <c r="F14" s="205">
        <v>0</v>
      </c>
      <c r="G14" s="206">
        <v>0</v>
      </c>
      <c r="H14" s="587">
        <v>0</v>
      </c>
      <c r="I14" s="12"/>
      <c r="J14" s="12"/>
      <c r="K14" s="12"/>
      <c r="L14" s="13"/>
    </row>
    <row r="15" spans="1:12" x14ac:dyDescent="0.3">
      <c r="A15" s="570">
        <v>71</v>
      </c>
      <c r="B15" s="134" t="s">
        <v>178</v>
      </c>
      <c r="C15" s="537">
        <f>'str1'!H27</f>
        <v>38273.1</v>
      </c>
      <c r="D15" s="206">
        <f>'str3'!E14</f>
        <v>125764.51598134039</v>
      </c>
      <c r="E15" s="204">
        <f t="shared" si="0"/>
        <v>164037.61598134038</v>
      </c>
      <c r="F15" s="205">
        <v>35482.300000000003</v>
      </c>
      <c r="G15" s="206">
        <v>121125.37366406241</v>
      </c>
      <c r="H15" s="587">
        <v>156607.6736640624</v>
      </c>
      <c r="I15" s="12"/>
      <c r="J15" s="12"/>
      <c r="K15" s="12"/>
      <c r="L15" s="13"/>
    </row>
    <row r="16" spans="1:12" x14ac:dyDescent="0.3">
      <c r="A16" s="570">
        <v>84</v>
      </c>
      <c r="B16" s="134" t="s">
        <v>78</v>
      </c>
      <c r="C16" s="537">
        <v>0</v>
      </c>
      <c r="D16" s="206">
        <f>'str3'!E17</f>
        <v>580.79999999999995</v>
      </c>
      <c r="E16" s="204">
        <f t="shared" si="0"/>
        <v>580.79999999999995</v>
      </c>
      <c r="F16" s="205">
        <v>0</v>
      </c>
      <c r="G16" s="206">
        <v>580.79999999999995</v>
      </c>
      <c r="H16" s="587">
        <v>580.79999999999995</v>
      </c>
      <c r="I16" s="12"/>
      <c r="J16" s="12"/>
      <c r="K16" s="12"/>
      <c r="L16" s="13"/>
    </row>
    <row r="17" spans="1:15" x14ac:dyDescent="0.3">
      <c r="A17" s="570">
        <v>85</v>
      </c>
      <c r="B17" s="134" t="s">
        <v>95</v>
      </c>
      <c r="C17" s="537">
        <f>'str1'!H28</f>
        <v>368.1</v>
      </c>
      <c r="D17" s="206">
        <f>'str3'!E15</f>
        <v>1793</v>
      </c>
      <c r="E17" s="204">
        <f t="shared" si="0"/>
        <v>2161.1</v>
      </c>
      <c r="F17" s="205">
        <v>435.7</v>
      </c>
      <c r="G17" s="206">
        <v>1793</v>
      </c>
      <c r="H17" s="587">
        <v>2228.6999999999998</v>
      </c>
      <c r="I17" s="12"/>
      <c r="J17" s="12"/>
      <c r="K17" s="12"/>
      <c r="L17" s="13"/>
    </row>
    <row r="18" spans="1:15" x14ac:dyDescent="0.3">
      <c r="A18" s="570">
        <v>87</v>
      </c>
      <c r="B18" s="134" t="s">
        <v>122</v>
      </c>
      <c r="C18" s="537"/>
      <c r="D18" s="206">
        <f>'str3'!E16</f>
        <v>18.600000000000001</v>
      </c>
      <c r="E18" s="204">
        <f>SUM(C18:D18)</f>
        <v>18.600000000000001</v>
      </c>
      <c r="F18" s="205"/>
      <c r="G18" s="206">
        <v>18.600000000000001</v>
      </c>
      <c r="H18" s="587">
        <v>18.600000000000001</v>
      </c>
      <c r="I18" s="12"/>
      <c r="J18" s="12"/>
      <c r="K18" s="12"/>
      <c r="L18" s="13"/>
    </row>
    <row r="19" spans="1:15" x14ac:dyDescent="0.3">
      <c r="A19" s="570">
        <v>92</v>
      </c>
      <c r="B19" s="134" t="s">
        <v>17</v>
      </c>
      <c r="C19" s="537">
        <f>'str1'!H29</f>
        <v>4061</v>
      </c>
      <c r="D19" s="206">
        <f>'str3'!E18</f>
        <v>7701.0482413001737</v>
      </c>
      <c r="E19" s="204">
        <f t="shared" si="0"/>
        <v>11762.048241300174</v>
      </c>
      <c r="F19" s="205">
        <v>3362.4</v>
      </c>
      <c r="G19" s="206">
        <v>9151.0853977437546</v>
      </c>
      <c r="H19" s="587">
        <v>12513.485397743754</v>
      </c>
      <c r="I19" s="12"/>
      <c r="J19" s="12"/>
      <c r="K19" s="12"/>
      <c r="L19" s="13"/>
    </row>
    <row r="20" spans="1:15" x14ac:dyDescent="0.3">
      <c r="A20" s="571">
        <v>96</v>
      </c>
      <c r="B20" s="572" t="s">
        <v>23</v>
      </c>
      <c r="C20" s="537">
        <v>0</v>
      </c>
      <c r="D20" s="206">
        <f>'str3'!E19</f>
        <v>897.2</v>
      </c>
      <c r="E20" s="204">
        <f t="shared" si="0"/>
        <v>897.2</v>
      </c>
      <c r="F20" s="205">
        <v>0</v>
      </c>
      <c r="G20" s="207">
        <v>897.2</v>
      </c>
      <c r="H20" s="587">
        <v>897.2</v>
      </c>
      <c r="I20" s="12"/>
      <c r="J20" s="12"/>
      <c r="K20" s="12"/>
      <c r="L20" s="13"/>
    </row>
    <row r="21" spans="1:15" ht="14.4" thickBot="1" x14ac:dyDescent="0.35">
      <c r="A21" s="571">
        <v>99</v>
      </c>
      <c r="B21" s="572" t="s">
        <v>236</v>
      </c>
      <c r="C21" s="588">
        <v>0</v>
      </c>
      <c r="D21" s="1096">
        <f>'str3'!E20</f>
        <v>62000</v>
      </c>
      <c r="E21" s="1097">
        <f t="shared" si="0"/>
        <v>62000</v>
      </c>
      <c r="F21" s="208">
        <v>0</v>
      </c>
      <c r="G21" s="207">
        <v>72270</v>
      </c>
      <c r="H21" s="1098">
        <v>72270</v>
      </c>
      <c r="I21" s="12"/>
      <c r="J21" s="12"/>
      <c r="K21" s="12"/>
      <c r="L21" s="13"/>
    </row>
    <row r="22" spans="1:15" ht="14.4" thickBot="1" x14ac:dyDescent="0.35">
      <c r="A22" s="1104" t="s">
        <v>70</v>
      </c>
      <c r="B22" s="1099"/>
      <c r="C22" s="1100">
        <f>SUM(C4:C20)</f>
        <v>2450519.2000000007</v>
      </c>
      <c r="D22" s="1101">
        <f>SUM(D4:D21)</f>
        <v>932162.87155529438</v>
      </c>
      <c r="E22" s="1102">
        <f>SUM(E4:E21)</f>
        <v>3382682.0715552941</v>
      </c>
      <c r="F22" s="1103">
        <v>2319718.3000000003</v>
      </c>
      <c r="G22" s="1103">
        <v>885354.24399999995</v>
      </c>
      <c r="H22" s="1102">
        <v>3205072.5440000002</v>
      </c>
      <c r="I22" s="772">
        <f>H22-G22-F22</f>
        <v>0</v>
      </c>
      <c r="J22" s="12"/>
      <c r="K22" s="12"/>
      <c r="L22" s="64"/>
      <c r="M22" s="64"/>
      <c r="N22" s="64"/>
      <c r="O22" s="64"/>
    </row>
    <row r="23" spans="1:15" s="64" customFormat="1" ht="6" customHeight="1" x14ac:dyDescent="0.3">
      <c r="C23" s="209"/>
      <c r="D23" s="209"/>
      <c r="E23" s="210"/>
      <c r="F23" s="211"/>
      <c r="J23" s="12"/>
      <c r="K23" s="12"/>
      <c r="L23" s="13"/>
      <c r="M23" s="1"/>
      <c r="N23" s="1"/>
      <c r="O23" s="1"/>
    </row>
    <row r="24" spans="1:15" s="64" customFormat="1" x14ac:dyDescent="0.3">
      <c r="A24" s="16" t="s">
        <v>591</v>
      </c>
      <c r="C24" s="209"/>
      <c r="D24" s="759">
        <f>'str3'!E20</f>
        <v>62000</v>
      </c>
      <c r="E24" s="64" t="s">
        <v>421</v>
      </c>
      <c r="J24" s="12"/>
      <c r="K24" s="12"/>
      <c r="L24" s="212"/>
      <c r="M24" s="1"/>
      <c r="N24" s="1"/>
      <c r="O24" s="1"/>
    </row>
    <row r="25" spans="1:15" s="64" customFormat="1" x14ac:dyDescent="0.3">
      <c r="C25" s="209"/>
      <c r="D25" s="209"/>
      <c r="E25" s="210"/>
      <c r="F25" s="211"/>
      <c r="L25" s="13"/>
      <c r="M25" s="1"/>
      <c r="N25" s="1"/>
      <c r="O25" s="1"/>
    </row>
    <row r="26" spans="1:15" s="64" customFormat="1" x14ac:dyDescent="0.3">
      <c r="C26" s="209"/>
      <c r="D26" s="209"/>
      <c r="E26" s="210"/>
      <c r="F26" s="211"/>
      <c r="L26" s="13"/>
      <c r="M26" s="1"/>
      <c r="N26" s="1"/>
      <c r="O26" s="1"/>
    </row>
    <row r="27" spans="1:15" ht="15.6" x14ac:dyDescent="0.3">
      <c r="A27" s="213" t="s">
        <v>274</v>
      </c>
      <c r="L27" s="13"/>
    </row>
    <row r="28" spans="1:15" ht="11.25" customHeight="1" x14ac:dyDescent="0.3">
      <c r="A28" s="213"/>
      <c r="L28" s="13"/>
      <c r="M28" s="63"/>
      <c r="N28" s="63"/>
      <c r="O28" s="63"/>
    </row>
    <row r="29" spans="1:15" s="63" customFormat="1" ht="15" thickBot="1" x14ac:dyDescent="0.35">
      <c r="A29" s="62" t="s">
        <v>145</v>
      </c>
      <c r="L29" s="13"/>
      <c r="M29" s="1"/>
      <c r="N29" s="1"/>
      <c r="O29" s="1"/>
    </row>
    <row r="30" spans="1:15" ht="14.4" x14ac:dyDescent="0.3">
      <c r="A30" s="2">
        <v>4</v>
      </c>
      <c r="B30" s="214" t="s">
        <v>275</v>
      </c>
      <c r="C30" s="215"/>
      <c r="D30" s="215"/>
      <c r="E30" s="215"/>
      <c r="F30" s="215"/>
      <c r="G30" s="215"/>
      <c r="H30" s="215"/>
      <c r="I30" s="216">
        <f>'příl.1 - cp 2021'!I7</f>
        <v>88000</v>
      </c>
      <c r="J30" s="63"/>
      <c r="L30" s="13"/>
    </row>
    <row r="31" spans="1:15" ht="14.4" x14ac:dyDescent="0.3">
      <c r="A31" s="217">
        <v>5</v>
      </c>
      <c r="B31" s="7" t="s">
        <v>276</v>
      </c>
      <c r="C31" s="7"/>
      <c r="D31" s="7"/>
      <c r="E31" s="7"/>
      <c r="F31" s="7"/>
      <c r="G31" s="7"/>
      <c r="H31" s="7"/>
      <c r="I31" s="218">
        <f>'příl.1 - cp 2021'!I12</f>
        <v>0</v>
      </c>
      <c r="J31" s="63"/>
      <c r="L31" s="13"/>
    </row>
    <row r="32" spans="1:15" ht="14.4" x14ac:dyDescent="0.3">
      <c r="A32" s="217">
        <v>6</v>
      </c>
      <c r="B32" s="7" t="s">
        <v>80</v>
      </c>
      <c r="C32" s="7"/>
      <c r="D32" s="7"/>
      <c r="E32" s="7"/>
      <c r="F32" s="7"/>
      <c r="G32" s="7"/>
      <c r="H32" s="7"/>
      <c r="I32" s="218">
        <f>'příl.1 - cp 2021'!I13</f>
        <v>32740</v>
      </c>
      <c r="J32" s="63"/>
      <c r="L32" s="13"/>
    </row>
    <row r="33" spans="1:15" ht="15" thickBot="1" x14ac:dyDescent="0.35">
      <c r="A33" s="3">
        <v>7</v>
      </c>
      <c r="B33" s="98" t="s">
        <v>172</v>
      </c>
      <c r="C33" s="10"/>
      <c r="D33" s="10"/>
      <c r="E33" s="10"/>
      <c r="F33" s="10"/>
      <c r="G33" s="10"/>
      <c r="H33" s="10"/>
      <c r="I33" s="219">
        <f>'příl.1 - cp 2021'!I20</f>
        <v>0</v>
      </c>
      <c r="J33" s="63"/>
      <c r="L33" s="220"/>
      <c r="M33" s="58"/>
      <c r="N33" s="58"/>
      <c r="O33" s="58"/>
    </row>
    <row r="34" spans="1:15" s="58" customFormat="1" ht="14.4" thickBot="1" x14ac:dyDescent="0.35">
      <c r="A34" s="221">
        <v>8</v>
      </c>
      <c r="B34" s="1609" t="s">
        <v>277</v>
      </c>
      <c r="C34" s="1610"/>
      <c r="D34" s="1610"/>
      <c r="E34" s="1610"/>
      <c r="F34" s="1610"/>
      <c r="G34" s="1610"/>
      <c r="H34" s="1611"/>
      <c r="I34" s="222">
        <f>SUM(I30:I33)</f>
        <v>120740</v>
      </c>
      <c r="J34" s="223"/>
      <c r="L34" s="13"/>
      <c r="M34" s="16"/>
      <c r="N34" s="16"/>
      <c r="O34" s="16"/>
    </row>
    <row r="35" spans="1:15" s="16" customFormat="1" ht="14.4" x14ac:dyDescent="0.3">
      <c r="A35" s="224"/>
      <c r="B35" s="225"/>
      <c r="I35" s="65"/>
      <c r="J35" s="226"/>
      <c r="L35" s="13"/>
      <c r="M35" s="63"/>
      <c r="N35" s="63"/>
      <c r="O35" s="63"/>
    </row>
    <row r="36" spans="1:15" s="63" customFormat="1" ht="15" thickBot="1" x14ac:dyDescent="0.35">
      <c r="A36" s="62" t="s">
        <v>146</v>
      </c>
      <c r="J36" s="226"/>
      <c r="L36" s="13"/>
      <c r="M36" s="1"/>
      <c r="N36" s="1"/>
      <c r="O36" s="1"/>
    </row>
    <row r="37" spans="1:15" x14ac:dyDescent="0.3">
      <c r="A37" s="227">
        <v>9</v>
      </c>
      <c r="B37" s="228" t="s">
        <v>151</v>
      </c>
      <c r="C37" s="228"/>
      <c r="D37" s="228"/>
      <c r="E37" s="228"/>
      <c r="F37" s="228"/>
      <c r="G37" s="228"/>
      <c r="H37" s="228"/>
      <c r="I37" s="229">
        <f>'příl.1 - cp 2021'!I21-'příl.1 - cp 2021'!I84</f>
        <v>222163</v>
      </c>
      <c r="J37" s="226"/>
      <c r="L37" s="13"/>
    </row>
    <row r="38" spans="1:15" ht="14.4" thickBot="1" x14ac:dyDescent="0.35">
      <c r="A38" s="3">
        <v>10</v>
      </c>
      <c r="B38" s="10" t="s">
        <v>152</v>
      </c>
      <c r="C38" s="10"/>
      <c r="D38" s="10"/>
      <c r="E38" s="10"/>
      <c r="F38" s="10"/>
      <c r="G38" s="10"/>
      <c r="H38" s="10"/>
      <c r="I38" s="219">
        <f>'příl.1 - cp 2021'!I84</f>
        <v>15000</v>
      </c>
      <c r="J38" s="226"/>
      <c r="L38" s="230"/>
      <c r="M38" s="231"/>
      <c r="N38" s="231"/>
      <c r="O38" s="231"/>
    </row>
    <row r="39" spans="1:15" s="231" customFormat="1" x14ac:dyDescent="0.3">
      <c r="A39" s="232">
        <v>11</v>
      </c>
      <c r="B39" s="1617" t="s">
        <v>148</v>
      </c>
      <c r="C39" s="1618"/>
      <c r="D39" s="1618"/>
      <c r="E39" s="1618"/>
      <c r="F39" s="1618"/>
      <c r="G39" s="1618"/>
      <c r="H39" s="1619"/>
      <c r="I39" s="233">
        <f>SUM(I37:I38)</f>
        <v>237163</v>
      </c>
      <c r="J39" s="226"/>
      <c r="L39" s="13"/>
      <c r="M39" s="1"/>
      <c r="N39" s="1"/>
      <c r="O39" s="1"/>
    </row>
    <row r="40" spans="1:15" ht="14.4" thickBot="1" x14ac:dyDescent="0.35">
      <c r="A40" s="235">
        <v>12</v>
      </c>
      <c r="B40" s="236" t="s">
        <v>147</v>
      </c>
      <c r="C40" s="236"/>
      <c r="D40" s="236"/>
      <c r="E40" s="236"/>
      <c r="F40" s="236"/>
      <c r="G40" s="236"/>
      <c r="H40" s="236"/>
      <c r="I40" s="237">
        <f>'příl.1 - cp 2021'!I146</f>
        <v>262087</v>
      </c>
      <c r="J40" s="226"/>
      <c r="L40" s="220"/>
      <c r="M40" s="58"/>
      <c r="N40" s="58"/>
      <c r="O40" s="58"/>
    </row>
    <row r="41" spans="1:15" s="58" customFormat="1" ht="14.4" thickBot="1" x14ac:dyDescent="0.35">
      <c r="A41" s="221">
        <v>13</v>
      </c>
      <c r="B41" s="1609" t="s">
        <v>165</v>
      </c>
      <c r="C41" s="1610"/>
      <c r="D41" s="1610"/>
      <c r="E41" s="1610"/>
      <c r="F41" s="1610"/>
      <c r="G41" s="1610"/>
      <c r="H41" s="1611"/>
      <c r="I41" s="222">
        <f>SUM(I39:I40)</f>
        <v>499250</v>
      </c>
      <c r="J41" s="234"/>
      <c r="K41" s="238"/>
      <c r="L41" s="14"/>
      <c r="M41" s="10"/>
      <c r="N41" s="10"/>
      <c r="O41" s="10"/>
    </row>
    <row r="42" spans="1:15" s="10" customFormat="1" ht="15" thickBot="1" x14ac:dyDescent="0.35">
      <c r="A42" s="239"/>
      <c r="H42" s="566" t="s">
        <v>70</v>
      </c>
      <c r="I42" s="302">
        <f>I34+I41</f>
        <v>619990</v>
      </c>
      <c r="J42" s="223"/>
      <c r="L42" s="15"/>
      <c r="M42" s="127"/>
      <c r="N42" s="127"/>
      <c r="O42" s="127"/>
    </row>
    <row r="43" spans="1:15" s="127" customFormat="1" ht="15" hidden="1" thickBot="1" x14ac:dyDescent="0.35">
      <c r="A43" s="66" t="s">
        <v>115</v>
      </c>
      <c r="J43" s="240"/>
      <c r="L43" s="1"/>
      <c r="M43" s="1"/>
      <c r="N43" s="1"/>
      <c r="O43" s="1"/>
    </row>
    <row r="44" spans="1:15" ht="12.75" hidden="1" customHeight="1" x14ac:dyDescent="0.3">
      <c r="A44" s="89">
        <v>14</v>
      </c>
      <c r="B44" s="241" t="s">
        <v>170</v>
      </c>
      <c r="C44" s="242"/>
      <c r="D44" s="242"/>
      <c r="E44" s="242"/>
      <c r="F44" s="242"/>
      <c r="G44" s="243"/>
      <c r="H44" s="244"/>
      <c r="I44" s="90">
        <v>2333005</v>
      </c>
      <c r="J44" s="226"/>
      <c r="L44" s="58"/>
      <c r="M44" s="58"/>
      <c r="N44" s="58"/>
      <c r="O44" s="58"/>
    </row>
    <row r="45" spans="1:15" s="58" customFormat="1" ht="12.75" hidden="1" customHeight="1" x14ac:dyDescent="0.3">
      <c r="A45" s="245">
        <v>15</v>
      </c>
      <c r="B45" s="246" t="s">
        <v>171</v>
      </c>
      <c r="C45" s="247"/>
      <c r="D45" s="247"/>
      <c r="E45" s="247"/>
      <c r="F45" s="247"/>
      <c r="G45" s="248"/>
      <c r="H45" s="249"/>
      <c r="I45" s="250">
        <v>555881</v>
      </c>
      <c r="J45" s="234"/>
    </row>
    <row r="46" spans="1:15" s="58" customFormat="1" ht="12.75" hidden="1" customHeight="1" thickBot="1" x14ac:dyDescent="0.35">
      <c r="A46" s="251">
        <v>16</v>
      </c>
      <c r="B46" s="252" t="s">
        <v>195</v>
      </c>
      <c r="C46" s="253"/>
      <c r="D46" s="253"/>
      <c r="E46" s="253"/>
      <c r="F46" s="253"/>
      <c r="G46" s="254"/>
      <c r="H46" s="255"/>
      <c r="I46" s="256" t="e">
        <v>#REF!</v>
      </c>
      <c r="J46" s="234"/>
      <c r="L46" s="257" t="s">
        <v>153</v>
      </c>
    </row>
    <row r="47" spans="1:15" s="58" customFormat="1" ht="14.4" hidden="1" thickBot="1" x14ac:dyDescent="0.35">
      <c r="A47" s="258">
        <v>17</v>
      </c>
      <c r="B47" s="259" t="s">
        <v>278</v>
      </c>
      <c r="C47" s="260"/>
      <c r="D47" s="260"/>
      <c r="E47" s="260"/>
      <c r="F47" s="260"/>
      <c r="G47" s="260"/>
      <c r="H47" s="261"/>
      <c r="I47" s="262" t="e">
        <v>#REF!</v>
      </c>
      <c r="K47" s="263"/>
      <c r="L47" s="13"/>
      <c r="M47" s="1"/>
      <c r="N47" s="1"/>
      <c r="O47" s="1"/>
    </row>
    <row r="48" spans="1:15" ht="13.5" hidden="1" customHeight="1" x14ac:dyDescent="0.3">
      <c r="A48" s="12"/>
      <c r="B48" s="12"/>
      <c r="C48" s="12"/>
      <c r="D48" s="12"/>
      <c r="E48" s="12"/>
      <c r="F48" s="12"/>
      <c r="G48" s="12"/>
      <c r="H48" s="12"/>
      <c r="I48" s="203" t="e">
        <v>#REF!</v>
      </c>
      <c r="K48" s="59"/>
      <c r="L48" s="13"/>
    </row>
    <row r="49" spans="1:12" hidden="1" x14ac:dyDescent="0.3">
      <c r="A49" s="12"/>
      <c r="B49" s="12"/>
      <c r="C49" s="12"/>
      <c r="D49" s="12"/>
      <c r="E49" s="12"/>
      <c r="F49" s="12"/>
      <c r="G49" s="12"/>
      <c r="H49" s="12" t="s">
        <v>99</v>
      </c>
      <c r="I49" s="203" t="e">
        <v>#REF!</v>
      </c>
      <c r="L49" s="13"/>
    </row>
    <row r="50" spans="1:12" ht="14.4" thickBot="1" x14ac:dyDescent="0.35">
      <c r="I50" s="59"/>
    </row>
    <row r="51" spans="1:12" ht="30.75" customHeight="1" thickBot="1" x14ac:dyDescent="0.35">
      <c r="H51" s="1022" t="s">
        <v>454</v>
      </c>
      <c r="I51" s="1023">
        <f>I42</f>
        <v>619990</v>
      </c>
    </row>
  </sheetData>
  <mergeCells count="6">
    <mergeCell ref="B41:H41"/>
    <mergeCell ref="C2:E2"/>
    <mergeCell ref="F2:H2"/>
    <mergeCell ref="B34:H34"/>
    <mergeCell ref="B39:H39"/>
    <mergeCell ref="A3:B3"/>
  </mergeCells>
  <phoneticPr fontId="9" type="noConversion"/>
  <pageMargins left="0.74803149606299213" right="0.74803149606299213" top="0.98425196850393704" bottom="0.98425196850393704" header="0.51181102362204722" footer="0.51181102362204722"/>
  <pageSetup paperSize="9" orientation="portrait"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R191"/>
  <sheetViews>
    <sheetView showGridLines="0" zoomScale="112" zoomScaleNormal="112" workbookViewId="0"/>
  </sheetViews>
  <sheetFormatPr defaultColWidth="11.44140625" defaultRowHeight="10.199999999999999" x14ac:dyDescent="0.2"/>
  <cols>
    <col min="1" max="1" width="9" style="268" customWidth="1"/>
    <col min="2" max="2" width="11.6640625" style="268" customWidth="1"/>
    <col min="3" max="3" width="10.5546875" style="268" customWidth="1"/>
    <col min="4" max="4" width="10.33203125" style="268" customWidth="1"/>
    <col min="5" max="5" width="10" style="268" customWidth="1"/>
    <col min="6" max="6" width="8.6640625" style="268" customWidth="1"/>
    <col min="7" max="7" width="10" style="268" customWidth="1"/>
    <col min="8" max="8" width="8.44140625" style="268" customWidth="1"/>
    <col min="9" max="9" width="11.33203125" style="268" customWidth="1"/>
    <col min="10" max="10" width="10.6640625" style="268" customWidth="1"/>
    <col min="11" max="11" width="12.33203125" style="268" customWidth="1"/>
    <col min="12" max="12" width="11.33203125" style="268" customWidth="1"/>
    <col min="13" max="13" width="4.5546875" style="268" customWidth="1"/>
    <col min="14" max="14" width="20.33203125" style="268" bestFit="1" customWidth="1"/>
    <col min="15" max="15" width="7.44140625" style="268" bestFit="1" customWidth="1"/>
    <col min="16" max="16384" width="11.44140625" style="268"/>
  </cols>
  <sheetData>
    <row r="1" spans="1:18" s="264" customFormat="1" ht="15.6" x14ac:dyDescent="0.3">
      <c r="A1" s="57" t="s">
        <v>605</v>
      </c>
      <c r="G1" s="265"/>
      <c r="H1" s="265"/>
      <c r="I1" s="265"/>
      <c r="J1" s="265"/>
      <c r="K1" s="265"/>
      <c r="L1" s="265"/>
      <c r="M1" s="265"/>
    </row>
    <row r="2" spans="1:18" s="264" customFormat="1" ht="15.6" x14ac:dyDescent="0.3">
      <c r="A2" s="57"/>
      <c r="G2" s="265"/>
      <c r="H2" s="265"/>
      <c r="I2" s="265"/>
      <c r="J2" s="265"/>
      <c r="K2" s="265"/>
      <c r="L2" s="265"/>
      <c r="M2" s="265"/>
    </row>
    <row r="3" spans="1:18" ht="13.5" customHeight="1" thickBot="1" x14ac:dyDescent="0.25">
      <c r="A3" s="266"/>
      <c r="B3" s="267"/>
      <c r="C3" s="267"/>
      <c r="D3" s="267"/>
      <c r="E3" s="267"/>
      <c r="F3" s="267"/>
      <c r="G3" s="267"/>
      <c r="H3" s="267"/>
      <c r="I3" s="267"/>
      <c r="J3" s="267"/>
      <c r="K3" s="267"/>
      <c r="L3" s="267"/>
    </row>
    <row r="4" spans="1:18" ht="10.8" hidden="1" thickBot="1" x14ac:dyDescent="0.25">
      <c r="B4" s="269"/>
      <c r="C4" s="266"/>
      <c r="D4" s="266"/>
      <c r="E4" s="266"/>
      <c r="F4" s="270">
        <v>1</v>
      </c>
      <c r="G4" s="271">
        <v>1</v>
      </c>
      <c r="H4" s="270"/>
      <c r="I4" s="272"/>
      <c r="J4" s="266"/>
      <c r="K4" s="266"/>
      <c r="L4" s="266"/>
    </row>
    <row r="5" spans="1:18" s="277" customFormat="1" ht="18.75" customHeight="1" x14ac:dyDescent="0.3">
      <c r="A5" s="273"/>
      <c r="B5" s="1634" t="s">
        <v>606</v>
      </c>
      <c r="C5" s="1646" t="s">
        <v>511</v>
      </c>
      <c r="D5" s="1637" t="s">
        <v>596</v>
      </c>
      <c r="E5" s="274" t="s">
        <v>179</v>
      </c>
      <c r="F5" s="274"/>
      <c r="G5" s="1643" t="s">
        <v>453</v>
      </c>
      <c r="H5" s="274" t="s">
        <v>182</v>
      </c>
      <c r="I5" s="1628" t="s">
        <v>257</v>
      </c>
      <c r="J5" s="1631" t="s">
        <v>597</v>
      </c>
      <c r="K5" s="1640" t="s">
        <v>259</v>
      </c>
      <c r="L5" s="1625" t="s">
        <v>259</v>
      </c>
      <c r="M5" s="268"/>
      <c r="N5" s="275"/>
      <c r="O5" s="276"/>
    </row>
    <row r="6" spans="1:18" s="277" customFormat="1" ht="12" customHeight="1" x14ac:dyDescent="0.3">
      <c r="A6" s="278" t="s">
        <v>6</v>
      </c>
      <c r="B6" s="1635"/>
      <c r="C6" s="1647"/>
      <c r="D6" s="1638"/>
      <c r="E6" s="279" t="s">
        <v>180</v>
      </c>
      <c r="F6" s="279" t="s">
        <v>21</v>
      </c>
      <c r="G6" s="1644"/>
      <c r="H6" s="279" t="s">
        <v>181</v>
      </c>
      <c r="I6" s="1629"/>
      <c r="J6" s="1632"/>
      <c r="K6" s="1641"/>
      <c r="L6" s="1626"/>
      <c r="M6" s="268"/>
      <c r="N6" s="1223" t="s">
        <v>217</v>
      </c>
      <c r="O6" s="281">
        <v>2021</v>
      </c>
    </row>
    <row r="7" spans="1:18" s="277" customFormat="1" ht="28.95" customHeight="1" thickBot="1" x14ac:dyDescent="0.35">
      <c r="A7" s="282"/>
      <c r="B7" s="1636"/>
      <c r="C7" s="1648"/>
      <c r="D7" s="1639"/>
      <c r="E7" s="283" t="s">
        <v>184</v>
      </c>
      <c r="F7" s="283"/>
      <c r="G7" s="1645"/>
      <c r="H7" s="283" t="s">
        <v>183</v>
      </c>
      <c r="I7" s="1630"/>
      <c r="J7" s="1633"/>
      <c r="K7" s="1642"/>
      <c r="L7" s="1627"/>
      <c r="M7" s="268"/>
      <c r="N7" s="284"/>
      <c r="O7" s="285"/>
    </row>
    <row r="8" spans="1:18" ht="12" customHeight="1" thickBot="1" x14ac:dyDescent="0.35">
      <c r="A8" s="1214"/>
      <c r="B8" s="1215">
        <v>1</v>
      </c>
      <c r="C8" s="1216">
        <v>2</v>
      </c>
      <c r="D8" s="1216" t="s">
        <v>258</v>
      </c>
      <c r="E8" s="1217">
        <v>4</v>
      </c>
      <c r="F8" s="1217">
        <v>5</v>
      </c>
      <c r="G8" s="1218">
        <v>6</v>
      </c>
      <c r="H8" s="1217">
        <v>7</v>
      </c>
      <c r="I8" s="1219" t="s">
        <v>535</v>
      </c>
      <c r="J8" s="1220">
        <v>9</v>
      </c>
      <c r="K8" s="1221" t="s">
        <v>536</v>
      </c>
      <c r="L8" s="1222">
        <v>11</v>
      </c>
      <c r="N8" s="286"/>
      <c r="O8" s="287"/>
    </row>
    <row r="9" spans="1:18" ht="12.75" customHeight="1" x14ac:dyDescent="0.3">
      <c r="A9" s="1206" t="s">
        <v>7</v>
      </c>
      <c r="B9" s="1207">
        <v>414960.4</v>
      </c>
      <c r="C9" s="1208">
        <v>-2183.1717277327998</v>
      </c>
      <c r="D9" s="1208">
        <f>B9+C9</f>
        <v>412777.22827226721</v>
      </c>
      <c r="E9" s="1209">
        <v>591123.2726993066</v>
      </c>
      <c r="F9" s="1210">
        <f>E9/$E$27</f>
        <v>0.14277002633761188</v>
      </c>
      <c r="G9" s="1211">
        <f>F9*'str4'!$I$51</f>
        <v>88515.988629055981</v>
      </c>
      <c r="H9" s="1210">
        <f>IF(E9=0,0,G9/E9)</f>
        <v>0.14974201273594995</v>
      </c>
      <c r="I9" s="1212">
        <f>D9-G9</f>
        <v>324261.23964321124</v>
      </c>
      <c r="J9" s="1213">
        <v>-9621.2553551805067</v>
      </c>
      <c r="K9" s="543">
        <f>I9+J9</f>
        <v>314639.98428803071</v>
      </c>
      <c r="L9" s="820">
        <f>ROUND(K9,1)</f>
        <v>314640</v>
      </c>
      <c r="N9" s="288" t="s">
        <v>138</v>
      </c>
      <c r="O9" s="289">
        <f>'příl.1 - cp 2021'!I7</f>
        <v>88000</v>
      </c>
      <c r="Q9" s="331"/>
      <c r="R9" s="547"/>
    </row>
    <row r="10" spans="1:18" ht="12.75" customHeight="1" x14ac:dyDescent="0.3">
      <c r="A10" s="1206" t="s">
        <v>613</v>
      </c>
      <c r="B10" s="1207">
        <v>66644.399999999994</v>
      </c>
      <c r="C10" s="1208"/>
      <c r="D10" s="1208">
        <f>B10+C10</f>
        <v>66644.399999999994</v>
      </c>
      <c r="E10" s="1209">
        <v>54363.503636720008</v>
      </c>
      <c r="F10" s="1210">
        <f>E10/$E$27</f>
        <v>1.3130051216859286E-2</v>
      </c>
      <c r="G10" s="1211">
        <f>F10*'str4'!$I$51</f>
        <v>8140.5004539405891</v>
      </c>
      <c r="H10" s="1210">
        <f>IF(E10=0,0,G10/E10)</f>
        <v>0.14974201273594995</v>
      </c>
      <c r="I10" s="1212">
        <f>D10-G10</f>
        <v>58503.899546059401</v>
      </c>
      <c r="J10" s="1213">
        <v>-2507.1714148219444</v>
      </c>
      <c r="K10" s="543">
        <f>I10+J10</f>
        <v>55996.728131237454</v>
      </c>
      <c r="L10" s="820">
        <f>ROUND(K10,1)</f>
        <v>55996.7</v>
      </c>
      <c r="N10" s="295" t="s">
        <v>226</v>
      </c>
      <c r="O10" s="296">
        <f>'příl.1 - cp 2021'!I13</f>
        <v>32740</v>
      </c>
      <c r="Q10" s="331"/>
      <c r="R10" s="547"/>
    </row>
    <row r="11" spans="1:18" ht="12.75" customHeight="1" x14ac:dyDescent="0.3">
      <c r="A11" s="290" t="s">
        <v>8</v>
      </c>
      <c r="B11" s="544">
        <v>412047.6</v>
      </c>
      <c r="C11" s="291">
        <v>3321.3100543286673</v>
      </c>
      <c r="D11" s="291">
        <f t="shared" ref="D11:D26" si="0">B11+C11</f>
        <v>415368.91005432862</v>
      </c>
      <c r="E11" s="292">
        <v>585571.17228810675</v>
      </c>
      <c r="F11" s="293">
        <f t="shared" ref="F11:F26" si="1">E11/$E$27</f>
        <v>0.1414290648858382</v>
      </c>
      <c r="G11" s="821">
        <f>F11*'str4'!$I$51</f>
        <v>87684.605938570821</v>
      </c>
      <c r="H11" s="293">
        <f t="shared" ref="H11:H26" si="2">IF(E11=0,0,G11/E11)</f>
        <v>0.14974201273594995</v>
      </c>
      <c r="I11" s="1080">
        <f t="shared" ref="I11:I26" si="3">D11-G11</f>
        <v>327684.30411575781</v>
      </c>
      <c r="J11" s="635">
        <v>-9825.8270489413972</v>
      </c>
      <c r="K11" s="543">
        <f>I11+J11</f>
        <v>317858.47706681641</v>
      </c>
      <c r="L11" s="820">
        <f t="shared" ref="L11:L26" si="4">ROUND(K11,1)</f>
        <v>317858.5</v>
      </c>
      <c r="N11" s="295" t="s">
        <v>160</v>
      </c>
      <c r="O11" s="296">
        <f>'příl.1 - cp 2021'!I20</f>
        <v>0</v>
      </c>
      <c r="Q11" s="331"/>
      <c r="R11" s="547"/>
    </row>
    <row r="12" spans="1:18" ht="12.75" customHeight="1" x14ac:dyDescent="0.3">
      <c r="A12" s="290" t="s">
        <v>9</v>
      </c>
      <c r="B12" s="544">
        <v>156605.1</v>
      </c>
      <c r="C12" s="291">
        <v>498.89353350588681</v>
      </c>
      <c r="D12" s="291">
        <f>B12+C12</f>
        <v>157103.99353350588</v>
      </c>
      <c r="E12" s="292">
        <v>195782.78250459</v>
      </c>
      <c r="F12" s="293">
        <f t="shared" si="1"/>
        <v>4.7286098019777796E-2</v>
      </c>
      <c r="G12" s="821">
        <f>F12*'str4'!$I$51</f>
        <v>29316.907911282036</v>
      </c>
      <c r="H12" s="293">
        <f t="shared" si="2"/>
        <v>0.14974201273594995</v>
      </c>
      <c r="I12" s="1080">
        <f t="shared" si="3"/>
        <v>127787.08562222385</v>
      </c>
      <c r="J12" s="635">
        <v>-7245.7105047033447</v>
      </c>
      <c r="K12" s="543">
        <f t="shared" ref="K12:K26" si="5">I12+J12</f>
        <v>120541.37511752051</v>
      </c>
      <c r="L12" s="820">
        <f t="shared" si="4"/>
        <v>120541.4</v>
      </c>
      <c r="N12" s="295" t="s">
        <v>150</v>
      </c>
      <c r="O12" s="296">
        <f>'příl.1 - cp 2021'!I21-'příl.1 - cp 2021'!I84</f>
        <v>222163</v>
      </c>
      <c r="Q12" s="331"/>
      <c r="R12" s="547"/>
    </row>
    <row r="13" spans="1:18" ht="12.75" customHeight="1" x14ac:dyDescent="0.3">
      <c r="A13" s="290" t="s">
        <v>10</v>
      </c>
      <c r="B13" s="544">
        <v>190749.6</v>
      </c>
      <c r="C13" s="291">
        <v>-3867.7022388308787</v>
      </c>
      <c r="D13" s="291">
        <f t="shared" si="0"/>
        <v>186881.89776116912</v>
      </c>
      <c r="E13" s="292">
        <v>275042.12535588001</v>
      </c>
      <c r="F13" s="293">
        <f t="shared" si="1"/>
        <v>6.6429073755968529E-2</v>
      </c>
      <c r="G13" s="821">
        <f>F13*'str4'!$I$51</f>
        <v>41185.361437962929</v>
      </c>
      <c r="H13" s="293">
        <f t="shared" si="2"/>
        <v>0.14974201273594995</v>
      </c>
      <c r="I13" s="1080">
        <f t="shared" si="3"/>
        <v>145696.53632320621</v>
      </c>
      <c r="J13" s="635">
        <v>-5753.7397385786244</v>
      </c>
      <c r="K13" s="543">
        <f t="shared" si="5"/>
        <v>139942.79658462759</v>
      </c>
      <c r="L13" s="820">
        <f t="shared" si="4"/>
        <v>139942.79999999999</v>
      </c>
      <c r="N13" s="295" t="s">
        <v>32</v>
      </c>
      <c r="O13" s="296">
        <f>'příl.1 - cp 2021'!I84</f>
        <v>15000</v>
      </c>
      <c r="Q13" s="331"/>
      <c r="R13" s="547"/>
    </row>
    <row r="14" spans="1:18" ht="12.75" customHeight="1" x14ac:dyDescent="0.3">
      <c r="A14" s="290" t="s">
        <v>11</v>
      </c>
      <c r="B14" s="544">
        <v>486192.6</v>
      </c>
      <c r="C14" s="291">
        <v>-2079.7218105562133</v>
      </c>
      <c r="D14" s="291">
        <f t="shared" si="0"/>
        <v>484112.87818944379</v>
      </c>
      <c r="E14" s="292">
        <v>1080594.1619833333</v>
      </c>
      <c r="F14" s="293">
        <f t="shared" si="1"/>
        <v>0.26098863653623683</v>
      </c>
      <c r="G14" s="821">
        <f>F14*'str4'!$I$51</f>
        <v>161810.34476610148</v>
      </c>
      <c r="H14" s="293">
        <f t="shared" si="2"/>
        <v>0.14974201273594998</v>
      </c>
      <c r="I14" s="1080">
        <f t="shared" si="3"/>
        <v>322302.53342334228</v>
      </c>
      <c r="J14" s="635">
        <v>-6347.368662871635</v>
      </c>
      <c r="K14" s="543">
        <f t="shared" si="5"/>
        <v>315955.16476047062</v>
      </c>
      <c r="L14" s="820">
        <f t="shared" si="4"/>
        <v>315955.20000000001</v>
      </c>
      <c r="N14" s="295" t="s">
        <v>71</v>
      </c>
      <c r="O14" s="296">
        <f>'příl.1 - cp 2021'!I146</f>
        <v>262087</v>
      </c>
      <c r="Q14" s="331"/>
      <c r="R14" s="547"/>
    </row>
    <row r="15" spans="1:18" ht="12.75" customHeight="1" x14ac:dyDescent="0.3">
      <c r="A15" s="290" t="s">
        <v>12</v>
      </c>
      <c r="B15" s="544">
        <v>171021.4</v>
      </c>
      <c r="C15" s="291">
        <v>-7659.7094163130332</v>
      </c>
      <c r="D15" s="291">
        <f t="shared" si="0"/>
        <v>163361.69058368696</v>
      </c>
      <c r="E15" s="292">
        <v>293685.84510999988</v>
      </c>
      <c r="F15" s="293">
        <f t="shared" si="1"/>
        <v>7.0931965933047028E-2</v>
      </c>
      <c r="G15" s="821">
        <f>F15*'str4'!$I$51</f>
        <v>43977.109558829827</v>
      </c>
      <c r="H15" s="293">
        <f t="shared" si="2"/>
        <v>0.14974201273594995</v>
      </c>
      <c r="I15" s="1080">
        <f t="shared" si="3"/>
        <v>119384.58102485712</v>
      </c>
      <c r="J15" s="635">
        <v>-3215.3717743413049</v>
      </c>
      <c r="K15" s="543">
        <f t="shared" si="5"/>
        <v>116169.20925051582</v>
      </c>
      <c r="L15" s="820">
        <f t="shared" si="4"/>
        <v>116169.2</v>
      </c>
      <c r="N15" s="295"/>
      <c r="O15" s="296"/>
      <c r="Q15" s="331"/>
      <c r="R15" s="547"/>
    </row>
    <row r="16" spans="1:18" ht="12.75" customHeight="1" x14ac:dyDescent="0.3">
      <c r="A16" s="290" t="s">
        <v>13</v>
      </c>
      <c r="B16" s="544">
        <v>254586.6</v>
      </c>
      <c r="C16" s="291">
        <v>17050.817202542559</v>
      </c>
      <c r="D16" s="291">
        <f t="shared" si="0"/>
        <v>271637.41720254254</v>
      </c>
      <c r="E16" s="292">
        <v>288461.74511948333</v>
      </c>
      <c r="F16" s="293">
        <f t="shared" si="1"/>
        <v>6.9670224215738999E-2</v>
      </c>
      <c r="G16" s="821">
        <f>F16*'str4'!$I$51</f>
        <v>43194.842311516019</v>
      </c>
      <c r="H16" s="293">
        <f t="shared" si="2"/>
        <v>0.14974201273594995</v>
      </c>
      <c r="I16" s="1080">
        <f t="shared" si="3"/>
        <v>228442.57489102651</v>
      </c>
      <c r="J16" s="635">
        <v>-8360.6398644081492</v>
      </c>
      <c r="K16" s="543">
        <f t="shared" si="5"/>
        <v>220081.93502661836</v>
      </c>
      <c r="L16" s="820">
        <f t="shared" si="4"/>
        <v>220081.9</v>
      </c>
      <c r="N16" s="295"/>
      <c r="O16" s="296"/>
      <c r="Q16" s="331"/>
      <c r="R16" s="547"/>
    </row>
    <row r="17" spans="1:18" ht="12.75" customHeight="1" x14ac:dyDescent="0.3">
      <c r="A17" s="290" t="s">
        <v>14</v>
      </c>
      <c r="B17" s="544">
        <v>95735.7</v>
      </c>
      <c r="C17" s="291">
        <v>-5265.8531011596142</v>
      </c>
      <c r="D17" s="291">
        <f t="shared" si="0"/>
        <v>90469.846898840377</v>
      </c>
      <c r="E17" s="292">
        <v>87994.472806666672</v>
      </c>
      <c r="F17" s="293">
        <f t="shared" si="1"/>
        <v>2.125271289490005E-2</v>
      </c>
      <c r="G17" s="821">
        <f>F17*'str4'!$I$51</f>
        <v>13176.469467709081</v>
      </c>
      <c r="H17" s="293">
        <f t="shared" si="2"/>
        <v>0.14974201273594995</v>
      </c>
      <c r="I17" s="1080">
        <f t="shared" si="3"/>
        <v>77293.377431131288</v>
      </c>
      <c r="J17" s="635">
        <v>-1370.0315804357922</v>
      </c>
      <c r="K17" s="543">
        <f t="shared" si="5"/>
        <v>75923.345850695492</v>
      </c>
      <c r="L17" s="820">
        <f t="shared" si="4"/>
        <v>75923.3</v>
      </c>
      <c r="N17" s="297"/>
      <c r="O17" s="298"/>
      <c r="Q17" s="331"/>
      <c r="R17" s="547"/>
    </row>
    <row r="18" spans="1:18" ht="12.75" customHeight="1" x14ac:dyDescent="0.3">
      <c r="A18" s="290" t="s">
        <v>15</v>
      </c>
      <c r="B18" s="544">
        <v>159273.60000000001</v>
      </c>
      <c r="C18" s="291">
        <v>185.13750421542318</v>
      </c>
      <c r="D18" s="291">
        <f t="shared" si="0"/>
        <v>159458.73750421542</v>
      </c>
      <c r="E18" s="292">
        <v>199508.94023599336</v>
      </c>
      <c r="F18" s="293">
        <f t="shared" si="1"/>
        <v>4.8186051823019715E-2</v>
      </c>
      <c r="G18" s="821">
        <f>F18*'str4'!$I$51</f>
        <v>29874.870269753992</v>
      </c>
      <c r="H18" s="293">
        <f t="shared" si="2"/>
        <v>0.14974201273594995</v>
      </c>
      <c r="I18" s="1080">
        <f t="shared" si="3"/>
        <v>129583.86723446142</v>
      </c>
      <c r="J18" s="635">
        <v>-10652.884055717299</v>
      </c>
      <c r="K18" s="543">
        <f t="shared" si="5"/>
        <v>118930.98317874412</v>
      </c>
      <c r="L18" s="820">
        <f t="shared" si="4"/>
        <v>118931</v>
      </c>
      <c r="N18" s="299"/>
      <c r="O18" s="300"/>
      <c r="Q18" s="331"/>
    </row>
    <row r="19" spans="1:18" ht="12.75" customHeight="1" thickBot="1" x14ac:dyDescent="0.35">
      <c r="A19" s="290" t="s">
        <v>173</v>
      </c>
      <c r="B19" s="544"/>
      <c r="C19" s="291"/>
      <c r="D19" s="291">
        <f>B19+C19</f>
        <v>0</v>
      </c>
      <c r="E19" s="292"/>
      <c r="F19" s="293">
        <f t="shared" si="1"/>
        <v>0</v>
      </c>
      <c r="G19" s="821">
        <f>F19*'str4'!$I$51</f>
        <v>0</v>
      </c>
      <c r="H19" s="293">
        <f t="shared" si="2"/>
        <v>0</v>
      </c>
      <c r="I19" s="292">
        <f t="shared" si="3"/>
        <v>0</v>
      </c>
      <c r="J19" s="635">
        <v>22000</v>
      </c>
      <c r="K19" s="543">
        <f t="shared" si="5"/>
        <v>22000</v>
      </c>
      <c r="L19" s="820">
        <f t="shared" si="4"/>
        <v>22000</v>
      </c>
      <c r="N19" s="301" t="s">
        <v>218</v>
      </c>
      <c r="O19" s="614">
        <f>SUM(O9:O17)</f>
        <v>619990</v>
      </c>
    </row>
    <row r="20" spans="1:18" ht="12.75" customHeight="1" x14ac:dyDescent="0.3">
      <c r="A20" s="290" t="s">
        <v>23</v>
      </c>
      <c r="B20" s="544"/>
      <c r="C20" s="291"/>
      <c r="D20" s="291">
        <f t="shared" si="0"/>
        <v>0</v>
      </c>
      <c r="E20" s="292"/>
      <c r="F20" s="293">
        <f t="shared" si="1"/>
        <v>0</v>
      </c>
      <c r="G20" s="821">
        <f>F20*'str4'!$I$51</f>
        <v>0</v>
      </c>
      <c r="H20" s="293">
        <f t="shared" si="2"/>
        <v>0</v>
      </c>
      <c r="I20" s="292">
        <f t="shared" si="3"/>
        <v>0</v>
      </c>
      <c r="J20" s="635">
        <v>42899.999999999993</v>
      </c>
      <c r="K20" s="543">
        <f t="shared" si="5"/>
        <v>42899.999999999993</v>
      </c>
      <c r="L20" s="820">
        <f t="shared" si="4"/>
        <v>42900</v>
      </c>
      <c r="N20" s="305"/>
      <c r="O20" s="306"/>
    </row>
    <row r="21" spans="1:18" ht="12.75" customHeight="1" x14ac:dyDescent="0.3">
      <c r="A21" s="303" t="s">
        <v>178</v>
      </c>
      <c r="B21" s="544">
        <v>38273.1</v>
      </c>
      <c r="C21" s="291"/>
      <c r="D21" s="291">
        <f t="shared" si="0"/>
        <v>38273.1</v>
      </c>
      <c r="E21" s="292">
        <v>440141.55123666662</v>
      </c>
      <c r="F21" s="293">
        <f t="shared" si="1"/>
        <v>0.10630442712124663</v>
      </c>
      <c r="G21" s="821">
        <f>F21*'str4'!$I$51</f>
        <v>65907.681770901705</v>
      </c>
      <c r="H21" s="293">
        <f t="shared" si="2"/>
        <v>0.14974201273594995</v>
      </c>
      <c r="I21" s="292">
        <f t="shared" si="3"/>
        <v>-27634.581770901706</v>
      </c>
      <c r="J21" s="294"/>
      <c r="K21" s="559">
        <f t="shared" si="5"/>
        <v>-27634.581770901706</v>
      </c>
      <c r="L21" s="1025">
        <f t="shared" si="4"/>
        <v>-27634.6</v>
      </c>
      <c r="N21" s="305"/>
      <c r="O21" s="306"/>
    </row>
    <row r="22" spans="1:18" ht="12.75" customHeight="1" x14ac:dyDescent="0.3">
      <c r="A22" s="307" t="s">
        <v>95</v>
      </c>
      <c r="B22" s="544">
        <v>368.1</v>
      </c>
      <c r="C22" s="291"/>
      <c r="D22" s="291">
        <f t="shared" si="0"/>
        <v>368.1</v>
      </c>
      <c r="E22" s="304"/>
      <c r="F22" s="293">
        <f t="shared" si="1"/>
        <v>0</v>
      </c>
      <c r="G22" s="821">
        <f>F22*'str4'!$I$51</f>
        <v>0</v>
      </c>
      <c r="H22" s="293">
        <f t="shared" si="2"/>
        <v>0</v>
      </c>
      <c r="I22" s="304">
        <f t="shared" si="3"/>
        <v>368.1</v>
      </c>
      <c r="J22" s="294"/>
      <c r="K22" s="559">
        <f t="shared" si="5"/>
        <v>368.1</v>
      </c>
      <c r="L22" s="1025">
        <f t="shared" si="4"/>
        <v>368.1</v>
      </c>
      <c r="N22" s="305"/>
      <c r="O22" s="306"/>
    </row>
    <row r="23" spans="1:18" ht="12.75" customHeight="1" x14ac:dyDescent="0.3">
      <c r="A23" s="307" t="s">
        <v>122</v>
      </c>
      <c r="B23" s="544"/>
      <c r="C23" s="291"/>
      <c r="D23" s="291">
        <f t="shared" si="0"/>
        <v>0</v>
      </c>
      <c r="E23" s="304">
        <v>188.68941666666711</v>
      </c>
      <c r="F23" s="293">
        <f t="shared" si="1"/>
        <v>4.5572885100790393E-5</v>
      </c>
      <c r="G23" s="821">
        <f>F23*'str4'!$I$51</f>
        <v>28.254733033639035</v>
      </c>
      <c r="H23" s="293">
        <f t="shared" si="2"/>
        <v>0.14974201273594995</v>
      </c>
      <c r="I23" s="304">
        <f t="shared" si="3"/>
        <v>-28.254733033639035</v>
      </c>
      <c r="J23" s="294"/>
      <c r="K23" s="559">
        <f t="shared" si="5"/>
        <v>-28.254733033639035</v>
      </c>
      <c r="L23" s="1025">
        <f t="shared" si="4"/>
        <v>-28.3</v>
      </c>
      <c r="N23" s="305"/>
      <c r="O23" s="306"/>
    </row>
    <row r="24" spans="1:18" ht="12.75" customHeight="1" x14ac:dyDescent="0.3">
      <c r="A24" s="307" t="s">
        <v>17</v>
      </c>
      <c r="B24" s="544">
        <v>4061</v>
      </c>
      <c r="C24" s="291"/>
      <c r="D24" s="291">
        <f t="shared" si="0"/>
        <v>4061</v>
      </c>
      <c r="E24" s="304">
        <v>47929.51971333332</v>
      </c>
      <c r="F24" s="293">
        <f t="shared" si="1"/>
        <v>1.1576094374654304E-2</v>
      </c>
      <c r="G24" s="821">
        <f>F24*'str4'!$I$51</f>
        <v>7177.0627513419222</v>
      </c>
      <c r="H24" s="293">
        <f t="shared" si="2"/>
        <v>0.14974201273594995</v>
      </c>
      <c r="I24" s="304">
        <f t="shared" si="3"/>
        <v>-3116.0627513419222</v>
      </c>
      <c r="J24" s="294"/>
      <c r="K24" s="559">
        <f t="shared" si="5"/>
        <v>-3116.0627513419222</v>
      </c>
      <c r="L24" s="1025">
        <f t="shared" si="4"/>
        <v>-3116.1</v>
      </c>
      <c r="N24" s="305"/>
      <c r="O24" s="306"/>
    </row>
    <row r="25" spans="1:18" ht="12.75" customHeight="1" x14ac:dyDescent="0.3">
      <c r="A25" s="308" t="s">
        <v>190</v>
      </c>
      <c r="B25" s="544"/>
      <c r="C25" s="291"/>
      <c r="D25" s="291">
        <f t="shared" si="0"/>
        <v>0</v>
      </c>
      <c r="E25" s="304"/>
      <c r="F25" s="293">
        <f t="shared" si="1"/>
        <v>0</v>
      </c>
      <c r="G25" s="821">
        <f>F25*'str4'!$I$51</f>
        <v>0</v>
      </c>
      <c r="H25" s="293">
        <f t="shared" si="2"/>
        <v>0</v>
      </c>
      <c r="I25" s="304">
        <f t="shared" si="3"/>
        <v>0</v>
      </c>
      <c r="J25" s="294"/>
      <c r="K25" s="559">
        <f t="shared" si="5"/>
        <v>0</v>
      </c>
      <c r="L25" s="1025">
        <f t="shared" si="4"/>
        <v>0</v>
      </c>
      <c r="N25" s="309"/>
      <c r="O25" s="306"/>
    </row>
    <row r="26" spans="1:18" ht="12.75" customHeight="1" x14ac:dyDescent="0.3">
      <c r="A26" s="308" t="s">
        <v>192</v>
      </c>
      <c r="B26" s="544"/>
      <c r="C26" s="291"/>
      <c r="D26" s="291">
        <f t="shared" si="0"/>
        <v>0</v>
      </c>
      <c r="E26" s="304"/>
      <c r="F26" s="293">
        <f t="shared" si="1"/>
        <v>0</v>
      </c>
      <c r="G26" s="822">
        <f>F26*'str4'!$I$51</f>
        <v>0</v>
      </c>
      <c r="H26" s="293">
        <f t="shared" si="2"/>
        <v>0</v>
      </c>
      <c r="I26" s="304">
        <f t="shared" si="3"/>
        <v>0</v>
      </c>
      <c r="J26" s="294"/>
      <c r="K26" s="559">
        <f t="shared" si="5"/>
        <v>0</v>
      </c>
      <c r="L26" s="1025">
        <f t="shared" si="4"/>
        <v>0</v>
      </c>
      <c r="N26" s="315"/>
      <c r="O26" s="316"/>
      <c r="P26" s="316"/>
      <c r="Q26" s="331"/>
    </row>
    <row r="27" spans="1:18" ht="12" customHeight="1" thickBot="1" x14ac:dyDescent="0.35">
      <c r="A27" s="310" t="s">
        <v>176</v>
      </c>
      <c r="B27" s="545">
        <f t="shared" ref="B27:G27" si="6">SUM(B9:B26)</f>
        <v>2450519.2000000007</v>
      </c>
      <c r="C27" s="311">
        <f t="shared" si="6"/>
        <v>-2.7284841053187847E-12</v>
      </c>
      <c r="D27" s="311">
        <f t="shared" si="6"/>
        <v>2450519.2000000002</v>
      </c>
      <c r="E27" s="312">
        <f t="shared" si="6"/>
        <v>4140387.7821067465</v>
      </c>
      <c r="F27" s="313">
        <f t="shared" si="6"/>
        <v>1</v>
      </c>
      <c r="G27" s="1024">
        <f t="shared" si="6"/>
        <v>619990</v>
      </c>
      <c r="H27" s="313">
        <f>IF(E27=0,0,G27/E27)</f>
        <v>0.14974201273594995</v>
      </c>
      <c r="I27" s="311">
        <f>SUM(I9:I26)</f>
        <v>1830529.2000000002</v>
      </c>
      <c r="J27" s="314">
        <f>SUM(J9:J26)</f>
        <v>0</v>
      </c>
      <c r="K27" s="560">
        <f>SUM(K9:K26)</f>
        <v>1830529.1999999997</v>
      </c>
      <c r="L27" s="558">
        <f>SUM(L9:L26)</f>
        <v>1830529.0999999996</v>
      </c>
      <c r="N27" s="316"/>
    </row>
    <row r="28" spans="1:18" ht="12.75" customHeight="1" x14ac:dyDescent="0.2">
      <c r="A28" s="317" t="s">
        <v>237</v>
      </c>
      <c r="B28" s="316"/>
      <c r="C28" s="316"/>
      <c r="D28" s="316"/>
      <c r="E28" s="316"/>
      <c r="F28" s="316"/>
      <c r="G28" s="318"/>
      <c r="H28" s="316"/>
      <c r="I28" s="1105"/>
      <c r="J28" s="316"/>
      <c r="K28" s="15"/>
      <c r="L28" s="546"/>
      <c r="N28" s="316"/>
    </row>
    <row r="29" spans="1:18" ht="12.75" customHeight="1" x14ac:dyDescent="0.2">
      <c r="A29" s="317"/>
      <c r="B29" s="316"/>
      <c r="C29" s="316"/>
      <c r="D29" s="316"/>
      <c r="E29" s="316"/>
      <c r="F29" s="316"/>
      <c r="G29" s="318"/>
      <c r="K29" s="547"/>
      <c r="L29" s="331"/>
      <c r="N29" s="316"/>
    </row>
    <row r="30" spans="1:18" x14ac:dyDescent="0.2">
      <c r="A30" s="15"/>
      <c r="B30" s="15"/>
      <c r="C30" s="15"/>
      <c r="D30" s="15"/>
      <c r="E30" s="15"/>
      <c r="F30" s="15"/>
      <c r="G30" s="15"/>
      <c r="I30" s="331"/>
      <c r="L30" s="547"/>
      <c r="N30" s="316"/>
    </row>
    <row r="31" spans="1:18" ht="12.75" customHeight="1" thickBot="1" x14ac:dyDescent="0.25">
      <c r="A31" s="1224" t="s">
        <v>219</v>
      </c>
      <c r="B31" s="15"/>
      <c r="C31" s="15"/>
      <c r="D31" s="318"/>
      <c r="E31" s="318"/>
      <c r="F31" s="15"/>
      <c r="G31" s="15"/>
      <c r="H31" s="15"/>
      <c r="I31" s="318"/>
      <c r="J31" s="318"/>
      <c r="K31" s="318"/>
      <c r="L31" s="318"/>
      <c r="N31" s="316"/>
      <c r="O31" s="316"/>
      <c r="P31" s="316"/>
    </row>
    <row r="32" spans="1:18" ht="13.5" customHeight="1" x14ac:dyDescent="0.2">
      <c r="A32" s="319">
        <v>1</v>
      </c>
      <c r="B32" s="1623" t="s">
        <v>0</v>
      </c>
      <c r="C32" s="1623"/>
      <c r="D32" s="1623"/>
      <c r="E32" s="1623"/>
      <c r="F32" s="1623"/>
      <c r="G32" s="320">
        <f>'str1'!F7</f>
        <v>2450519.0920000002</v>
      </c>
      <c r="H32" s="15"/>
      <c r="I32" s="15"/>
      <c r="J32" s="15"/>
      <c r="K32" s="15"/>
      <c r="L32" s="15"/>
      <c r="M32" s="15"/>
      <c r="N32" s="316"/>
      <c r="O32" s="316"/>
      <c r="P32" s="316"/>
    </row>
    <row r="33" spans="1:16" x14ac:dyDescent="0.2">
      <c r="A33" s="321">
        <v>2</v>
      </c>
      <c r="B33" s="1624" t="s">
        <v>303</v>
      </c>
      <c r="C33" s="1624"/>
      <c r="D33" s="1624"/>
      <c r="E33" s="1624"/>
      <c r="F33" s="1624"/>
      <c r="G33" s="119">
        <f>'příl.1 - cp 2021'!I7</f>
        <v>88000</v>
      </c>
      <c r="H33" s="15"/>
      <c r="I33" s="15"/>
      <c r="J33" s="15"/>
      <c r="K33" s="15"/>
      <c r="L33" s="15"/>
      <c r="M33" s="15"/>
      <c r="N33" s="316"/>
      <c r="O33" s="316"/>
      <c r="P33" s="316"/>
    </row>
    <row r="34" spans="1:16" x14ac:dyDescent="0.2">
      <c r="A34" s="321">
        <v>3</v>
      </c>
      <c r="B34" s="1624" t="s">
        <v>197</v>
      </c>
      <c r="C34" s="1624"/>
      <c r="D34" s="1624"/>
      <c r="E34" s="1624"/>
      <c r="F34" s="1624"/>
      <c r="G34" s="119">
        <f>G32-G33</f>
        <v>2362519.0920000002</v>
      </c>
      <c r="H34" s="15"/>
      <c r="I34" s="15"/>
      <c r="J34" s="15"/>
      <c r="K34" s="15"/>
      <c r="L34" s="15"/>
      <c r="M34" s="15"/>
      <c r="N34" s="316"/>
      <c r="O34" s="316"/>
      <c r="P34" s="316"/>
    </row>
    <row r="35" spans="1:16" x14ac:dyDescent="0.2">
      <c r="A35" s="321">
        <v>4</v>
      </c>
      <c r="B35" s="1624" t="s">
        <v>504</v>
      </c>
      <c r="C35" s="1624"/>
      <c r="D35" s="1624"/>
      <c r="E35" s="1624"/>
      <c r="F35" s="1624"/>
      <c r="G35" s="557">
        <f>SUM(L9:L20)+L22</f>
        <v>1861308.0999999999</v>
      </c>
      <c r="H35" s="15"/>
      <c r="I35" s="15"/>
      <c r="J35" s="15"/>
      <c r="K35" s="15"/>
      <c r="L35" s="15"/>
      <c r="M35" s="15"/>
      <c r="N35" s="316"/>
      <c r="O35" s="316"/>
      <c r="P35" s="316"/>
    </row>
    <row r="36" spans="1:16" x14ac:dyDescent="0.2">
      <c r="A36" s="321">
        <v>5</v>
      </c>
      <c r="B36" s="1624" t="s">
        <v>221</v>
      </c>
      <c r="C36" s="1624"/>
      <c r="D36" s="1624"/>
      <c r="E36" s="1624"/>
      <c r="F36" s="1624"/>
      <c r="G36" s="322">
        <f>G34-G35</f>
        <v>501210.99200000032</v>
      </c>
      <c r="H36" s="15"/>
      <c r="I36" s="15"/>
      <c r="J36" s="15"/>
      <c r="K36" s="15"/>
      <c r="L36" s="15"/>
      <c r="M36" s="15"/>
      <c r="N36" s="316"/>
      <c r="O36" s="316"/>
      <c r="P36" s="316"/>
    </row>
    <row r="37" spans="1:16" x14ac:dyDescent="0.2">
      <c r="A37" s="321">
        <v>6</v>
      </c>
      <c r="B37" s="1624" t="s">
        <v>537</v>
      </c>
      <c r="C37" s="1624"/>
      <c r="D37" s="1624"/>
      <c r="E37" s="1624"/>
      <c r="F37" s="1624"/>
      <c r="G37" s="119">
        <f>G27-G33</f>
        <v>531990</v>
      </c>
      <c r="H37" s="15"/>
      <c r="I37" s="15"/>
      <c r="J37" s="15"/>
      <c r="K37" s="15"/>
      <c r="L37" s="15"/>
      <c r="M37" s="15"/>
      <c r="N37" s="316"/>
      <c r="O37" s="316"/>
      <c r="P37" s="316"/>
    </row>
    <row r="38" spans="1:16" x14ac:dyDescent="0.2">
      <c r="A38" s="321">
        <v>7</v>
      </c>
      <c r="B38" s="1624" t="s">
        <v>222</v>
      </c>
      <c r="C38" s="1624"/>
      <c r="D38" s="1624"/>
      <c r="E38" s="1624"/>
      <c r="F38" s="1624"/>
      <c r="G38" s="119">
        <f>G36-G37</f>
        <v>-30779.007999999681</v>
      </c>
      <c r="H38" s="15"/>
      <c r="I38" s="15"/>
      <c r="J38" s="15"/>
      <c r="K38" s="15"/>
      <c r="L38" s="15"/>
      <c r="M38" s="15"/>
      <c r="N38" s="316"/>
      <c r="O38" s="316"/>
      <c r="P38" s="316"/>
    </row>
    <row r="39" spans="1:16" x14ac:dyDescent="0.2">
      <c r="A39" s="321">
        <v>8</v>
      </c>
      <c r="B39" s="1624" t="s">
        <v>220</v>
      </c>
      <c r="C39" s="1624"/>
      <c r="D39" s="1624"/>
      <c r="E39" s="1624"/>
      <c r="F39" s="1624"/>
      <c r="G39" s="119">
        <f>'příl.1 - cp 2021'!I157</f>
        <v>120535</v>
      </c>
      <c r="H39" s="15"/>
      <c r="I39" s="15"/>
      <c r="J39" s="15"/>
      <c r="K39" s="15"/>
      <c r="L39" s="15"/>
      <c r="M39" s="15"/>
      <c r="N39" s="316"/>
      <c r="O39" s="316"/>
      <c r="P39" s="316"/>
    </row>
    <row r="40" spans="1:16" x14ac:dyDescent="0.2">
      <c r="A40" s="321">
        <v>9</v>
      </c>
      <c r="B40" s="1624" t="s">
        <v>418</v>
      </c>
      <c r="C40" s="1624"/>
      <c r="D40" s="1624"/>
      <c r="E40" s="1624"/>
      <c r="F40" s="1624"/>
      <c r="G40" s="119">
        <f>G39+G38</f>
        <v>89755.992000000319</v>
      </c>
      <c r="H40" s="15"/>
      <c r="I40" s="15"/>
      <c r="J40" s="15"/>
      <c r="K40" s="15"/>
      <c r="L40" s="15"/>
      <c r="M40" s="15"/>
      <c r="N40" s="316"/>
      <c r="O40" s="316"/>
      <c r="P40" s="316"/>
    </row>
    <row r="41" spans="1:16" ht="10.8" thickBot="1" x14ac:dyDescent="0.25">
      <c r="A41" s="323">
        <v>10</v>
      </c>
      <c r="B41" s="1622" t="s">
        <v>223</v>
      </c>
      <c r="C41" s="1622"/>
      <c r="D41" s="1622"/>
      <c r="E41" s="1622"/>
      <c r="F41" s="1622"/>
      <c r="G41" s="324">
        <f>-G38</f>
        <v>30779.007999999681</v>
      </c>
      <c r="H41" s="318"/>
      <c r="I41" s="15"/>
      <c r="J41" s="15"/>
      <c r="K41" s="15"/>
      <c r="L41" s="15"/>
      <c r="M41" s="15"/>
      <c r="N41" s="316"/>
      <c r="O41" s="316"/>
      <c r="P41" s="316"/>
    </row>
    <row r="42" spans="1:16" x14ac:dyDescent="0.2">
      <c r="A42" s="15"/>
      <c r="B42" s="15"/>
      <c r="C42" s="15"/>
      <c r="D42" s="15"/>
      <c r="E42" s="15"/>
      <c r="F42" s="15"/>
      <c r="G42" s="15"/>
      <c r="H42" s="15"/>
      <c r="I42" s="15"/>
      <c r="J42" s="15"/>
      <c r="K42" s="15"/>
      <c r="L42" s="15"/>
      <c r="M42" s="15"/>
    </row>
    <row r="43" spans="1:16" x14ac:dyDescent="0.2">
      <c r="A43" s="15"/>
      <c r="B43" s="15"/>
      <c r="C43" s="15"/>
      <c r="D43" s="15"/>
      <c r="E43" s="15"/>
      <c r="F43" s="15"/>
      <c r="G43" s="15"/>
      <c r="H43" s="15"/>
      <c r="I43" s="15"/>
      <c r="J43" s="15"/>
      <c r="K43" s="15"/>
      <c r="L43" s="15"/>
      <c r="M43" s="15"/>
    </row>
    <row r="44" spans="1:16" x14ac:dyDescent="0.2">
      <c r="A44" s="15"/>
      <c r="B44" s="15"/>
      <c r="C44" s="15"/>
      <c r="D44" s="15"/>
      <c r="E44" s="15"/>
      <c r="F44" s="15"/>
      <c r="G44" s="15"/>
      <c r="H44" s="15"/>
      <c r="I44" s="15"/>
      <c r="J44" s="15"/>
      <c r="K44" s="15"/>
      <c r="L44" s="15"/>
      <c r="M44" s="15"/>
    </row>
    <row r="45" spans="1:16" x14ac:dyDescent="0.2">
      <c r="A45" s="15"/>
      <c r="B45" s="15"/>
      <c r="C45" s="15"/>
      <c r="D45" s="15"/>
      <c r="E45" s="15"/>
      <c r="F45" s="15"/>
      <c r="G45" s="15"/>
      <c r="H45" s="15"/>
      <c r="I45" s="15"/>
      <c r="J45" s="15"/>
      <c r="K45" s="15"/>
      <c r="L45" s="15"/>
    </row>
    <row r="53" spans="1:13" x14ac:dyDescent="0.2">
      <c r="E53" s="325"/>
    </row>
    <row r="54" spans="1:13" x14ac:dyDescent="0.2">
      <c r="E54" s="325"/>
    </row>
    <row r="55" spans="1:13" x14ac:dyDescent="0.2">
      <c r="E55" s="325"/>
    </row>
    <row r="56" spans="1:13" x14ac:dyDescent="0.2">
      <c r="E56" s="325"/>
    </row>
    <row r="57" spans="1:13" ht="15.6" x14ac:dyDescent="0.3">
      <c r="E57" s="325"/>
      <c r="M57" s="264"/>
    </row>
    <row r="58" spans="1:13" ht="15.6" x14ac:dyDescent="0.3">
      <c r="A58" s="326"/>
      <c r="B58" s="326"/>
      <c r="C58" s="264"/>
      <c r="D58" s="264"/>
      <c r="E58" s="265"/>
      <c r="F58" s="264"/>
      <c r="G58" s="264"/>
      <c r="H58" s="264"/>
      <c r="I58" s="264"/>
      <c r="J58" s="264"/>
      <c r="K58" s="264"/>
      <c r="L58" s="264"/>
    </row>
    <row r="59" spans="1:13" x14ac:dyDescent="0.2">
      <c r="E59" s="325"/>
    </row>
    <row r="60" spans="1:13" x14ac:dyDescent="0.2">
      <c r="E60" s="325"/>
    </row>
    <row r="61" spans="1:13" x14ac:dyDescent="0.2">
      <c r="E61" s="325"/>
    </row>
    <row r="62" spans="1:13" x14ac:dyDescent="0.2">
      <c r="E62" s="325"/>
    </row>
    <row r="63" spans="1:13" x14ac:dyDescent="0.2">
      <c r="E63" s="325"/>
    </row>
    <row r="64" spans="1:13" x14ac:dyDescent="0.2">
      <c r="E64" s="325"/>
    </row>
    <row r="65" spans="1:5" x14ac:dyDescent="0.2">
      <c r="E65" s="325"/>
    </row>
    <row r="66" spans="1:5" x14ac:dyDescent="0.2">
      <c r="E66" s="325"/>
    </row>
    <row r="67" spans="1:5" x14ac:dyDescent="0.2">
      <c r="E67" s="325"/>
    </row>
    <row r="68" spans="1:5" x14ac:dyDescent="0.2">
      <c r="E68" s="325"/>
    </row>
    <row r="69" spans="1:5" x14ac:dyDescent="0.2">
      <c r="E69" s="325"/>
    </row>
    <row r="70" spans="1:5" x14ac:dyDescent="0.2">
      <c r="E70" s="325"/>
    </row>
    <row r="71" spans="1:5" x14ac:dyDescent="0.2">
      <c r="E71" s="325"/>
    </row>
    <row r="72" spans="1:5" x14ac:dyDescent="0.2">
      <c r="E72" s="325"/>
    </row>
    <row r="73" spans="1:5" x14ac:dyDescent="0.2">
      <c r="E73" s="325"/>
    </row>
    <row r="74" spans="1:5" x14ac:dyDescent="0.2">
      <c r="E74" s="325"/>
    </row>
    <row r="75" spans="1:5" x14ac:dyDescent="0.2">
      <c r="E75" s="325"/>
    </row>
    <row r="76" spans="1:5" x14ac:dyDescent="0.2">
      <c r="E76" s="325"/>
    </row>
    <row r="77" spans="1:5" x14ac:dyDescent="0.2">
      <c r="E77" s="325"/>
    </row>
    <row r="78" spans="1:5" x14ac:dyDescent="0.2">
      <c r="E78" s="325"/>
    </row>
    <row r="79" spans="1:5" ht="13.8" x14ac:dyDescent="0.3">
      <c r="A79" s="280"/>
      <c r="B79" s="280"/>
      <c r="C79" s="327"/>
      <c r="D79" s="327"/>
      <c r="E79" s="325"/>
    </row>
    <row r="80" spans="1:5" x14ac:dyDescent="0.2">
      <c r="A80" s="266"/>
      <c r="B80" s="266"/>
      <c r="C80" s="328"/>
      <c r="D80" s="328"/>
      <c r="E80" s="325"/>
    </row>
    <row r="81" spans="1:13" x14ac:dyDescent="0.2">
      <c r="A81" s="266"/>
      <c r="B81" s="266"/>
      <c r="C81" s="328"/>
      <c r="E81" s="325"/>
    </row>
    <row r="82" spans="1:13" x14ac:dyDescent="0.2">
      <c r="A82" s="327"/>
      <c r="B82" s="327"/>
      <c r="C82" s="328"/>
      <c r="E82" s="325"/>
      <c r="M82" s="331"/>
    </row>
    <row r="83" spans="1:13" x14ac:dyDescent="0.2">
      <c r="A83" s="329"/>
      <c r="B83" s="329"/>
      <c r="C83" s="330"/>
      <c r="D83" s="330"/>
      <c r="E83" s="325"/>
      <c r="I83" s="331"/>
      <c r="J83" s="331"/>
      <c r="K83" s="331"/>
      <c r="L83" s="331"/>
      <c r="M83" s="331"/>
    </row>
    <row r="84" spans="1:13" x14ac:dyDescent="0.2">
      <c r="A84" s="329"/>
      <c r="B84" s="329"/>
      <c r="C84" s="330"/>
      <c r="D84" s="330"/>
      <c r="E84" s="325"/>
      <c r="I84" s="331"/>
      <c r="J84" s="331"/>
      <c r="K84" s="331"/>
      <c r="L84" s="331"/>
      <c r="M84" s="331"/>
    </row>
    <row r="85" spans="1:13" x14ac:dyDescent="0.2">
      <c r="A85" s="329"/>
      <c r="B85" s="329"/>
      <c r="C85" s="330"/>
      <c r="D85" s="330"/>
      <c r="E85" s="325"/>
      <c r="I85" s="331"/>
      <c r="J85" s="331"/>
      <c r="K85" s="331"/>
      <c r="L85" s="331"/>
      <c r="M85" s="331"/>
    </row>
    <row r="86" spans="1:13" x14ac:dyDescent="0.2">
      <c r="A86" s="329"/>
      <c r="B86" s="329"/>
      <c r="C86" s="330"/>
      <c r="D86" s="330"/>
      <c r="E86" s="325"/>
      <c r="I86" s="331"/>
      <c r="J86" s="331"/>
      <c r="K86" s="331"/>
      <c r="L86" s="331"/>
      <c r="M86" s="331"/>
    </row>
    <row r="87" spans="1:13" x14ac:dyDescent="0.2">
      <c r="A87" s="329"/>
      <c r="B87" s="329"/>
      <c r="C87" s="330"/>
      <c r="D87" s="330"/>
      <c r="E87" s="325"/>
      <c r="I87" s="331"/>
      <c r="J87" s="331"/>
      <c r="K87" s="331"/>
      <c r="L87" s="331"/>
      <c r="M87" s="331"/>
    </row>
    <row r="88" spans="1:13" x14ac:dyDescent="0.2">
      <c r="A88" s="329"/>
      <c r="B88" s="329"/>
      <c r="C88" s="330"/>
      <c r="D88" s="330"/>
      <c r="E88" s="325"/>
      <c r="I88" s="331"/>
      <c r="J88" s="331"/>
      <c r="K88" s="331"/>
      <c r="L88" s="331"/>
      <c r="M88" s="331"/>
    </row>
    <row r="89" spans="1:13" x14ac:dyDescent="0.2">
      <c r="A89" s="329"/>
      <c r="B89" s="329"/>
      <c r="C89" s="330"/>
      <c r="D89" s="330"/>
      <c r="E89" s="325"/>
      <c r="I89" s="331"/>
      <c r="J89" s="331"/>
      <c r="K89" s="331"/>
      <c r="L89" s="331"/>
      <c r="M89" s="331"/>
    </row>
    <row r="90" spans="1:13" x14ac:dyDescent="0.2">
      <c r="A90" s="329"/>
      <c r="B90" s="329"/>
      <c r="C90" s="330"/>
      <c r="D90" s="330"/>
      <c r="E90" s="325"/>
      <c r="F90" s="266"/>
      <c r="G90" s="266"/>
      <c r="I90" s="331"/>
      <c r="J90" s="331"/>
      <c r="K90" s="331"/>
      <c r="L90" s="331"/>
      <c r="M90" s="331"/>
    </row>
    <row r="91" spans="1:13" x14ac:dyDescent="0.2">
      <c r="A91" s="329"/>
      <c r="B91" s="329"/>
      <c r="C91" s="330"/>
      <c r="D91" s="330"/>
      <c r="E91" s="325"/>
      <c r="I91" s="331"/>
      <c r="J91" s="331"/>
      <c r="K91" s="331"/>
      <c r="L91" s="331"/>
      <c r="M91" s="331"/>
    </row>
    <row r="92" spans="1:13" x14ac:dyDescent="0.2">
      <c r="A92" s="329"/>
      <c r="B92" s="329"/>
      <c r="C92" s="330"/>
      <c r="D92" s="330"/>
      <c r="E92" s="325"/>
      <c r="I92" s="331"/>
      <c r="J92" s="331"/>
      <c r="K92" s="331"/>
      <c r="L92" s="331"/>
    </row>
    <row r="93" spans="1:13" x14ac:dyDescent="0.2">
      <c r="C93" s="330"/>
      <c r="D93" s="330"/>
      <c r="E93" s="325"/>
    </row>
    <row r="94" spans="1:13" x14ac:dyDescent="0.2">
      <c r="E94" s="325"/>
    </row>
    <row r="95" spans="1:13" x14ac:dyDescent="0.2">
      <c r="E95" s="325"/>
    </row>
    <row r="109" spans="5:5" x14ac:dyDescent="0.2">
      <c r="E109" s="325"/>
    </row>
    <row r="110" spans="5:5" x14ac:dyDescent="0.2">
      <c r="E110" s="325"/>
    </row>
    <row r="111" spans="5:5" x14ac:dyDescent="0.2">
      <c r="E111" s="325"/>
    </row>
    <row r="112" spans="5:5" x14ac:dyDescent="0.2">
      <c r="E112" s="325"/>
    </row>
    <row r="113" spans="5:5" x14ac:dyDescent="0.2">
      <c r="E113" s="325"/>
    </row>
    <row r="114" spans="5:5" x14ac:dyDescent="0.2">
      <c r="E114" s="325"/>
    </row>
    <row r="115" spans="5:5" x14ac:dyDescent="0.2">
      <c r="E115" s="325"/>
    </row>
    <row r="116" spans="5:5" x14ac:dyDescent="0.2">
      <c r="E116" s="325"/>
    </row>
    <row r="117" spans="5:5" x14ac:dyDescent="0.2">
      <c r="E117" s="325"/>
    </row>
    <row r="118" spans="5:5" x14ac:dyDescent="0.2">
      <c r="E118" s="325"/>
    </row>
    <row r="119" spans="5:5" x14ac:dyDescent="0.2">
      <c r="E119" s="325"/>
    </row>
    <row r="120" spans="5:5" x14ac:dyDescent="0.2">
      <c r="E120" s="325"/>
    </row>
    <row r="121" spans="5:5" x14ac:dyDescent="0.2">
      <c r="E121" s="325"/>
    </row>
    <row r="122" spans="5:5" x14ac:dyDescent="0.2">
      <c r="E122" s="325"/>
    </row>
    <row r="123" spans="5:5" x14ac:dyDescent="0.2">
      <c r="E123" s="325"/>
    </row>
    <row r="124" spans="5:5" x14ac:dyDescent="0.2">
      <c r="E124" s="325"/>
    </row>
    <row r="125" spans="5:5" x14ac:dyDescent="0.2">
      <c r="E125" s="325"/>
    </row>
    <row r="126" spans="5:5" x14ac:dyDescent="0.2">
      <c r="E126" s="325"/>
    </row>
    <row r="127" spans="5:5" x14ac:dyDescent="0.2">
      <c r="E127" s="325"/>
    </row>
    <row r="128" spans="5:5" x14ac:dyDescent="0.2">
      <c r="E128" s="325"/>
    </row>
    <row r="129" spans="5:5" x14ac:dyDescent="0.2">
      <c r="E129" s="325"/>
    </row>
    <row r="130" spans="5:5" x14ac:dyDescent="0.2">
      <c r="E130" s="325"/>
    </row>
    <row r="131" spans="5:5" x14ac:dyDescent="0.2">
      <c r="E131" s="325"/>
    </row>
    <row r="132" spans="5:5" x14ac:dyDescent="0.2">
      <c r="E132" s="325"/>
    </row>
    <row r="133" spans="5:5" x14ac:dyDescent="0.2">
      <c r="E133" s="325"/>
    </row>
    <row r="134" spans="5:5" x14ac:dyDescent="0.2">
      <c r="E134" s="325"/>
    </row>
    <row r="135" spans="5:5" x14ac:dyDescent="0.2">
      <c r="E135" s="325"/>
    </row>
    <row r="136" spans="5:5" x14ac:dyDescent="0.2">
      <c r="E136" s="325"/>
    </row>
    <row r="137" spans="5:5" x14ac:dyDescent="0.2">
      <c r="E137" s="325"/>
    </row>
    <row r="138" spans="5:5" x14ac:dyDescent="0.2">
      <c r="E138" s="325"/>
    </row>
    <row r="139" spans="5:5" x14ac:dyDescent="0.2">
      <c r="E139" s="325"/>
    </row>
    <row r="140" spans="5:5" x14ac:dyDescent="0.2">
      <c r="E140" s="325"/>
    </row>
    <row r="141" spans="5:5" x14ac:dyDescent="0.2">
      <c r="E141" s="325"/>
    </row>
    <row r="142" spans="5:5" x14ac:dyDescent="0.2">
      <c r="E142" s="325"/>
    </row>
    <row r="143" spans="5:5" x14ac:dyDescent="0.2">
      <c r="E143" s="325"/>
    </row>
    <row r="144" spans="5:5" x14ac:dyDescent="0.2">
      <c r="E144" s="325"/>
    </row>
    <row r="145" spans="5:5" x14ac:dyDescent="0.2">
      <c r="E145" s="325"/>
    </row>
    <row r="146" spans="5:5" x14ac:dyDescent="0.2">
      <c r="E146" s="325"/>
    </row>
    <row r="147" spans="5:5" x14ac:dyDescent="0.2">
      <c r="E147" s="325"/>
    </row>
    <row r="148" spans="5:5" x14ac:dyDescent="0.2">
      <c r="E148" s="325"/>
    </row>
    <row r="149" spans="5:5" x14ac:dyDescent="0.2">
      <c r="E149" s="325"/>
    </row>
    <row r="150" spans="5:5" x14ac:dyDescent="0.2">
      <c r="E150" s="325"/>
    </row>
    <row r="151" spans="5:5" x14ac:dyDescent="0.2">
      <c r="E151" s="325"/>
    </row>
    <row r="152" spans="5:5" x14ac:dyDescent="0.2">
      <c r="E152" s="325"/>
    </row>
    <row r="153" spans="5:5" x14ac:dyDescent="0.2">
      <c r="E153" s="325"/>
    </row>
    <row r="154" spans="5:5" x14ac:dyDescent="0.2">
      <c r="E154" s="325"/>
    </row>
    <row r="155" spans="5:5" x14ac:dyDescent="0.2">
      <c r="E155" s="325"/>
    </row>
    <row r="156" spans="5:5" x14ac:dyDescent="0.2">
      <c r="E156" s="325"/>
    </row>
    <row r="157" spans="5:5" x14ac:dyDescent="0.2">
      <c r="E157" s="325"/>
    </row>
    <row r="158" spans="5:5" x14ac:dyDescent="0.2">
      <c r="E158" s="325"/>
    </row>
    <row r="159" spans="5:5" x14ac:dyDescent="0.2">
      <c r="E159" s="325"/>
    </row>
    <row r="160" spans="5:5" x14ac:dyDescent="0.2">
      <c r="E160" s="325"/>
    </row>
    <row r="161" spans="5:5" x14ac:dyDescent="0.2">
      <c r="E161" s="325"/>
    </row>
    <row r="162" spans="5:5" x14ac:dyDescent="0.2">
      <c r="E162" s="325"/>
    </row>
    <row r="163" spans="5:5" x14ac:dyDescent="0.2">
      <c r="E163" s="325"/>
    </row>
    <row r="164" spans="5:5" x14ac:dyDescent="0.2">
      <c r="E164" s="325"/>
    </row>
    <row r="165" spans="5:5" x14ac:dyDescent="0.2">
      <c r="E165" s="325"/>
    </row>
    <row r="166" spans="5:5" x14ac:dyDescent="0.2">
      <c r="E166" s="325"/>
    </row>
    <row r="167" spans="5:5" x14ac:dyDescent="0.2">
      <c r="E167" s="325"/>
    </row>
    <row r="168" spans="5:5" x14ac:dyDescent="0.2">
      <c r="E168" s="325"/>
    </row>
    <row r="169" spans="5:5" x14ac:dyDescent="0.2">
      <c r="E169" s="325"/>
    </row>
    <row r="170" spans="5:5" x14ac:dyDescent="0.2">
      <c r="E170" s="325"/>
    </row>
    <row r="171" spans="5:5" x14ac:dyDescent="0.2">
      <c r="E171" s="325"/>
    </row>
    <row r="172" spans="5:5" x14ac:dyDescent="0.2">
      <c r="E172" s="325"/>
    </row>
    <row r="173" spans="5:5" x14ac:dyDescent="0.2">
      <c r="E173" s="325"/>
    </row>
    <row r="174" spans="5:5" x14ac:dyDescent="0.2">
      <c r="E174" s="325"/>
    </row>
    <row r="175" spans="5:5" x14ac:dyDescent="0.2">
      <c r="E175" s="325"/>
    </row>
    <row r="176" spans="5:5" x14ac:dyDescent="0.2">
      <c r="E176" s="325"/>
    </row>
    <row r="177" spans="4:5" x14ac:dyDescent="0.2">
      <c r="E177" s="325"/>
    </row>
    <row r="178" spans="4:5" x14ac:dyDescent="0.2">
      <c r="E178" s="325"/>
    </row>
    <row r="179" spans="4:5" x14ac:dyDescent="0.2">
      <c r="E179" s="325"/>
    </row>
    <row r="180" spans="4:5" x14ac:dyDescent="0.2">
      <c r="E180" s="325"/>
    </row>
    <row r="181" spans="4:5" x14ac:dyDescent="0.2">
      <c r="E181" s="325"/>
    </row>
    <row r="182" spans="4:5" x14ac:dyDescent="0.2">
      <c r="E182" s="325"/>
    </row>
    <row r="183" spans="4:5" x14ac:dyDescent="0.2">
      <c r="E183" s="325"/>
    </row>
    <row r="184" spans="4:5" x14ac:dyDescent="0.2">
      <c r="E184" s="325"/>
    </row>
    <row r="185" spans="4:5" x14ac:dyDescent="0.2">
      <c r="E185" s="325"/>
    </row>
    <row r="186" spans="4:5" x14ac:dyDescent="0.2">
      <c r="E186" s="325"/>
    </row>
    <row r="187" spans="4:5" x14ac:dyDescent="0.2">
      <c r="E187" s="325"/>
    </row>
    <row r="188" spans="4:5" x14ac:dyDescent="0.2">
      <c r="D188" s="325"/>
    </row>
    <row r="189" spans="4:5" x14ac:dyDescent="0.2">
      <c r="D189" s="325"/>
    </row>
    <row r="190" spans="4:5" x14ac:dyDescent="0.2">
      <c r="D190" s="325"/>
    </row>
    <row r="191" spans="4:5" x14ac:dyDescent="0.2">
      <c r="D191" s="325"/>
    </row>
  </sheetData>
  <mergeCells count="18">
    <mergeCell ref="L5:L7"/>
    <mergeCell ref="I5:I7"/>
    <mergeCell ref="J5:J7"/>
    <mergeCell ref="B5:B7"/>
    <mergeCell ref="D5:D7"/>
    <mergeCell ref="K5:K7"/>
    <mergeCell ref="G5:G7"/>
    <mergeCell ref="C5:C7"/>
    <mergeCell ref="B41:F41"/>
    <mergeCell ref="B32:F32"/>
    <mergeCell ref="B33:F33"/>
    <mergeCell ref="B34:F34"/>
    <mergeCell ref="B35:F35"/>
    <mergeCell ref="B36:F36"/>
    <mergeCell ref="B37:F37"/>
    <mergeCell ref="B38:F38"/>
    <mergeCell ref="B39:F39"/>
    <mergeCell ref="B40:F40"/>
  </mergeCells>
  <phoneticPr fontId="0" type="noConversion"/>
  <printOptions horizontalCentered="1" verticalCentered="1"/>
  <pageMargins left="0.27559055118110237" right="0.15748031496062992" top="0.59055118110236227" bottom="0.6692913385826772" header="0.39370078740157483" footer="0.35433070866141736"/>
  <pageSetup paperSize="9" scale="85" orientation="landscape" r:id="rId1"/>
  <headerFooter alignWithMargins="0">
    <oddHeader xml:space="preserve">&amp;R
</oddHeader>
    <oddFooter xml:space="preserve">&amp;C&amp;9 5
&amp;8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indexed="10"/>
  </sheetPr>
  <dimension ref="A1:X124"/>
  <sheetViews>
    <sheetView showGridLines="0" zoomScaleNormal="100" workbookViewId="0"/>
  </sheetViews>
  <sheetFormatPr defaultColWidth="11.44140625" defaultRowHeight="13.8" x14ac:dyDescent="0.3"/>
  <cols>
    <col min="1" max="1" width="4.5546875" style="1" customWidth="1"/>
    <col min="2" max="2" width="5" style="1" customWidth="1"/>
    <col min="3" max="3" width="17.5546875" style="1" customWidth="1"/>
    <col min="4" max="4" width="11.33203125" style="1" customWidth="1"/>
    <col min="5" max="5" width="10.33203125" style="1" customWidth="1"/>
    <col min="6" max="6" width="9.44140625" style="1" customWidth="1"/>
    <col min="7" max="7" width="10.33203125" style="1" customWidth="1"/>
    <col min="8" max="8" width="10.6640625" style="1" customWidth="1"/>
    <col min="9" max="9" width="9.33203125" style="1" customWidth="1"/>
    <col min="10" max="10" width="10.44140625" style="1" customWidth="1"/>
    <col min="11" max="11" width="11.33203125" style="1" customWidth="1"/>
    <col min="12" max="12" width="9.6640625" style="1" customWidth="1"/>
    <col min="13" max="13" width="10.33203125" style="332" customWidth="1"/>
    <col min="14" max="14" width="10" style="1" bestFit="1" customWidth="1"/>
    <col min="15" max="15" width="2.33203125" style="1" customWidth="1"/>
    <col min="16" max="17" width="8.6640625" style="1" customWidth="1"/>
    <col min="18" max="18" width="10.44140625" style="1" customWidth="1"/>
    <col min="19" max="19" width="14.33203125" style="1" customWidth="1"/>
    <col min="20" max="20" width="11.6640625" style="1" customWidth="1"/>
    <col min="21" max="16384" width="11.44140625" style="1"/>
  </cols>
  <sheetData>
    <row r="1" spans="1:17" x14ac:dyDescent="0.3">
      <c r="A1" s="67" t="s">
        <v>592</v>
      </c>
      <c r="B1" s="58"/>
    </row>
    <row r="2" spans="1:17" x14ac:dyDescent="0.3">
      <c r="A2" s="58"/>
      <c r="B2" s="58"/>
      <c r="C2" s="333"/>
    </row>
    <row r="3" spans="1:17" ht="14.4" thickBot="1" x14ac:dyDescent="0.35">
      <c r="A3" s="58" t="s">
        <v>593</v>
      </c>
      <c r="B3" s="58"/>
    </row>
    <row r="4" spans="1:17" x14ac:dyDescent="0.3">
      <c r="A4" s="61"/>
      <c r="B4" s="334"/>
      <c r="C4" s="215"/>
      <c r="D4" s="1649">
        <v>2021</v>
      </c>
      <c r="E4" s="1650"/>
      <c r="F4" s="1650"/>
      <c r="G4" s="1651"/>
      <c r="H4" s="1652">
        <v>2020</v>
      </c>
      <c r="I4" s="1653"/>
      <c r="J4" s="1653"/>
      <c r="K4" s="1654"/>
      <c r="M4" s="1"/>
      <c r="N4" s="332"/>
    </row>
    <row r="5" spans="1:17" x14ac:dyDescent="0.3">
      <c r="A5" s="335"/>
      <c r="B5" s="9"/>
      <c r="C5" s="10"/>
      <c r="D5" s="515" t="s">
        <v>128</v>
      </c>
      <c r="E5" s="1655" t="s">
        <v>162</v>
      </c>
      <c r="F5" s="1655"/>
      <c r="G5" s="516" t="s">
        <v>196</v>
      </c>
      <c r="H5" s="619" t="s">
        <v>128</v>
      </c>
      <c r="I5" s="1655" t="s">
        <v>30</v>
      </c>
      <c r="J5" s="1655"/>
      <c r="K5" s="672"/>
      <c r="M5" s="1"/>
      <c r="N5" s="332"/>
    </row>
    <row r="6" spans="1:17" x14ac:dyDescent="0.3">
      <c r="A6" s="335"/>
      <c r="B6" s="9" t="s">
        <v>35</v>
      </c>
      <c r="C6" s="10"/>
      <c r="D6" s="518" t="s">
        <v>129</v>
      </c>
      <c r="E6" s="1669" t="s">
        <v>582</v>
      </c>
      <c r="F6" s="336" t="s">
        <v>64</v>
      </c>
      <c r="G6" s="519" t="s">
        <v>230</v>
      </c>
      <c r="H6" s="517" t="s">
        <v>129</v>
      </c>
      <c r="I6" s="1669" t="s">
        <v>582</v>
      </c>
      <c r="J6" s="336" t="s">
        <v>64</v>
      </c>
      <c r="K6" s="660" t="s">
        <v>99</v>
      </c>
      <c r="L6" s="109"/>
      <c r="M6" s="109"/>
      <c r="N6" s="109"/>
      <c r="O6" s="109"/>
    </row>
    <row r="7" spans="1:17" ht="14.4" thickBot="1" x14ac:dyDescent="0.35">
      <c r="A7" s="337" t="s">
        <v>33</v>
      </c>
      <c r="B7" s="338" t="s">
        <v>36</v>
      </c>
      <c r="C7" s="339"/>
      <c r="D7" s="520" t="s">
        <v>231</v>
      </c>
      <c r="E7" s="1670"/>
      <c r="F7" s="340" t="s">
        <v>16</v>
      </c>
      <c r="G7" s="341" t="s">
        <v>99</v>
      </c>
      <c r="H7" s="521" t="s">
        <v>231</v>
      </c>
      <c r="I7" s="1670"/>
      <c r="J7" s="340" t="s">
        <v>16</v>
      </c>
      <c r="K7" s="661"/>
      <c r="L7" s="109"/>
      <c r="M7" s="1"/>
      <c r="N7" s="332"/>
    </row>
    <row r="8" spans="1:17" ht="14.4" thickBot="1" x14ac:dyDescent="0.35">
      <c r="A8" s="349">
        <v>1</v>
      </c>
      <c r="B8" s="350">
        <v>11</v>
      </c>
      <c r="C8" s="7" t="s">
        <v>7</v>
      </c>
      <c r="D8" s="811">
        <f>SUM(E8:G8)</f>
        <v>405659.15525466343</v>
      </c>
      <c r="E8" s="351">
        <f>'str4'!D4</f>
        <v>91019.155254663405</v>
      </c>
      <c r="F8" s="343">
        <f>'str5'!L9</f>
        <v>314640</v>
      </c>
      <c r="G8" s="344"/>
      <c r="H8" s="345">
        <f>SUM(I8:K8)</f>
        <v>404090.48190461996</v>
      </c>
      <c r="I8" s="346">
        <v>87899.281904619929</v>
      </c>
      <c r="J8" s="652">
        <v>316191.2</v>
      </c>
      <c r="K8" s="662"/>
      <c r="L8" s="347"/>
      <c r="M8" s="348"/>
      <c r="N8" s="332"/>
    </row>
    <row r="9" spans="1:17" x14ac:dyDescent="0.3">
      <c r="A9" s="349">
        <f>A8+1</f>
        <v>2</v>
      </c>
      <c r="B9" s="350">
        <v>16</v>
      </c>
      <c r="C9" s="7" t="s">
        <v>613</v>
      </c>
      <c r="D9" s="811">
        <f>SUM(E9:G9)</f>
        <v>76244.700235294105</v>
      </c>
      <c r="E9" s="351">
        <f>'str4'!D5</f>
        <v>20248.000235294112</v>
      </c>
      <c r="F9" s="343">
        <f>'str5'!L10</f>
        <v>55996.7</v>
      </c>
      <c r="G9" s="1243"/>
      <c r="H9" s="358">
        <v>0</v>
      </c>
      <c r="I9" s="346">
        <v>0</v>
      </c>
      <c r="J9" s="652">
        <v>0</v>
      </c>
      <c r="K9" s="662"/>
      <c r="L9" s="347"/>
      <c r="M9" s="348"/>
      <c r="N9" s="332"/>
    </row>
    <row r="10" spans="1:17" x14ac:dyDescent="0.3">
      <c r="A10" s="349">
        <f t="shared" ref="A10:A36" si="0">A9+1</f>
        <v>3</v>
      </c>
      <c r="B10" s="350">
        <v>21</v>
      </c>
      <c r="C10" s="7" t="s">
        <v>8</v>
      </c>
      <c r="D10" s="810">
        <f t="shared" ref="D10:D17" si="1">SUM(E10:G10)</f>
        <v>409107.92152548401</v>
      </c>
      <c r="E10" s="365">
        <f>'str4'!D6</f>
        <v>91249.421525484009</v>
      </c>
      <c r="F10" s="365">
        <f>'str5'!L11</f>
        <v>317858.5</v>
      </c>
      <c r="G10" s="352"/>
      <c r="H10" s="353">
        <f t="shared" ref="H10:H17" si="2">SUM(I10:K10)</f>
        <v>401210.63832749025</v>
      </c>
      <c r="I10" s="354">
        <v>84126.93832749025</v>
      </c>
      <c r="J10" s="630">
        <v>317083.7</v>
      </c>
      <c r="K10" s="663"/>
      <c r="L10" s="347"/>
      <c r="M10" s="348"/>
      <c r="N10" s="332"/>
    </row>
    <row r="11" spans="1:17" x14ac:dyDescent="0.3">
      <c r="A11" s="349">
        <f t="shared" si="0"/>
        <v>4</v>
      </c>
      <c r="B11" s="350">
        <v>22</v>
      </c>
      <c r="C11" s="7" t="s">
        <v>9</v>
      </c>
      <c r="D11" s="810">
        <f t="shared" si="1"/>
        <v>150838.11059661664</v>
      </c>
      <c r="E11" s="355">
        <f>'str4'!D7</f>
        <v>30296.710596616631</v>
      </c>
      <c r="F11" s="355">
        <f>'str5'!L12</f>
        <v>120541.4</v>
      </c>
      <c r="G11" s="352"/>
      <c r="H11" s="353">
        <f t="shared" si="2"/>
        <v>147962.54561577726</v>
      </c>
      <c r="I11" s="354">
        <v>31753.645615777277</v>
      </c>
      <c r="J11" s="630">
        <v>116208.9</v>
      </c>
      <c r="K11" s="663"/>
      <c r="L11" s="347"/>
      <c r="M11" s="348"/>
      <c r="N11" s="332"/>
    </row>
    <row r="12" spans="1:17" x14ac:dyDescent="0.3">
      <c r="A12" s="349">
        <f t="shared" si="0"/>
        <v>5</v>
      </c>
      <c r="B12" s="350">
        <v>23</v>
      </c>
      <c r="C12" s="7" t="s">
        <v>10</v>
      </c>
      <c r="D12" s="810">
        <f t="shared" si="1"/>
        <v>201523.17427301523</v>
      </c>
      <c r="E12" s="355">
        <f>'str4'!D8</f>
        <v>61580.374273015259</v>
      </c>
      <c r="F12" s="355">
        <f>'str5'!L13</f>
        <v>139942.79999999999</v>
      </c>
      <c r="G12" s="352"/>
      <c r="H12" s="353">
        <f t="shared" si="2"/>
        <v>187591.52072649536</v>
      </c>
      <c r="I12" s="354">
        <v>54373.120726495377</v>
      </c>
      <c r="J12" s="630">
        <v>133218.4</v>
      </c>
      <c r="K12" s="663"/>
      <c r="L12" s="347"/>
      <c r="M12" s="348"/>
      <c r="N12" s="332"/>
    </row>
    <row r="13" spans="1:17" x14ac:dyDescent="0.3">
      <c r="A13" s="349">
        <f t="shared" si="0"/>
        <v>6</v>
      </c>
      <c r="B13" s="350">
        <v>31</v>
      </c>
      <c r="C13" s="7" t="s">
        <v>11</v>
      </c>
      <c r="D13" s="810">
        <f t="shared" si="1"/>
        <v>638975.41089317878</v>
      </c>
      <c r="E13" s="556">
        <f>'str4'!D9</f>
        <v>323020.21089317877</v>
      </c>
      <c r="F13" s="556">
        <f>'str5'!L14</f>
        <v>315955.20000000001</v>
      </c>
      <c r="G13" s="352"/>
      <c r="H13" s="353">
        <f t="shared" si="2"/>
        <v>605367.0677645884</v>
      </c>
      <c r="I13" s="354">
        <v>301958.16776458832</v>
      </c>
      <c r="J13" s="630">
        <v>303408.90000000002</v>
      </c>
      <c r="K13" s="663"/>
      <c r="L13" s="347"/>
      <c r="M13" s="348"/>
      <c r="N13" s="332"/>
    </row>
    <row r="14" spans="1:17" x14ac:dyDescent="0.3">
      <c r="A14" s="349">
        <f t="shared" si="0"/>
        <v>7</v>
      </c>
      <c r="B14" s="350">
        <v>33</v>
      </c>
      <c r="C14" s="7" t="s">
        <v>12</v>
      </c>
      <c r="D14" s="810">
        <f t="shared" si="1"/>
        <v>169483.26867438992</v>
      </c>
      <c r="E14" s="355">
        <f>'str4'!D10</f>
        <v>53314.068674389913</v>
      </c>
      <c r="F14" s="355">
        <f>'str5'!L15</f>
        <v>116169.2</v>
      </c>
      <c r="G14" s="352"/>
      <c r="H14" s="353">
        <f t="shared" si="2"/>
        <v>165079.96311955937</v>
      </c>
      <c r="I14" s="354">
        <v>52975.863119559363</v>
      </c>
      <c r="J14" s="630">
        <v>112104.1</v>
      </c>
      <c r="K14" s="663"/>
      <c r="L14" s="347"/>
      <c r="M14" s="348"/>
      <c r="N14" s="332"/>
    </row>
    <row r="15" spans="1:17" x14ac:dyDescent="0.3">
      <c r="A15" s="349">
        <f t="shared" si="0"/>
        <v>8</v>
      </c>
      <c r="B15" s="350">
        <v>41</v>
      </c>
      <c r="C15" s="7" t="s">
        <v>13</v>
      </c>
      <c r="D15" s="810">
        <f t="shared" si="1"/>
        <v>253400.12874994514</v>
      </c>
      <c r="E15" s="556">
        <f>'str4'!D11</f>
        <v>33318.228749945134</v>
      </c>
      <c r="F15" s="556">
        <f>'str5'!L16</f>
        <v>220081.9</v>
      </c>
      <c r="G15" s="352"/>
      <c r="H15" s="353">
        <f t="shared" si="2"/>
        <v>234110.44292217225</v>
      </c>
      <c r="I15" s="354">
        <v>34841.842922172254</v>
      </c>
      <c r="J15" s="630">
        <v>199268.6</v>
      </c>
      <c r="K15" s="663"/>
      <c r="L15" s="347"/>
      <c r="M15" s="348"/>
      <c r="N15" s="332"/>
    </row>
    <row r="16" spans="1:17" x14ac:dyDescent="0.3">
      <c r="A16" s="349">
        <f t="shared" si="0"/>
        <v>9</v>
      </c>
      <c r="B16" s="350">
        <v>51</v>
      </c>
      <c r="C16" s="7" t="s">
        <v>199</v>
      </c>
      <c r="D16" s="810">
        <f t="shared" si="1"/>
        <v>104080.60930356412</v>
      </c>
      <c r="E16" s="509">
        <f>'str4'!D12</f>
        <v>6157.309303564125</v>
      </c>
      <c r="F16" s="355">
        <f>'str5'!L17+'str5'!L19</f>
        <v>97923.3</v>
      </c>
      <c r="G16" s="352"/>
      <c r="H16" s="353">
        <f t="shared" si="2"/>
        <v>100674.58521636088</v>
      </c>
      <c r="I16" s="354">
        <v>8068.2852163608832</v>
      </c>
      <c r="J16" s="630">
        <v>92606.3</v>
      </c>
      <c r="K16" s="663"/>
      <c r="L16" s="347"/>
      <c r="M16" s="348"/>
      <c r="N16" s="59"/>
      <c r="P16" s="59"/>
      <c r="Q16" s="59"/>
    </row>
    <row r="17" spans="1:17" x14ac:dyDescent="0.3">
      <c r="A17" s="704">
        <f t="shared" si="0"/>
        <v>10</v>
      </c>
      <c r="B17" s="356">
        <v>56</v>
      </c>
      <c r="C17" s="8" t="s">
        <v>15</v>
      </c>
      <c r="D17" s="812">
        <f t="shared" si="1"/>
        <v>142135.22782650223</v>
      </c>
      <c r="E17" s="705">
        <f>'str4'!D13</f>
        <v>23204.22782650224</v>
      </c>
      <c r="F17" s="513">
        <f>'str5'!L18</f>
        <v>118931</v>
      </c>
      <c r="G17" s="357"/>
      <c r="H17" s="358">
        <f t="shared" si="2"/>
        <v>144381.2393411301</v>
      </c>
      <c r="I17" s="346">
        <v>23521.039341130112</v>
      </c>
      <c r="J17" s="653">
        <v>120860.2</v>
      </c>
      <c r="K17" s="664"/>
      <c r="L17" s="347"/>
      <c r="M17" s="348"/>
      <c r="N17" s="59"/>
    </row>
    <row r="18" spans="1:17" s="579" customFormat="1" x14ac:dyDescent="0.3">
      <c r="A18" s="706">
        <f t="shared" si="0"/>
        <v>11</v>
      </c>
      <c r="B18" s="707" t="s">
        <v>37</v>
      </c>
      <c r="C18" s="708"/>
      <c r="D18" s="583">
        <f t="shared" ref="D18:J18" si="3">SUM(D8:D17)</f>
        <v>2551447.7073326535</v>
      </c>
      <c r="E18" s="709">
        <f t="shared" si="3"/>
        <v>733407.70733265381</v>
      </c>
      <c r="F18" s="710">
        <f t="shared" si="3"/>
        <v>1818039.9999999998</v>
      </c>
      <c r="G18" s="711">
        <f t="shared" si="3"/>
        <v>0</v>
      </c>
      <c r="H18" s="712">
        <f t="shared" si="3"/>
        <v>2390468.484938194</v>
      </c>
      <c r="I18" s="713">
        <f t="shared" si="3"/>
        <v>679518.18493819376</v>
      </c>
      <c r="J18" s="417">
        <f t="shared" si="3"/>
        <v>1710950.3000000003</v>
      </c>
      <c r="K18" s="682">
        <v>0</v>
      </c>
      <c r="L18" s="577"/>
      <c r="M18" s="577"/>
      <c r="N18" s="578"/>
    </row>
    <row r="19" spans="1:17" s="58" customFormat="1" x14ac:dyDescent="0.3">
      <c r="A19" s="361">
        <f t="shared" si="0"/>
        <v>12</v>
      </c>
      <c r="B19" s="362">
        <v>71</v>
      </c>
      <c r="C19" s="6" t="s">
        <v>178</v>
      </c>
      <c r="D19" s="363">
        <f>SUM(E19:G19)</f>
        <v>125764.51598134039</v>
      </c>
      <c r="E19" s="364">
        <f>'str4'!D15</f>
        <v>125764.51598134039</v>
      </c>
      <c r="F19" s="365"/>
      <c r="G19" s="366"/>
      <c r="H19" s="358">
        <f>SUM(I19:K19)</f>
        <v>121125.37366406241</v>
      </c>
      <c r="I19" s="364">
        <v>121125.37366406241</v>
      </c>
      <c r="J19" s="654"/>
      <c r="K19" s="665"/>
      <c r="L19" s="238"/>
      <c r="M19" s="238"/>
      <c r="N19" s="360"/>
    </row>
    <row r="20" spans="1:17" s="58" customFormat="1" x14ac:dyDescent="0.3">
      <c r="A20" s="361">
        <f t="shared" si="0"/>
        <v>13</v>
      </c>
      <c r="B20" s="362">
        <v>79</v>
      </c>
      <c r="C20" s="6" t="s">
        <v>239</v>
      </c>
      <c r="D20" s="363"/>
      <c r="E20" s="364"/>
      <c r="F20" s="365"/>
      <c r="G20" s="366"/>
      <c r="H20" s="353"/>
      <c r="I20" s="364"/>
      <c r="J20" s="654"/>
      <c r="K20" s="665"/>
      <c r="L20" s="238"/>
      <c r="M20" s="238"/>
      <c r="N20" s="360"/>
    </row>
    <row r="21" spans="1:17" x14ac:dyDescent="0.3">
      <c r="A21" s="349">
        <f t="shared" si="0"/>
        <v>14</v>
      </c>
      <c r="B21" s="350">
        <v>81</v>
      </c>
      <c r="C21" s="7" t="s">
        <v>68</v>
      </c>
      <c r="D21" s="363">
        <f t="shared" ref="D21:D30" si="4">SUM(E21:G21)</f>
        <v>0</v>
      </c>
      <c r="E21" s="354"/>
      <c r="F21" s="355"/>
      <c r="G21" s="367"/>
      <c r="H21" s="353">
        <f t="shared" ref="H21:H31" si="5">SUM(I21:K21)</f>
        <v>0</v>
      </c>
      <c r="I21" s="354"/>
      <c r="J21" s="630"/>
      <c r="K21" s="408"/>
      <c r="L21" s="59"/>
      <c r="M21" s="59"/>
      <c r="N21" s="332"/>
    </row>
    <row r="22" spans="1:17" x14ac:dyDescent="0.3">
      <c r="A22" s="361">
        <f t="shared" si="0"/>
        <v>15</v>
      </c>
      <c r="B22" s="350">
        <v>82</v>
      </c>
      <c r="C22" s="7" t="s">
        <v>1</v>
      </c>
      <c r="D22" s="363">
        <f t="shared" si="4"/>
        <v>0</v>
      </c>
      <c r="E22" s="354"/>
      <c r="F22" s="355"/>
      <c r="G22" s="367"/>
      <c r="H22" s="353">
        <f t="shared" si="5"/>
        <v>0</v>
      </c>
      <c r="I22" s="354"/>
      <c r="J22" s="630"/>
      <c r="K22" s="408"/>
      <c r="M22" s="1"/>
      <c r="N22" s="332"/>
    </row>
    <row r="23" spans="1:17" x14ac:dyDescent="0.3">
      <c r="A23" s="361">
        <f t="shared" si="0"/>
        <v>16</v>
      </c>
      <c r="B23" s="350">
        <v>83</v>
      </c>
      <c r="C23" s="7" t="s">
        <v>79</v>
      </c>
      <c r="D23" s="363">
        <f t="shared" si="4"/>
        <v>6500</v>
      </c>
      <c r="E23" s="354"/>
      <c r="F23" s="355">
        <f>'příl.1 - cp 2021'!I151</f>
        <v>6500</v>
      </c>
      <c r="G23" s="367"/>
      <c r="H23" s="353">
        <f t="shared" si="5"/>
        <v>6500</v>
      </c>
      <c r="I23" s="354"/>
      <c r="J23" s="655">
        <v>6500</v>
      </c>
      <c r="K23" s="666"/>
      <c r="M23" s="1"/>
      <c r="N23" s="332"/>
      <c r="P23" s="59"/>
      <c r="Q23" s="59"/>
    </row>
    <row r="24" spans="1:17" x14ac:dyDescent="0.3">
      <c r="A24" s="349">
        <f t="shared" si="0"/>
        <v>17</v>
      </c>
      <c r="B24" s="342">
        <v>84</v>
      </c>
      <c r="C24" s="98" t="s">
        <v>78</v>
      </c>
      <c r="D24" s="363">
        <f t="shared" si="4"/>
        <v>1580.8</v>
      </c>
      <c r="E24" s="354">
        <f>'str4'!D16</f>
        <v>580.79999999999995</v>
      </c>
      <c r="F24" s="355">
        <f>'příl.1 - cp 2021'!I152</f>
        <v>1000</v>
      </c>
      <c r="G24" s="367"/>
      <c r="H24" s="353">
        <f t="shared" si="5"/>
        <v>580.79999999999995</v>
      </c>
      <c r="I24" s="354">
        <v>580.79999999999995</v>
      </c>
      <c r="J24" s="655">
        <v>0</v>
      </c>
      <c r="K24" s="666"/>
      <c r="M24" s="1"/>
      <c r="N24" s="332"/>
    </row>
    <row r="25" spans="1:17" x14ac:dyDescent="0.3">
      <c r="A25" s="361">
        <f t="shared" si="0"/>
        <v>18</v>
      </c>
      <c r="B25" s="522">
        <v>85</v>
      </c>
      <c r="C25" s="523" t="s">
        <v>95</v>
      </c>
      <c r="D25" s="363">
        <f t="shared" si="4"/>
        <v>2161.1</v>
      </c>
      <c r="E25" s="354">
        <f>'str4'!D17</f>
        <v>1793</v>
      </c>
      <c r="F25" s="355">
        <f>'str4'!C17</f>
        <v>368.1</v>
      </c>
      <c r="G25" s="367"/>
      <c r="H25" s="353">
        <f t="shared" si="5"/>
        <v>2228.6999999999998</v>
      </c>
      <c r="I25" s="354">
        <v>1793</v>
      </c>
      <c r="J25" s="656">
        <v>435.7</v>
      </c>
      <c r="K25" s="667"/>
      <c r="M25" s="1"/>
      <c r="N25" s="332"/>
    </row>
    <row r="26" spans="1:17" x14ac:dyDescent="0.3">
      <c r="A26" s="361">
        <f t="shared" si="0"/>
        <v>19</v>
      </c>
      <c r="B26" s="522">
        <v>87</v>
      </c>
      <c r="C26" s="523" t="s">
        <v>122</v>
      </c>
      <c r="D26" s="363">
        <f t="shared" si="4"/>
        <v>7918.6</v>
      </c>
      <c r="E26" s="354">
        <f>'str4'!D18</f>
        <v>18.600000000000001</v>
      </c>
      <c r="F26" s="355">
        <f>'příl.1 - cp 2021'!I154</f>
        <v>7900</v>
      </c>
      <c r="G26" s="367"/>
      <c r="H26" s="353">
        <f t="shared" si="5"/>
        <v>7918.6</v>
      </c>
      <c r="I26" s="354">
        <v>18.600000000000001</v>
      </c>
      <c r="J26" s="656">
        <v>7900</v>
      </c>
      <c r="K26" s="667"/>
      <c r="M26" s="1"/>
      <c r="N26" s="332"/>
    </row>
    <row r="27" spans="1:17" x14ac:dyDescent="0.3">
      <c r="A27" s="349">
        <f t="shared" si="0"/>
        <v>20</v>
      </c>
      <c r="B27" s="522">
        <v>92</v>
      </c>
      <c r="C27" s="523" t="s">
        <v>17</v>
      </c>
      <c r="D27" s="373">
        <f t="shared" si="4"/>
        <v>120653.04824130017</v>
      </c>
      <c r="E27" s="354">
        <f>'str4'!D19</f>
        <v>7701.0482413001737</v>
      </c>
      <c r="F27" s="355">
        <f>'příl.1 - cp 2021'!I155</f>
        <v>112952</v>
      </c>
      <c r="G27" s="367"/>
      <c r="H27" s="353">
        <f t="shared" si="5"/>
        <v>122103.08539774375</v>
      </c>
      <c r="I27" s="354">
        <v>9151.0853977437546</v>
      </c>
      <c r="J27" s="656">
        <v>112952</v>
      </c>
      <c r="K27" s="667"/>
      <c r="M27" s="1"/>
      <c r="N27" s="332"/>
    </row>
    <row r="28" spans="1:17" x14ac:dyDescent="0.3">
      <c r="A28" s="361">
        <f t="shared" si="0"/>
        <v>21</v>
      </c>
      <c r="B28" s="522">
        <v>96</v>
      </c>
      <c r="C28" s="523" t="s">
        <v>23</v>
      </c>
      <c r="D28" s="363">
        <f t="shared" si="4"/>
        <v>43797.19999999999</v>
      </c>
      <c r="E28" s="354">
        <f>'str4'!D20</f>
        <v>897.2</v>
      </c>
      <c r="F28" s="355">
        <f>'str5'!J20</f>
        <v>42899.999999999993</v>
      </c>
      <c r="G28" s="367"/>
      <c r="H28" s="353">
        <f t="shared" si="5"/>
        <v>40968.999999999993</v>
      </c>
      <c r="I28" s="354">
        <v>897.2</v>
      </c>
      <c r="J28" s="630">
        <v>40071.799999999996</v>
      </c>
      <c r="K28" s="408"/>
      <c r="M28" s="1"/>
      <c r="N28" s="332"/>
    </row>
    <row r="29" spans="1:17" x14ac:dyDescent="0.3">
      <c r="A29" s="361">
        <f t="shared" si="0"/>
        <v>22</v>
      </c>
      <c r="B29" s="522">
        <v>97</v>
      </c>
      <c r="C29" s="523" t="s">
        <v>24</v>
      </c>
      <c r="D29" s="363">
        <f t="shared" si="4"/>
        <v>13200</v>
      </c>
      <c r="E29" s="354"/>
      <c r="F29" s="355">
        <f>'příl.1 - cp 2021'!I156</f>
        <v>13200</v>
      </c>
      <c r="G29" s="367"/>
      <c r="H29" s="353">
        <f t="shared" si="5"/>
        <v>12150</v>
      </c>
      <c r="I29" s="354"/>
      <c r="J29" s="630">
        <v>12150</v>
      </c>
      <c r="K29" s="408"/>
      <c r="M29" s="1"/>
      <c r="N29" s="332"/>
    </row>
    <row r="30" spans="1:17" x14ac:dyDescent="0.3">
      <c r="A30" s="704">
        <f t="shared" si="0"/>
        <v>23</v>
      </c>
      <c r="B30" s="714">
        <v>99</v>
      </c>
      <c r="C30" s="715" t="s">
        <v>18</v>
      </c>
      <c r="D30" s="580">
        <f t="shared" si="4"/>
        <v>182535</v>
      </c>
      <c r="E30" s="716">
        <f>'str4'!D21</f>
        <v>62000</v>
      </c>
      <c r="F30" s="616">
        <f>'příl.1 - cp 2021'!I157-'str5'!G41</f>
        <v>89755.992000000319</v>
      </c>
      <c r="G30" s="717">
        <f>'str5'!G41</f>
        <v>30779.007999999681</v>
      </c>
      <c r="H30" s="358">
        <f t="shared" si="5"/>
        <v>183951</v>
      </c>
      <c r="I30" s="716">
        <v>72270</v>
      </c>
      <c r="J30" s="717">
        <v>87882.425999999396</v>
      </c>
      <c r="K30" s="426">
        <v>23798.574000000604</v>
      </c>
      <c r="L30" s="59"/>
      <c r="M30" s="1"/>
      <c r="N30" s="332"/>
    </row>
    <row r="31" spans="1:17" s="579" customFormat="1" x14ac:dyDescent="0.3">
      <c r="A31" s="720">
        <f t="shared" si="0"/>
        <v>24</v>
      </c>
      <c r="B31" s="708" t="s">
        <v>288</v>
      </c>
      <c r="C31" s="708"/>
      <c r="D31" s="583">
        <f>SUM(D19:D30)</f>
        <v>504110.26422264054</v>
      </c>
      <c r="E31" s="645">
        <f>SUM(E19:E30)</f>
        <v>198755.16422264057</v>
      </c>
      <c r="F31" s="605">
        <f>SUM(F23:F30)</f>
        <v>274576.0920000003</v>
      </c>
      <c r="G31" s="606">
        <f>SUM(G19:G30)</f>
        <v>30779.007999999681</v>
      </c>
      <c r="H31" s="721">
        <f t="shared" si="5"/>
        <v>497526.55906180618</v>
      </c>
      <c r="I31" s="722">
        <f>SUM(I19:I30)</f>
        <v>205836.05906180618</v>
      </c>
      <c r="J31" s="723">
        <f>SUM(J19:J30)</f>
        <v>267891.9259999994</v>
      </c>
      <c r="K31" s="418">
        <f>SUM(K30)</f>
        <v>23798.574000000604</v>
      </c>
      <c r="L31" s="577"/>
      <c r="M31" s="429"/>
      <c r="N31" s="578"/>
    </row>
    <row r="32" spans="1:17" x14ac:dyDescent="0.3">
      <c r="A32" s="370">
        <f t="shared" si="0"/>
        <v>25</v>
      </c>
      <c r="B32" s="371" t="s">
        <v>224</v>
      </c>
      <c r="C32" s="371"/>
      <c r="D32" s="363">
        <f>SUM(E32:G32)</f>
        <v>120740</v>
      </c>
      <c r="E32" s="364"/>
      <c r="F32" s="365">
        <f>'příl.1 - cp 2021'!I6</f>
        <v>120740</v>
      </c>
      <c r="G32" s="366"/>
      <c r="H32" s="718">
        <f>SUM(I32:K32)</f>
        <v>114220</v>
      </c>
      <c r="I32" s="364"/>
      <c r="J32" s="654">
        <v>114220</v>
      </c>
      <c r="K32" s="719"/>
      <c r="M32" s="59"/>
      <c r="N32" s="332"/>
      <c r="Q32" s="579"/>
    </row>
    <row r="33" spans="1:21" x14ac:dyDescent="0.3">
      <c r="A33" s="217">
        <f t="shared" si="0"/>
        <v>26</v>
      </c>
      <c r="B33" s="372" t="s">
        <v>225</v>
      </c>
      <c r="C33" s="372"/>
      <c r="D33" s="363">
        <f>SUM(E33:G33)</f>
        <v>222163</v>
      </c>
      <c r="E33" s="354"/>
      <c r="F33" s="355">
        <f>'příl.1 - cp 2021'!I21-'příl.1 - cp 2021'!I84</f>
        <v>222163</v>
      </c>
      <c r="G33" s="367"/>
      <c r="H33" s="353">
        <f>SUM(I33:K33)</f>
        <v>211656</v>
      </c>
      <c r="I33" s="354"/>
      <c r="J33" s="630">
        <v>211656</v>
      </c>
      <c r="K33" s="668"/>
      <c r="M33" s="1"/>
      <c r="N33" s="332"/>
      <c r="Q33" s="579"/>
    </row>
    <row r="34" spans="1:21" x14ac:dyDescent="0.3">
      <c r="A34" s="5">
        <f t="shared" si="0"/>
        <v>27</v>
      </c>
      <c r="B34" s="374" t="s">
        <v>32</v>
      </c>
      <c r="C34" s="374"/>
      <c r="D34" s="363">
        <f>SUM(E34:G34)</f>
        <v>15000</v>
      </c>
      <c r="E34" s="375"/>
      <c r="F34" s="376">
        <f>'příl.1 - cp 2021'!I84</f>
        <v>15000</v>
      </c>
      <c r="G34" s="377"/>
      <c r="H34" s="358">
        <f>SUM(I34:K34)</f>
        <v>15000</v>
      </c>
      <c r="I34" s="582"/>
      <c r="J34" s="657">
        <v>15000</v>
      </c>
      <c r="K34" s="669"/>
      <c r="M34" s="1"/>
      <c r="N34" s="332"/>
      <c r="Q34" s="579"/>
    </row>
    <row r="35" spans="1:21" ht="14.4" thickBot="1" x14ac:dyDescent="0.35">
      <c r="A35" s="3">
        <f t="shared" si="0"/>
        <v>28</v>
      </c>
      <c r="B35" s="10" t="s">
        <v>422</v>
      </c>
      <c r="C35" s="10"/>
      <c r="D35" s="580">
        <f>SUM(D32:D34)</f>
        <v>357903</v>
      </c>
      <c r="E35" s="581">
        <f t="shared" ref="E35:K35" si="6">SUM(E32:E34)</f>
        <v>0</v>
      </c>
      <c r="F35" s="581">
        <f>SUM(F32:F34)</f>
        <v>357903</v>
      </c>
      <c r="G35" s="581">
        <f t="shared" si="6"/>
        <v>0</v>
      </c>
      <c r="H35" s="622">
        <f t="shared" si="6"/>
        <v>340876</v>
      </c>
      <c r="I35" s="623">
        <f t="shared" si="6"/>
        <v>0</v>
      </c>
      <c r="J35" s="658">
        <f t="shared" si="6"/>
        <v>340876</v>
      </c>
      <c r="K35" s="670">
        <f t="shared" si="6"/>
        <v>0</v>
      </c>
      <c r="L35" s="59"/>
      <c r="M35" s="1"/>
      <c r="N35" s="332"/>
      <c r="Q35" s="579"/>
    </row>
    <row r="36" spans="1:21" s="429" customFormat="1" ht="14.4" thickBot="1" x14ac:dyDescent="0.35">
      <c r="A36" s="575">
        <f t="shared" si="0"/>
        <v>29</v>
      </c>
      <c r="B36" s="576" t="s">
        <v>516</v>
      </c>
      <c r="C36" s="576"/>
      <c r="D36" s="359">
        <f t="shared" ref="D36:K36" si="7">D35+D31+D18</f>
        <v>3413460.971555294</v>
      </c>
      <c r="E36" s="624">
        <f t="shared" si="7"/>
        <v>932162.87155529438</v>
      </c>
      <c r="F36" s="621">
        <f>F35+F31+F18</f>
        <v>2450519.0920000002</v>
      </c>
      <c r="G36" s="620">
        <f t="shared" si="7"/>
        <v>30779.007999999681</v>
      </c>
      <c r="H36" s="625">
        <f t="shared" si="7"/>
        <v>3228871.0440000002</v>
      </c>
      <c r="I36" s="626">
        <f t="shared" si="7"/>
        <v>885354.24399999995</v>
      </c>
      <c r="J36" s="659">
        <f t="shared" si="7"/>
        <v>2319718.2259999998</v>
      </c>
      <c r="K36" s="671">
        <f t="shared" si="7"/>
        <v>23798.574000000604</v>
      </c>
      <c r="L36" s="533"/>
      <c r="M36" s="533"/>
      <c r="N36" s="534"/>
      <c r="O36" s="533"/>
      <c r="Q36" s="579"/>
    </row>
    <row r="37" spans="1:21" s="505" customFormat="1" hidden="1" x14ac:dyDescent="0.3">
      <c r="D37" s="505" t="s">
        <v>428</v>
      </c>
      <c r="E37" s="524">
        <f>'str1'!F9</f>
        <v>932162.87155529438</v>
      </c>
      <c r="F37" s="524">
        <f>'str1'!F7</f>
        <v>2450519.0920000002</v>
      </c>
      <c r="H37" s="524"/>
      <c r="I37" s="524"/>
      <c r="J37" s="524"/>
      <c r="Q37" s="579"/>
    </row>
    <row r="38" spans="1:21" s="505" customFormat="1" ht="15" hidden="1" x14ac:dyDescent="0.3">
      <c r="A38" s="525"/>
      <c r="D38" s="505" t="s">
        <v>429</v>
      </c>
      <c r="F38" s="524">
        <f>F37-F33-F34</f>
        <v>2213356.0920000002</v>
      </c>
      <c r="H38" s="524"/>
      <c r="I38" s="524"/>
      <c r="Q38" s="579"/>
    </row>
    <row r="39" spans="1:21" s="505" customFormat="1" ht="15" hidden="1" x14ac:dyDescent="0.3">
      <c r="A39" s="525"/>
      <c r="D39" s="524" t="s">
        <v>198</v>
      </c>
      <c r="E39" s="524">
        <f>E37+F37-'str1'!F10</f>
        <v>0</v>
      </c>
      <c r="F39" s="524"/>
      <c r="H39" s="524"/>
      <c r="I39" s="524"/>
      <c r="Q39" s="579"/>
    </row>
    <row r="40" spans="1:21" ht="13.5" customHeight="1" x14ac:dyDescent="0.3">
      <c r="A40" s="381"/>
      <c r="D40" s="59"/>
      <c r="E40" s="618"/>
      <c r="F40" s="808">
        <f>E36+F36+G36</f>
        <v>3413460.9715552945</v>
      </c>
      <c r="G40" s="807"/>
      <c r="H40" s="59"/>
      <c r="I40" s="618"/>
      <c r="J40" s="808">
        <f>I36+J36+K36</f>
        <v>3228871.0440000002</v>
      </c>
      <c r="K40" s="807"/>
      <c r="Q40" s="579"/>
    </row>
    <row r="41" spans="1:21" x14ac:dyDescent="0.3">
      <c r="D41" s="59"/>
      <c r="E41" s="1667">
        <f>SUM(E36:F36)</f>
        <v>3382681.9635552946</v>
      </c>
      <c r="F41" s="1668"/>
      <c r="G41" s="815">
        <f>E41-'str1'!F10</f>
        <v>0</v>
      </c>
      <c r="H41" s="382"/>
      <c r="I41" s="1667">
        <f>SUM(I36:J36)</f>
        <v>3205072.4699999997</v>
      </c>
      <c r="J41" s="1668"/>
    </row>
    <row r="42" spans="1:21" ht="11.25" customHeight="1" x14ac:dyDescent="0.3">
      <c r="C42" s="59"/>
      <c r="D42" s="59"/>
      <c r="E42" s="59"/>
    </row>
    <row r="43" spans="1:21" ht="17.25" customHeight="1" thickBot="1" x14ac:dyDescent="0.35">
      <c r="A43" s="58" t="s">
        <v>594</v>
      </c>
      <c r="O43" s="59"/>
      <c r="P43" s="59"/>
      <c r="Q43" s="59"/>
    </row>
    <row r="44" spans="1:21" ht="12.75" customHeight="1" x14ac:dyDescent="0.3">
      <c r="A44" s="61"/>
      <c r="B44" s="334"/>
      <c r="C44" s="215"/>
      <c r="D44" s="1649" t="s">
        <v>599</v>
      </c>
      <c r="E44" s="1650"/>
      <c r="F44" s="1650"/>
      <c r="G44" s="1665"/>
      <c r="H44" s="1665"/>
      <c r="I44" s="1665"/>
      <c r="J44" s="1666"/>
      <c r="K44" s="1664" t="s">
        <v>577</v>
      </c>
      <c r="L44" s="1665"/>
      <c r="M44" s="1665"/>
      <c r="N44" s="1666"/>
      <c r="O44" s="59"/>
      <c r="R44" s="59"/>
      <c r="S44" s="59"/>
      <c r="T44" s="59"/>
      <c r="U44" s="59"/>
    </row>
    <row r="45" spans="1:21" ht="13.5" customHeight="1" x14ac:dyDescent="0.3">
      <c r="A45" s="335"/>
      <c r="B45" s="9"/>
      <c r="C45" s="10"/>
      <c r="D45" s="518" t="s">
        <v>128</v>
      </c>
      <c r="E45" s="1663" t="s">
        <v>161</v>
      </c>
      <c r="F45" s="1655"/>
      <c r="G45" s="1655"/>
      <c r="H45" s="1655"/>
      <c r="I45" s="1655"/>
      <c r="J45" s="526" t="s">
        <v>228</v>
      </c>
      <c r="K45" s="527" t="s">
        <v>128</v>
      </c>
      <c r="L45" s="1663" t="s">
        <v>30</v>
      </c>
      <c r="M45" s="1655"/>
      <c r="N45" s="1675"/>
      <c r="O45" s="59"/>
      <c r="R45" s="59"/>
      <c r="S45" s="59"/>
      <c r="T45" s="59"/>
      <c r="U45" s="59"/>
    </row>
    <row r="46" spans="1:21" ht="13.5" customHeight="1" x14ac:dyDescent="0.3">
      <c r="A46" s="335"/>
      <c r="B46" s="9" t="s">
        <v>35</v>
      </c>
      <c r="C46" s="10"/>
      <c r="D46" s="518" t="s">
        <v>129</v>
      </c>
      <c r="E46" s="1669" t="s">
        <v>582</v>
      </c>
      <c r="F46" s="4" t="s">
        <v>64</v>
      </c>
      <c r="G46" s="1659" t="s">
        <v>65</v>
      </c>
      <c r="H46" s="1660"/>
      <c r="I46" s="1660"/>
      <c r="J46" s="528" t="s">
        <v>230</v>
      </c>
      <c r="K46" s="527" t="s">
        <v>129</v>
      </c>
      <c r="L46" s="1669" t="s">
        <v>582</v>
      </c>
      <c r="M46" s="342" t="s">
        <v>64</v>
      </c>
      <c r="N46" s="672" t="s">
        <v>99</v>
      </c>
      <c r="O46" s="59"/>
      <c r="R46" s="59"/>
      <c r="S46" s="59"/>
      <c r="T46" s="59"/>
      <c r="U46" s="59"/>
    </row>
    <row r="47" spans="1:21" ht="15" customHeight="1" thickBot="1" x14ac:dyDescent="0.35">
      <c r="A47" s="337" t="s">
        <v>33</v>
      </c>
      <c r="B47" s="338" t="s">
        <v>36</v>
      </c>
      <c r="C47" s="339"/>
      <c r="D47" s="520" t="s">
        <v>231</v>
      </c>
      <c r="E47" s="1670"/>
      <c r="F47" s="383" t="s">
        <v>16</v>
      </c>
      <c r="G47" s="384" t="s">
        <v>31</v>
      </c>
      <c r="H47" s="385" t="s">
        <v>279</v>
      </c>
      <c r="I47" s="386" t="s">
        <v>32</v>
      </c>
      <c r="J47" s="529" t="s">
        <v>229</v>
      </c>
      <c r="K47" s="530" t="s">
        <v>231</v>
      </c>
      <c r="L47" s="1670"/>
      <c r="M47" s="673" t="s">
        <v>16</v>
      </c>
      <c r="N47" s="678"/>
      <c r="O47" s="59"/>
      <c r="R47" s="59"/>
      <c r="S47" s="59"/>
      <c r="T47" s="59"/>
      <c r="U47" s="59"/>
    </row>
    <row r="48" spans="1:21" ht="15" customHeight="1" thickBot="1" x14ac:dyDescent="0.35">
      <c r="A48" s="387"/>
      <c r="B48" s="11"/>
      <c r="C48" s="388" t="s">
        <v>200</v>
      </c>
      <c r="D48" s="531"/>
      <c r="E48" s="674">
        <v>2112</v>
      </c>
      <c r="F48" s="390"/>
      <c r="G48" s="795">
        <v>1111</v>
      </c>
      <c r="H48" s="392">
        <v>1112</v>
      </c>
      <c r="I48" s="393">
        <v>1112</v>
      </c>
      <c r="J48" s="532">
        <v>4769</v>
      </c>
      <c r="K48" s="394"/>
      <c r="L48" s="389"/>
      <c r="M48" s="674"/>
      <c r="N48" s="679"/>
      <c r="O48" s="59"/>
      <c r="R48" s="59"/>
      <c r="S48" s="59"/>
      <c r="T48" s="59"/>
      <c r="U48" s="59"/>
    </row>
    <row r="49" spans="1:21" ht="14.4" thickBot="1" x14ac:dyDescent="0.35">
      <c r="A49" s="3">
        <v>30</v>
      </c>
      <c r="B49" s="239">
        <v>11</v>
      </c>
      <c r="C49" s="10" t="s">
        <v>7</v>
      </c>
      <c r="D49" s="395">
        <f>SUM(G49:I49,E49,J49)</f>
        <v>405659.15525466343</v>
      </c>
      <c r="E49" s="793">
        <f>E8</f>
        <v>91019.155254663405</v>
      </c>
      <c r="F49" s="793">
        <f>SUM(G49:I49)</f>
        <v>314640</v>
      </c>
      <c r="G49" s="794">
        <f>F8</f>
        <v>314640</v>
      </c>
      <c r="H49" s="398"/>
      <c r="I49" s="399"/>
      <c r="J49" s="400"/>
      <c r="K49" s="401">
        <f>SUM(L49:N49)</f>
        <v>404090.48190461996</v>
      </c>
      <c r="L49" s="402">
        <v>87899.281904619929</v>
      </c>
      <c r="M49" s="508">
        <v>316191.2</v>
      </c>
      <c r="N49" s="662"/>
      <c r="O49" s="59"/>
      <c r="R49" s="59"/>
      <c r="S49" s="59"/>
      <c r="T49" s="59"/>
      <c r="U49" s="59"/>
    </row>
    <row r="50" spans="1:21" x14ac:dyDescent="0.3">
      <c r="A50" s="217">
        <f>A49+1</f>
        <v>31</v>
      </c>
      <c r="B50" s="403">
        <v>16</v>
      </c>
      <c r="C50" s="7" t="s">
        <v>613</v>
      </c>
      <c r="D50" s="395">
        <f>SUM(G50:I50,E50,J50)</f>
        <v>97729.700235294105</v>
      </c>
      <c r="E50" s="793">
        <f>E9</f>
        <v>20248.000235294112</v>
      </c>
      <c r="F50" s="793">
        <f>SUM(G50:I50)</f>
        <v>77481.7</v>
      </c>
      <c r="G50" s="794">
        <f>F9</f>
        <v>55996.7</v>
      </c>
      <c r="H50" s="398">
        <f>'příl.1 - cp 2021'!I87</f>
        <v>21485</v>
      </c>
      <c r="I50" s="399"/>
      <c r="J50" s="400"/>
      <c r="K50" s="401">
        <v>0</v>
      </c>
      <c r="L50" s="793">
        <v>0</v>
      </c>
      <c r="M50" s="508">
        <v>0</v>
      </c>
      <c r="N50" s="662"/>
      <c r="O50" s="59"/>
      <c r="R50" s="59"/>
      <c r="S50" s="59"/>
      <c r="T50" s="59"/>
      <c r="U50" s="59"/>
    </row>
    <row r="51" spans="1:21" x14ac:dyDescent="0.3">
      <c r="A51" s="217">
        <f t="shared" ref="A51:A74" si="8">A50+1</f>
        <v>32</v>
      </c>
      <c r="B51" s="403">
        <v>21</v>
      </c>
      <c r="C51" s="7" t="s">
        <v>8</v>
      </c>
      <c r="D51" s="373">
        <f t="shared" ref="D51:D58" si="9">SUM(G51:I51,E51,J51)</f>
        <v>409233.92152548401</v>
      </c>
      <c r="E51" s="793">
        <f t="shared" ref="E51:E58" si="10">E10</f>
        <v>91249.421525484009</v>
      </c>
      <c r="F51" s="793">
        <f t="shared" ref="F51:F58" si="11">SUM(G51:I51)</f>
        <v>317984.5</v>
      </c>
      <c r="G51" s="794">
        <f t="shared" ref="G51:G58" si="12">F10</f>
        <v>317858.5</v>
      </c>
      <c r="H51" s="405">
        <f>'příl.1 - cp 2021'!I91</f>
        <v>126</v>
      </c>
      <c r="I51" s="406"/>
      <c r="J51" s="407"/>
      <c r="K51" s="401">
        <f t="shared" ref="K51:K58" si="13">SUM(L51:N51)</f>
        <v>401336.63832749025</v>
      </c>
      <c r="L51" s="404">
        <v>84126.93832749025</v>
      </c>
      <c r="M51" s="509">
        <v>317209.7</v>
      </c>
      <c r="N51" s="663"/>
      <c r="O51" s="59"/>
      <c r="R51" s="59"/>
      <c r="S51" s="59"/>
      <c r="T51" s="59"/>
      <c r="U51" s="59"/>
    </row>
    <row r="52" spans="1:21" x14ac:dyDescent="0.3">
      <c r="A52" s="3">
        <f t="shared" si="8"/>
        <v>33</v>
      </c>
      <c r="B52" s="403">
        <v>22</v>
      </c>
      <c r="C52" s="7" t="s">
        <v>9</v>
      </c>
      <c r="D52" s="373">
        <f t="shared" si="9"/>
        <v>150838.11059661664</v>
      </c>
      <c r="E52" s="793">
        <f t="shared" si="10"/>
        <v>30296.710596616631</v>
      </c>
      <c r="F52" s="793">
        <f t="shared" si="11"/>
        <v>120541.4</v>
      </c>
      <c r="G52" s="794">
        <f t="shared" si="12"/>
        <v>120541.4</v>
      </c>
      <c r="H52" s="405"/>
      <c r="I52" s="406"/>
      <c r="J52" s="407"/>
      <c r="K52" s="401">
        <f t="shared" si="13"/>
        <v>147962.54561577726</v>
      </c>
      <c r="L52" s="404">
        <v>31753.645615777277</v>
      </c>
      <c r="M52" s="509">
        <v>116208.9</v>
      </c>
      <c r="N52" s="663"/>
      <c r="O52" s="59"/>
      <c r="R52" s="59"/>
      <c r="S52" s="59"/>
      <c r="T52" s="59"/>
      <c r="U52" s="59"/>
    </row>
    <row r="53" spans="1:21" x14ac:dyDescent="0.3">
      <c r="A53" s="217">
        <f t="shared" si="8"/>
        <v>34</v>
      </c>
      <c r="B53" s="403">
        <v>23</v>
      </c>
      <c r="C53" s="7" t="s">
        <v>10</v>
      </c>
      <c r="D53" s="373">
        <f t="shared" si="9"/>
        <v>201523.17427301523</v>
      </c>
      <c r="E53" s="793">
        <f t="shared" si="10"/>
        <v>61580.374273015259</v>
      </c>
      <c r="F53" s="793">
        <f t="shared" si="11"/>
        <v>139942.79999999999</v>
      </c>
      <c r="G53" s="794">
        <f t="shared" si="12"/>
        <v>139942.79999999999</v>
      </c>
      <c r="H53" s="405">
        <f>'příl.1 - cp 2021'!I93</f>
        <v>0</v>
      </c>
      <c r="I53" s="406"/>
      <c r="J53" s="407"/>
      <c r="K53" s="401">
        <f t="shared" si="13"/>
        <v>187591.52072649536</v>
      </c>
      <c r="L53" s="404">
        <v>54373.120726495377</v>
      </c>
      <c r="M53" s="509">
        <v>133218.4</v>
      </c>
      <c r="N53" s="663"/>
      <c r="O53" s="59"/>
      <c r="R53" s="59"/>
      <c r="S53" s="59"/>
      <c r="T53" s="59"/>
      <c r="U53" s="59"/>
    </row>
    <row r="54" spans="1:21" x14ac:dyDescent="0.3">
      <c r="A54" s="3">
        <f t="shared" si="8"/>
        <v>35</v>
      </c>
      <c r="B54" s="403">
        <v>31</v>
      </c>
      <c r="C54" s="7" t="s">
        <v>11</v>
      </c>
      <c r="D54" s="373">
        <f t="shared" si="9"/>
        <v>640975.41089317878</v>
      </c>
      <c r="E54" s="793">
        <f t="shared" si="10"/>
        <v>323020.21089317877</v>
      </c>
      <c r="F54" s="793">
        <f t="shared" si="11"/>
        <v>317955.20000000001</v>
      </c>
      <c r="G54" s="794">
        <f t="shared" si="12"/>
        <v>315955.20000000001</v>
      </c>
      <c r="H54" s="405">
        <f>'příl.1 - cp 2021'!I96</f>
        <v>2000</v>
      </c>
      <c r="I54" s="406"/>
      <c r="J54" s="407"/>
      <c r="K54" s="401">
        <f t="shared" si="13"/>
        <v>608067.0677645884</v>
      </c>
      <c r="L54" s="404">
        <v>301958.16776458832</v>
      </c>
      <c r="M54" s="509">
        <v>306108.90000000002</v>
      </c>
      <c r="N54" s="663"/>
      <c r="O54" s="59"/>
      <c r="R54" s="59"/>
      <c r="S54" s="59"/>
      <c r="T54" s="59"/>
      <c r="U54" s="59"/>
    </row>
    <row r="55" spans="1:21" x14ac:dyDescent="0.3">
      <c r="A55" s="217">
        <f t="shared" si="8"/>
        <v>36</v>
      </c>
      <c r="B55" s="403">
        <v>33</v>
      </c>
      <c r="C55" s="7" t="s">
        <v>12</v>
      </c>
      <c r="D55" s="373">
        <f t="shared" si="9"/>
        <v>216188.26867438992</v>
      </c>
      <c r="E55" s="793">
        <f t="shared" si="10"/>
        <v>53314.068674389913</v>
      </c>
      <c r="F55" s="793">
        <f t="shared" si="11"/>
        <v>162874.20000000001</v>
      </c>
      <c r="G55" s="794">
        <f t="shared" si="12"/>
        <v>116169.2</v>
      </c>
      <c r="H55" s="405">
        <f>'příl.1 - cp 2021'!I98</f>
        <v>46705</v>
      </c>
      <c r="I55" s="406"/>
      <c r="J55" s="407"/>
      <c r="K55" s="401">
        <f t="shared" si="13"/>
        <v>211784.96311955937</v>
      </c>
      <c r="L55" s="404">
        <v>52975.863119559363</v>
      </c>
      <c r="M55" s="509">
        <v>158809.1</v>
      </c>
      <c r="N55" s="663"/>
      <c r="O55" s="59"/>
      <c r="R55" s="59"/>
      <c r="S55" s="59"/>
      <c r="T55" s="59"/>
      <c r="U55" s="59"/>
    </row>
    <row r="56" spans="1:21" x14ac:dyDescent="0.3">
      <c r="A56" s="3">
        <f t="shared" si="8"/>
        <v>37</v>
      </c>
      <c r="B56" s="403">
        <v>41</v>
      </c>
      <c r="C56" s="7" t="s">
        <v>13</v>
      </c>
      <c r="D56" s="373">
        <f t="shared" si="9"/>
        <v>253800.12874994514</v>
      </c>
      <c r="E56" s="793">
        <f t="shared" si="10"/>
        <v>33318.228749945134</v>
      </c>
      <c r="F56" s="793">
        <f t="shared" si="11"/>
        <v>220481.9</v>
      </c>
      <c r="G56" s="794">
        <f t="shared" si="12"/>
        <v>220081.9</v>
      </c>
      <c r="H56" s="405">
        <f>'příl.1 - cp 2021'!I102</f>
        <v>400</v>
      </c>
      <c r="I56" s="406"/>
      <c r="J56" s="407"/>
      <c r="K56" s="401">
        <f t="shared" si="13"/>
        <v>234510.44292217225</v>
      </c>
      <c r="L56" s="404">
        <v>34841.842922172254</v>
      </c>
      <c r="M56" s="509">
        <v>199668.6</v>
      </c>
      <c r="N56" s="663"/>
      <c r="O56" s="59"/>
      <c r="R56" s="59"/>
      <c r="S56" s="59"/>
      <c r="T56" s="59"/>
      <c r="U56" s="59"/>
    </row>
    <row r="57" spans="1:21" x14ac:dyDescent="0.3">
      <c r="A57" s="217">
        <f t="shared" si="8"/>
        <v>38</v>
      </c>
      <c r="B57" s="403">
        <v>51</v>
      </c>
      <c r="C57" s="7" t="s">
        <v>199</v>
      </c>
      <c r="D57" s="373">
        <f t="shared" si="9"/>
        <v>104580.60930356412</v>
      </c>
      <c r="E57" s="793">
        <f t="shared" si="10"/>
        <v>6157.309303564125</v>
      </c>
      <c r="F57" s="793">
        <f t="shared" si="11"/>
        <v>98423.3</v>
      </c>
      <c r="G57" s="794">
        <f>F16</f>
        <v>97923.3</v>
      </c>
      <c r="H57" s="405">
        <f>'příl.1 - cp 2021'!I104</f>
        <v>500</v>
      </c>
      <c r="I57" s="406"/>
      <c r="J57" s="407"/>
      <c r="K57" s="401">
        <f t="shared" si="13"/>
        <v>101174.58521636088</v>
      </c>
      <c r="L57" s="404">
        <v>8068.2852163608832</v>
      </c>
      <c r="M57" s="509">
        <v>93106.3</v>
      </c>
      <c r="N57" s="663"/>
      <c r="O57" s="59"/>
      <c r="R57" s="59"/>
      <c r="S57" s="59"/>
      <c r="T57" s="59"/>
      <c r="U57" s="59"/>
    </row>
    <row r="58" spans="1:21" x14ac:dyDescent="0.3">
      <c r="A58" s="3">
        <f t="shared" si="8"/>
        <v>39</v>
      </c>
      <c r="B58" s="724">
        <v>56</v>
      </c>
      <c r="C58" s="8" t="s">
        <v>15</v>
      </c>
      <c r="D58" s="725">
        <f t="shared" si="9"/>
        <v>142135.22782650223</v>
      </c>
      <c r="E58" s="793">
        <f t="shared" si="10"/>
        <v>23204.22782650224</v>
      </c>
      <c r="F58" s="793">
        <f t="shared" si="11"/>
        <v>118931</v>
      </c>
      <c r="G58" s="794">
        <f t="shared" si="12"/>
        <v>118931</v>
      </c>
      <c r="H58" s="726"/>
      <c r="I58" s="424"/>
      <c r="J58" s="425"/>
      <c r="K58" s="617">
        <f t="shared" si="13"/>
        <v>144381.2393411301</v>
      </c>
      <c r="L58" s="413">
        <v>23521.039341130112</v>
      </c>
      <c r="M58" s="615">
        <v>120860.2</v>
      </c>
      <c r="N58" s="664"/>
      <c r="O58" s="59"/>
      <c r="R58" s="59"/>
      <c r="S58" s="59"/>
      <c r="T58" s="59"/>
      <c r="U58" s="59"/>
    </row>
    <row r="59" spans="1:21" s="429" customFormat="1" x14ac:dyDescent="0.3">
      <c r="A59" s="573">
        <f t="shared" si="8"/>
        <v>40</v>
      </c>
      <c r="B59" s="728" t="s">
        <v>37</v>
      </c>
      <c r="C59" s="604"/>
      <c r="D59" s="583">
        <f t="shared" ref="D59:M59" si="14">SUM(D49:D58)</f>
        <v>2622663.7073326539</v>
      </c>
      <c r="E59" s="592">
        <f t="shared" si="14"/>
        <v>733407.70733265381</v>
      </c>
      <c r="F59" s="592">
        <f t="shared" si="14"/>
        <v>1889255.9999999998</v>
      </c>
      <c r="G59" s="675">
        <f t="shared" si="14"/>
        <v>1818039.9999999998</v>
      </c>
      <c r="H59" s="627">
        <f t="shared" si="14"/>
        <v>71216</v>
      </c>
      <c r="I59" s="430">
        <f t="shared" si="14"/>
        <v>0</v>
      </c>
      <c r="J59" s="592">
        <f t="shared" si="14"/>
        <v>0</v>
      </c>
      <c r="K59" s="584">
        <f t="shared" si="14"/>
        <v>2440899.484938194</v>
      </c>
      <c r="L59" s="417">
        <f t="shared" si="14"/>
        <v>679518.18493819376</v>
      </c>
      <c r="M59" s="675">
        <f t="shared" si="14"/>
        <v>1761381.3000000003</v>
      </c>
      <c r="N59" s="682">
        <v>0</v>
      </c>
      <c r="O59" s="533"/>
      <c r="R59" s="533"/>
      <c r="S59" s="533"/>
      <c r="T59" s="533"/>
      <c r="U59" s="533"/>
    </row>
    <row r="60" spans="1:21" x14ac:dyDescent="0.3">
      <c r="A60" s="3">
        <f t="shared" si="8"/>
        <v>41</v>
      </c>
      <c r="B60" s="362">
        <v>71</v>
      </c>
      <c r="C60" s="6" t="s">
        <v>178</v>
      </c>
      <c r="D60" s="580">
        <f>SUM(E60:F60)</f>
        <v>125764.51598134039</v>
      </c>
      <c r="E60" s="420">
        <f t="shared" ref="E60:E71" si="15">E19</f>
        <v>125764.51598134039</v>
      </c>
      <c r="F60" s="420">
        <f>SUM(G60:I60)</f>
        <v>0</v>
      </c>
      <c r="G60" s="681">
        <f t="shared" ref="G60:G71" si="16">F19</f>
        <v>0</v>
      </c>
      <c r="H60" s="727">
        <f>'příl.1 - cp 2021'!I106</f>
        <v>0</v>
      </c>
      <c r="I60" s="399"/>
      <c r="J60" s="400"/>
      <c r="K60" s="401">
        <f>SUM(L60:N60)</f>
        <v>123125.37366406241</v>
      </c>
      <c r="L60" s="420">
        <v>121125.37366406241</v>
      </c>
      <c r="M60" s="397">
        <v>2000</v>
      </c>
      <c r="N60" s="665"/>
      <c r="O60" s="59"/>
      <c r="R60" s="59"/>
      <c r="S60" s="59"/>
      <c r="T60" s="59"/>
      <c r="U60" s="59"/>
    </row>
    <row r="61" spans="1:21" x14ac:dyDescent="0.3">
      <c r="A61" s="217">
        <f t="shared" si="8"/>
        <v>42</v>
      </c>
      <c r="B61" s="350">
        <v>79</v>
      </c>
      <c r="C61" s="7" t="s">
        <v>302</v>
      </c>
      <c r="D61" s="373">
        <f t="shared" ref="D61:D70" si="17">SUM(E61:F61)</f>
        <v>0</v>
      </c>
      <c r="E61" s="420">
        <f t="shared" si="15"/>
        <v>0</v>
      </c>
      <c r="F61" s="420">
        <f t="shared" ref="F61:F71" si="18">SUM(G61:I61)</f>
        <v>0</v>
      </c>
      <c r="G61" s="681">
        <f t="shared" si="16"/>
        <v>0</v>
      </c>
      <c r="H61" s="405">
        <f>'příl.1 - cp 2021'!I108</f>
        <v>0</v>
      </c>
      <c r="I61" s="511"/>
      <c r="J61" s="407"/>
      <c r="K61" s="401">
        <f t="shared" ref="K61:K71" si="19">SUM(L61:N61)</f>
        <v>5340</v>
      </c>
      <c r="L61" s="419">
        <v>0</v>
      </c>
      <c r="M61" s="510">
        <v>5340</v>
      </c>
      <c r="N61" s="665"/>
      <c r="O61" s="59"/>
      <c r="R61" s="59"/>
      <c r="S61" s="59"/>
      <c r="T61" s="59"/>
      <c r="U61" s="59"/>
    </row>
    <row r="62" spans="1:21" x14ac:dyDescent="0.3">
      <c r="A62" s="3">
        <f t="shared" si="8"/>
        <v>43</v>
      </c>
      <c r="B62" s="350">
        <v>81</v>
      </c>
      <c r="C62" s="7" t="s">
        <v>68</v>
      </c>
      <c r="D62" s="373">
        <f t="shared" si="17"/>
        <v>0</v>
      </c>
      <c r="E62" s="420">
        <f t="shared" si="15"/>
        <v>0</v>
      </c>
      <c r="F62" s="420">
        <f t="shared" si="18"/>
        <v>0</v>
      </c>
      <c r="G62" s="681">
        <f t="shared" si="16"/>
        <v>0</v>
      </c>
      <c r="H62" s="405"/>
      <c r="I62" s="406"/>
      <c r="J62" s="407"/>
      <c r="K62" s="401">
        <f t="shared" si="19"/>
        <v>0</v>
      </c>
      <c r="L62" s="419">
        <v>0</v>
      </c>
      <c r="M62" s="510">
        <v>0</v>
      </c>
      <c r="N62" s="408"/>
      <c r="O62" s="59"/>
      <c r="R62" s="59"/>
      <c r="S62" s="59"/>
      <c r="T62" s="59"/>
      <c r="U62" s="59"/>
    </row>
    <row r="63" spans="1:21" x14ac:dyDescent="0.3">
      <c r="A63" s="217">
        <f t="shared" si="8"/>
        <v>44</v>
      </c>
      <c r="B63" s="350">
        <v>82</v>
      </c>
      <c r="C63" s="7" t="s">
        <v>1</v>
      </c>
      <c r="D63" s="373">
        <f t="shared" si="17"/>
        <v>9595</v>
      </c>
      <c r="E63" s="420">
        <f t="shared" si="15"/>
        <v>0</v>
      </c>
      <c r="F63" s="420">
        <f t="shared" si="18"/>
        <v>9595</v>
      </c>
      <c r="G63" s="681">
        <f t="shared" si="16"/>
        <v>0</v>
      </c>
      <c r="H63" s="405">
        <f>'příl.1 - cp 2021'!I113</f>
        <v>9595</v>
      </c>
      <c r="I63" s="406"/>
      <c r="J63" s="407"/>
      <c r="K63" s="401">
        <f t="shared" si="19"/>
        <v>9595</v>
      </c>
      <c r="L63" s="419">
        <v>0</v>
      </c>
      <c r="M63" s="510">
        <v>9595</v>
      </c>
      <c r="N63" s="408"/>
      <c r="O63" s="59"/>
      <c r="R63" s="59"/>
      <c r="S63" s="59"/>
      <c r="T63" s="59"/>
      <c r="U63" s="59"/>
    </row>
    <row r="64" spans="1:21" x14ac:dyDescent="0.3">
      <c r="A64" s="3">
        <f t="shared" si="8"/>
        <v>45</v>
      </c>
      <c r="B64" s="350">
        <v>83</v>
      </c>
      <c r="C64" s="7" t="s">
        <v>79</v>
      </c>
      <c r="D64" s="373">
        <f t="shared" si="17"/>
        <v>8500</v>
      </c>
      <c r="E64" s="420">
        <f t="shared" si="15"/>
        <v>0</v>
      </c>
      <c r="F64" s="420">
        <f t="shared" si="18"/>
        <v>8500</v>
      </c>
      <c r="G64" s="681">
        <f t="shared" si="16"/>
        <v>6500</v>
      </c>
      <c r="H64" s="405">
        <f>'příl.1 - cp 2021'!I114+'příl.1 - cp 2021'!I14</f>
        <v>2000</v>
      </c>
      <c r="I64" s="406"/>
      <c r="J64" s="407"/>
      <c r="K64" s="401">
        <f t="shared" si="19"/>
        <v>8570</v>
      </c>
      <c r="L64" s="419">
        <v>0</v>
      </c>
      <c r="M64" s="510">
        <v>8570</v>
      </c>
      <c r="N64" s="408"/>
      <c r="O64" s="59"/>
      <c r="R64" s="59"/>
      <c r="S64" s="59"/>
      <c r="T64" s="59"/>
      <c r="U64" s="59"/>
    </row>
    <row r="65" spans="1:24" x14ac:dyDescent="0.3">
      <c r="A65" s="217">
        <f t="shared" si="8"/>
        <v>46</v>
      </c>
      <c r="B65" s="350">
        <v>84</v>
      </c>
      <c r="C65" s="7" t="s">
        <v>78</v>
      </c>
      <c r="D65" s="373">
        <f t="shared" si="17"/>
        <v>1580.8</v>
      </c>
      <c r="E65" s="420">
        <f t="shared" si="15"/>
        <v>580.79999999999995</v>
      </c>
      <c r="F65" s="420">
        <f t="shared" si="18"/>
        <v>1000</v>
      </c>
      <c r="G65" s="681">
        <f t="shared" si="16"/>
        <v>1000</v>
      </c>
      <c r="H65" s="405">
        <f>'příl.1 - cp 2021'!I117+'příl.1 - cp 2021'!I15</f>
        <v>0</v>
      </c>
      <c r="I65" s="406"/>
      <c r="J65" s="407"/>
      <c r="K65" s="401">
        <f t="shared" si="19"/>
        <v>580.79999999999995</v>
      </c>
      <c r="L65" s="419">
        <v>580.79999999999995</v>
      </c>
      <c r="M65" s="510">
        <v>0</v>
      </c>
      <c r="N65" s="408"/>
      <c r="O65" s="59"/>
      <c r="R65" s="59"/>
      <c r="S65" s="59"/>
      <c r="T65" s="59"/>
      <c r="U65" s="59"/>
    </row>
    <row r="66" spans="1:24" x14ac:dyDescent="0.3">
      <c r="A66" s="3">
        <f t="shared" si="8"/>
        <v>47</v>
      </c>
      <c r="B66" s="350">
        <v>85</v>
      </c>
      <c r="C66" s="7" t="s">
        <v>95</v>
      </c>
      <c r="D66" s="373">
        <f t="shared" si="17"/>
        <v>2161.1</v>
      </c>
      <c r="E66" s="420">
        <f t="shared" si="15"/>
        <v>1793</v>
      </c>
      <c r="F66" s="420">
        <f t="shared" si="18"/>
        <v>368.1</v>
      </c>
      <c r="G66" s="681">
        <f t="shared" si="16"/>
        <v>368.1</v>
      </c>
      <c r="H66" s="405"/>
      <c r="I66" s="406"/>
      <c r="J66" s="407"/>
      <c r="K66" s="401">
        <f t="shared" si="19"/>
        <v>2228.6999999999998</v>
      </c>
      <c r="L66" s="404">
        <v>1793</v>
      </c>
      <c r="M66" s="510">
        <v>435.7</v>
      </c>
      <c r="N66" s="408"/>
      <c r="O66" s="59"/>
      <c r="R66" s="59"/>
      <c r="S66" s="59"/>
      <c r="T66" s="59"/>
      <c r="U66" s="59"/>
    </row>
    <row r="67" spans="1:24" x14ac:dyDescent="0.3">
      <c r="A67" s="217">
        <f t="shared" si="8"/>
        <v>48</v>
      </c>
      <c r="B67" s="350">
        <v>87</v>
      </c>
      <c r="C67" s="7" t="s">
        <v>122</v>
      </c>
      <c r="D67" s="373">
        <f t="shared" si="17"/>
        <v>9178.6</v>
      </c>
      <c r="E67" s="420">
        <f t="shared" si="15"/>
        <v>18.600000000000001</v>
      </c>
      <c r="F67" s="420">
        <f t="shared" si="18"/>
        <v>9160</v>
      </c>
      <c r="G67" s="681">
        <f t="shared" si="16"/>
        <v>7900</v>
      </c>
      <c r="H67" s="405">
        <f>'příl.1 - cp 2021'!I119+'příl.1 - cp 2021'!I16</f>
        <v>1260</v>
      </c>
      <c r="I67" s="406"/>
      <c r="J67" s="407"/>
      <c r="K67" s="401">
        <f t="shared" si="19"/>
        <v>9018.6</v>
      </c>
      <c r="L67" s="404">
        <v>18.600000000000001</v>
      </c>
      <c r="M67" s="510">
        <v>9000</v>
      </c>
      <c r="N67" s="408"/>
      <c r="O67" s="59"/>
      <c r="R67" s="59"/>
      <c r="S67" s="59"/>
      <c r="T67" s="59"/>
      <c r="U67" s="59"/>
    </row>
    <row r="68" spans="1:24" x14ac:dyDescent="0.3">
      <c r="A68" s="3">
        <f t="shared" si="8"/>
        <v>49</v>
      </c>
      <c r="B68" s="350">
        <v>92</v>
      </c>
      <c r="C68" s="7" t="s">
        <v>17</v>
      </c>
      <c r="D68" s="373">
        <f t="shared" si="17"/>
        <v>184313.04824130016</v>
      </c>
      <c r="E68" s="420">
        <f t="shared" si="15"/>
        <v>7701.0482413001737</v>
      </c>
      <c r="F68" s="420">
        <f t="shared" si="18"/>
        <v>176612</v>
      </c>
      <c r="G68" s="681">
        <f t="shared" si="16"/>
        <v>112952</v>
      </c>
      <c r="H68" s="405">
        <f>'příl.1 - cp 2021'!I143+'příl.1 - cp 2021'!I17</f>
        <v>63660</v>
      </c>
      <c r="I68" s="406"/>
      <c r="J68" s="407"/>
      <c r="K68" s="401">
        <f t="shared" si="19"/>
        <v>178341.08539774377</v>
      </c>
      <c r="L68" s="404">
        <v>9151.0853977437546</v>
      </c>
      <c r="M68" s="510">
        <v>169190</v>
      </c>
      <c r="N68" s="408"/>
      <c r="O68" s="59"/>
      <c r="R68" s="59"/>
      <c r="S68" s="59"/>
      <c r="T68" s="59"/>
      <c r="U68" s="59"/>
    </row>
    <row r="69" spans="1:24" x14ac:dyDescent="0.3">
      <c r="A69" s="217">
        <f t="shared" si="8"/>
        <v>50</v>
      </c>
      <c r="B69" s="350">
        <v>96</v>
      </c>
      <c r="C69" s="7" t="s">
        <v>23</v>
      </c>
      <c r="D69" s="373">
        <f t="shared" si="17"/>
        <v>43797.19999999999</v>
      </c>
      <c r="E69" s="420">
        <f t="shared" si="15"/>
        <v>897.2</v>
      </c>
      <c r="F69" s="420">
        <f t="shared" si="18"/>
        <v>42899.999999999993</v>
      </c>
      <c r="G69" s="681">
        <f t="shared" si="16"/>
        <v>42899.999999999993</v>
      </c>
      <c r="H69" s="405">
        <f>'příl.1 - cp 2021'!I18</f>
        <v>0</v>
      </c>
      <c r="I69" s="406"/>
      <c r="J69" s="407"/>
      <c r="K69" s="401">
        <f t="shared" si="19"/>
        <v>40968.999999999993</v>
      </c>
      <c r="L69" s="404">
        <v>897.2</v>
      </c>
      <c r="M69" s="510">
        <v>40071.799999999996</v>
      </c>
      <c r="N69" s="408"/>
      <c r="O69" s="59"/>
      <c r="R69" s="59"/>
      <c r="S69" s="59"/>
      <c r="T69" s="59"/>
      <c r="U69" s="59"/>
    </row>
    <row r="70" spans="1:24" x14ac:dyDescent="0.3">
      <c r="A70" s="3">
        <f t="shared" si="8"/>
        <v>51</v>
      </c>
      <c r="B70" s="350">
        <v>97</v>
      </c>
      <c r="C70" s="7" t="s">
        <v>24</v>
      </c>
      <c r="D70" s="373">
        <f t="shared" si="17"/>
        <v>13200</v>
      </c>
      <c r="E70" s="420">
        <f t="shared" si="15"/>
        <v>0</v>
      </c>
      <c r="F70" s="420">
        <f t="shared" si="18"/>
        <v>13200</v>
      </c>
      <c r="G70" s="681">
        <f t="shared" si="16"/>
        <v>13200</v>
      </c>
      <c r="H70" s="405">
        <f>'příl.1 - cp 2021'!I145</f>
        <v>0</v>
      </c>
      <c r="I70" s="406"/>
      <c r="J70" s="407"/>
      <c r="K70" s="401">
        <f t="shared" si="19"/>
        <v>12150</v>
      </c>
      <c r="L70" s="404">
        <v>0</v>
      </c>
      <c r="M70" s="510">
        <v>12150</v>
      </c>
      <c r="N70" s="414"/>
      <c r="O70" s="59"/>
      <c r="R70" s="59"/>
      <c r="S70" s="59"/>
      <c r="T70" s="59"/>
      <c r="U70" s="59"/>
    </row>
    <row r="71" spans="1:24" x14ac:dyDescent="0.3">
      <c r="A71" s="686">
        <f t="shared" si="8"/>
        <v>52</v>
      </c>
      <c r="B71" s="423">
        <v>99</v>
      </c>
      <c r="C71" s="8" t="s">
        <v>81</v>
      </c>
      <c r="D71" s="363">
        <f>SUM(E71:F71,J71)</f>
        <v>304707</v>
      </c>
      <c r="E71" s="420">
        <f t="shared" si="15"/>
        <v>62000</v>
      </c>
      <c r="F71" s="420">
        <f t="shared" si="18"/>
        <v>211927.99200000032</v>
      </c>
      <c r="G71" s="681">
        <f t="shared" si="16"/>
        <v>89755.992000000319</v>
      </c>
      <c r="H71" s="411">
        <f>'příl.1 - cp 2021'!I85+'příl.1 - cp 2021'!I19-I71</f>
        <v>107172</v>
      </c>
      <c r="I71" s="424">
        <f>'příl.1 - cp 2021'!I84</f>
        <v>15000</v>
      </c>
      <c r="J71" s="425">
        <f>G30</f>
        <v>30779.007999999681</v>
      </c>
      <c r="K71" s="401">
        <f t="shared" si="19"/>
        <v>310053</v>
      </c>
      <c r="L71" s="396">
        <v>72270</v>
      </c>
      <c r="M71" s="676">
        <v>213984.4259999994</v>
      </c>
      <c r="N71" s="412">
        <v>23798.574000000604</v>
      </c>
      <c r="O71" s="59"/>
      <c r="R71" s="59"/>
      <c r="S71" s="59"/>
      <c r="T71" s="59"/>
      <c r="U71" s="59"/>
    </row>
    <row r="72" spans="1:24" s="429" customFormat="1" x14ac:dyDescent="0.3">
      <c r="A72" s="573">
        <f t="shared" si="8"/>
        <v>53</v>
      </c>
      <c r="B72" s="378" t="s">
        <v>423</v>
      </c>
      <c r="C72" s="688"/>
      <c r="D72" s="689">
        <f>SUM(D60:D71)</f>
        <v>702797.26422264054</v>
      </c>
      <c r="E72" s="680">
        <f>SUM(E60:E71)</f>
        <v>198755.16422264057</v>
      </c>
      <c r="F72" s="680">
        <f t="shared" ref="F72:N72" si="20">SUM(F60:F71)</f>
        <v>473263.0920000003</v>
      </c>
      <c r="G72" s="680">
        <f t="shared" si="20"/>
        <v>274576.0920000003</v>
      </c>
      <c r="H72" s="690">
        <f>SUM(H60:H71)</f>
        <v>183687</v>
      </c>
      <c r="I72" s="691">
        <f t="shared" si="20"/>
        <v>15000</v>
      </c>
      <c r="J72" s="680">
        <f t="shared" si="20"/>
        <v>30779.007999999681</v>
      </c>
      <c r="K72" s="692">
        <f t="shared" si="20"/>
        <v>699971.55906180618</v>
      </c>
      <c r="L72" s="651">
        <v>205836.05906180618</v>
      </c>
      <c r="M72" s="680">
        <v>470336.9259999994</v>
      </c>
      <c r="N72" s="693">
        <f t="shared" si="20"/>
        <v>23798.574000000604</v>
      </c>
      <c r="O72" s="533"/>
      <c r="R72" s="533"/>
      <c r="S72" s="533"/>
      <c r="T72" s="533"/>
      <c r="U72" s="533"/>
    </row>
    <row r="73" spans="1:24" s="429" customFormat="1" ht="14.4" thickBot="1" x14ac:dyDescent="0.35">
      <c r="A73" s="694">
        <f t="shared" si="8"/>
        <v>54</v>
      </c>
      <c r="B73" s="695" t="s">
        <v>553</v>
      </c>
      <c r="C73" s="695"/>
      <c r="D73" s="696">
        <f>SUM(E73:F73)</f>
        <v>88000</v>
      </c>
      <c r="E73" s="697"/>
      <c r="F73" s="698">
        <f>SUM(G73:J73)</f>
        <v>88000</v>
      </c>
      <c r="G73" s="699"/>
      <c r="H73" s="700">
        <f>'příl.1 - cp 2021'!I7+'příl.1 - cp 2021'!I20</f>
        <v>88000</v>
      </c>
      <c r="I73" s="697"/>
      <c r="J73" s="701"/>
      <c r="K73" s="702">
        <f>SUM(L73:N73)</f>
        <v>88000</v>
      </c>
      <c r="L73" s="697"/>
      <c r="M73" s="699">
        <v>88000</v>
      </c>
      <c r="N73" s="703"/>
      <c r="O73" s="533"/>
      <c r="R73" s="533"/>
      <c r="S73" s="533"/>
      <c r="T73" s="533"/>
      <c r="U73" s="533"/>
    </row>
    <row r="74" spans="1:24" ht="14.25" customHeight="1" thickBot="1" x14ac:dyDescent="0.35">
      <c r="A74" s="221">
        <f t="shared" si="8"/>
        <v>55</v>
      </c>
      <c r="B74" s="379" t="s">
        <v>70</v>
      </c>
      <c r="C74" s="368"/>
      <c r="D74" s="636">
        <f>D59+D72+D73</f>
        <v>3413460.9715552945</v>
      </c>
      <c r="E74" s="638">
        <f t="shared" ref="E74:J74" si="21">E59+E72+E73</f>
        <v>932162.87155529438</v>
      </c>
      <c r="F74" s="640">
        <f t="shared" si="21"/>
        <v>2450519.0920000002</v>
      </c>
      <c r="G74" s="639">
        <f t="shared" si="21"/>
        <v>2092616.0920000002</v>
      </c>
      <c r="H74" s="596">
        <f t="shared" si="21"/>
        <v>342903</v>
      </c>
      <c r="I74" s="597">
        <f t="shared" si="21"/>
        <v>15000</v>
      </c>
      <c r="J74" s="369">
        <f t="shared" si="21"/>
        <v>30779.007999999681</v>
      </c>
      <c r="K74" s="641">
        <f>K59++K72+K73</f>
        <v>3228871.0440000002</v>
      </c>
      <c r="L74" s="642">
        <f>L59++L72+L73</f>
        <v>885354.24399999995</v>
      </c>
      <c r="M74" s="677">
        <f>M59++M72+M73</f>
        <v>2319718.2259999998</v>
      </c>
      <c r="N74" s="642">
        <f>N59++N72+N73</f>
        <v>23798.574000000604</v>
      </c>
      <c r="O74" s="59"/>
      <c r="R74" s="59"/>
      <c r="S74" s="59"/>
      <c r="T74" s="59"/>
      <c r="U74" s="59"/>
    </row>
    <row r="75" spans="1:24" s="797" customFormat="1" ht="15" customHeight="1" x14ac:dyDescent="0.25">
      <c r="A75" s="796" t="s">
        <v>285</v>
      </c>
      <c r="D75" s="798"/>
      <c r="E75" s="1661">
        <f>E74+F74</f>
        <v>3382681.9635552946</v>
      </c>
      <c r="F75" s="1662"/>
      <c r="G75" s="1656">
        <f>G74+H74+I74</f>
        <v>2450519.0920000002</v>
      </c>
      <c r="H75" s="1657"/>
      <c r="I75" s="1658"/>
      <c r="J75" s="799"/>
      <c r="K75" s="800"/>
      <c r="L75" s="1661">
        <f>SUM(L74:M74)</f>
        <v>3205072.4699999997</v>
      </c>
      <c r="M75" s="1662"/>
      <c r="N75" s="801"/>
      <c r="O75" s="801"/>
      <c r="P75" s="801"/>
      <c r="Q75" s="801"/>
      <c r="R75" s="801"/>
      <c r="S75" s="801"/>
      <c r="T75" s="801"/>
      <c r="U75" s="801"/>
      <c r="X75" s="802"/>
    </row>
    <row r="76" spans="1:24" s="804" customFormat="1" ht="15" x14ac:dyDescent="0.25">
      <c r="A76" s="803"/>
      <c r="D76" s="814">
        <f>D36-D74</f>
        <v>0</v>
      </c>
      <c r="E76" s="1671">
        <f>E74+H74+G74</f>
        <v>3367681.9635552946</v>
      </c>
      <c r="F76" s="1673"/>
      <c r="G76" s="1673"/>
      <c r="H76" s="1674"/>
      <c r="I76" s="798"/>
      <c r="J76" s="813"/>
      <c r="K76" s="806"/>
      <c r="N76" s="801"/>
      <c r="O76" s="801"/>
      <c r="P76" s="801"/>
      <c r="Q76" s="801"/>
      <c r="R76" s="801"/>
      <c r="S76" s="801"/>
      <c r="T76" s="801"/>
      <c r="U76" s="801"/>
      <c r="V76" s="797"/>
      <c r="W76" s="797"/>
      <c r="X76" s="802"/>
    </row>
    <row r="77" spans="1:24" s="804" customFormat="1" ht="15" x14ac:dyDescent="0.25">
      <c r="A77" s="803"/>
      <c r="D77" s="805"/>
      <c r="E77" s="805"/>
      <c r="F77" s="798"/>
      <c r="G77" s="805"/>
      <c r="H77" s="1671">
        <f>H74+I74</f>
        <v>357903</v>
      </c>
      <c r="I77" s="1672"/>
      <c r="J77" s="798"/>
      <c r="K77" s="806"/>
      <c r="N77" s="801"/>
      <c r="O77" s="801"/>
      <c r="P77" s="801"/>
      <c r="Q77" s="801"/>
      <c r="R77" s="801"/>
      <c r="S77" s="801"/>
      <c r="T77" s="801"/>
      <c r="U77" s="801"/>
      <c r="V77" s="797"/>
      <c r="W77" s="797"/>
      <c r="X77" s="802"/>
    </row>
    <row r="78" spans="1:24" s="804" customFormat="1" ht="15" x14ac:dyDescent="0.25">
      <c r="A78" s="803"/>
      <c r="D78" s="805"/>
      <c r="E78" s="805"/>
      <c r="F78" s="798"/>
      <c r="G78" s="805"/>
      <c r="H78" s="1159"/>
      <c r="I78" s="1159"/>
      <c r="J78" s="798"/>
      <c r="K78" s="806"/>
      <c r="N78" s="801"/>
      <c r="O78" s="801"/>
      <c r="P78" s="801"/>
      <c r="Q78" s="801"/>
      <c r="R78" s="801"/>
      <c r="S78" s="801"/>
      <c r="T78" s="801"/>
      <c r="U78" s="801"/>
      <c r="V78" s="797"/>
      <c r="W78" s="797"/>
      <c r="X78" s="802"/>
    </row>
    <row r="79" spans="1:24" s="804" customFormat="1" x14ac:dyDescent="0.3">
      <c r="A79" s="631" t="s">
        <v>862</v>
      </c>
      <c r="B79" s="632"/>
      <c r="C79" s="632"/>
      <c r="D79" s="632"/>
      <c r="E79" s="632"/>
      <c r="F79" s="632"/>
      <c r="G79" s="632"/>
      <c r="H79" s="632"/>
      <c r="I79" s="632"/>
      <c r="J79" s="632"/>
      <c r="K79" s="632"/>
      <c r="L79" s="632"/>
      <c r="M79" s="633"/>
      <c r="N79" s="632"/>
      <c r="O79" s="801"/>
      <c r="P79" s="801"/>
      <c r="Q79" s="801"/>
      <c r="R79" s="801"/>
      <c r="S79" s="801"/>
      <c r="T79" s="801"/>
      <c r="U79" s="801"/>
      <c r="V79" s="797"/>
      <c r="W79" s="797"/>
      <c r="X79" s="802"/>
    </row>
    <row r="80" spans="1:24" s="804" customFormat="1" ht="14.4" thickBot="1" x14ac:dyDescent="0.35">
      <c r="A80" s="429" t="s">
        <v>866</v>
      </c>
      <c r="B80" s="1"/>
      <c r="C80" s="1"/>
      <c r="D80" s="1"/>
      <c r="E80" s="1"/>
      <c r="F80" s="1"/>
      <c r="G80" s="1"/>
      <c r="H80" s="1"/>
      <c r="I80" s="1"/>
      <c r="J80" s="1"/>
      <c r="K80" s="1"/>
      <c r="L80" s="1"/>
      <c r="M80" s="332"/>
      <c r="N80" s="1"/>
      <c r="O80" s="801"/>
      <c r="P80" s="801"/>
      <c r="Q80" s="801"/>
      <c r="R80" s="801"/>
      <c r="S80" s="801"/>
      <c r="T80" s="801"/>
      <c r="U80" s="801"/>
      <c r="V80" s="797"/>
      <c r="W80" s="797"/>
      <c r="X80" s="802"/>
    </row>
    <row r="81" spans="1:24" s="804" customFormat="1" x14ac:dyDescent="0.3">
      <c r="A81" s="61"/>
      <c r="B81" s="334"/>
      <c r="C81" s="215"/>
      <c r="D81" s="1649" t="s">
        <v>599</v>
      </c>
      <c r="E81" s="1650"/>
      <c r="F81" s="1650"/>
      <c r="G81" s="1650"/>
      <c r="H81" s="1650"/>
      <c r="I81" s="1650"/>
      <c r="J81" s="1651"/>
      <c r="K81" s="1664" t="s">
        <v>577</v>
      </c>
      <c r="L81" s="1665"/>
      <c r="M81" s="1665"/>
      <c r="N81" s="1666"/>
      <c r="O81" s="801"/>
      <c r="P81" s="801"/>
      <c r="Q81" s="801"/>
      <c r="R81" s="801"/>
      <c r="S81" s="801"/>
      <c r="T81" s="801"/>
      <c r="U81" s="801"/>
      <c r="V81" s="797"/>
      <c r="W81" s="797"/>
      <c r="X81" s="802"/>
    </row>
    <row r="82" spans="1:24" s="804" customFormat="1" x14ac:dyDescent="0.3">
      <c r="A82" s="335"/>
      <c r="B82" s="9"/>
      <c r="C82" s="10"/>
      <c r="D82" s="742" t="s">
        <v>128</v>
      </c>
      <c r="E82" s="1655" t="s">
        <v>161</v>
      </c>
      <c r="F82" s="1655"/>
      <c r="G82" s="1655"/>
      <c r="H82" s="1655"/>
      <c r="I82" s="1655"/>
      <c r="J82" s="526" t="s">
        <v>228</v>
      </c>
      <c r="K82" s="527" t="s">
        <v>128</v>
      </c>
      <c r="L82" s="1663" t="s">
        <v>30</v>
      </c>
      <c r="M82" s="1655"/>
      <c r="N82" s="1675"/>
      <c r="O82" s="801"/>
      <c r="P82" s="801"/>
      <c r="Q82" s="801"/>
      <c r="R82" s="801"/>
      <c r="S82" s="801"/>
      <c r="T82" s="801"/>
      <c r="U82" s="801"/>
      <c r="V82" s="797"/>
      <c r="W82" s="797"/>
      <c r="X82" s="802"/>
    </row>
    <row r="83" spans="1:24" s="804" customFormat="1" x14ac:dyDescent="0.3">
      <c r="A83" s="335"/>
      <c r="B83" s="9" t="s">
        <v>35</v>
      </c>
      <c r="C83" s="10"/>
      <c r="D83" s="743" t="s">
        <v>129</v>
      </c>
      <c r="E83" s="1669" t="s">
        <v>582</v>
      </c>
      <c r="F83" s="4" t="s">
        <v>64</v>
      </c>
      <c r="G83" s="1659" t="s">
        <v>65</v>
      </c>
      <c r="H83" s="1660"/>
      <c r="I83" s="1660"/>
      <c r="J83" s="528" t="s">
        <v>230</v>
      </c>
      <c r="K83" s="527" t="s">
        <v>129</v>
      </c>
      <c r="L83" s="1669" t="s">
        <v>582</v>
      </c>
      <c r="M83" s="342" t="s">
        <v>64</v>
      </c>
      <c r="N83" s="672" t="s">
        <v>99</v>
      </c>
      <c r="O83" s="801"/>
      <c r="P83" s="801"/>
      <c r="Q83" s="801"/>
      <c r="R83" s="801"/>
      <c r="S83" s="801"/>
      <c r="T83" s="801"/>
      <c r="U83" s="801"/>
      <c r="V83" s="797"/>
      <c r="W83" s="797"/>
      <c r="X83" s="802"/>
    </row>
    <row r="84" spans="1:24" s="804" customFormat="1" ht="14.4" thickBot="1" x14ac:dyDescent="0.35">
      <c r="A84" s="337" t="s">
        <v>33</v>
      </c>
      <c r="B84" s="338" t="s">
        <v>36</v>
      </c>
      <c r="C84" s="339"/>
      <c r="D84" s="744" t="s">
        <v>231</v>
      </c>
      <c r="E84" s="1670"/>
      <c r="F84" s="383" t="s">
        <v>16</v>
      </c>
      <c r="G84" s="384" t="s">
        <v>31</v>
      </c>
      <c r="H84" s="385" t="s">
        <v>554</v>
      </c>
      <c r="I84" s="386" t="s">
        <v>32</v>
      </c>
      <c r="J84" s="529" t="s">
        <v>229</v>
      </c>
      <c r="K84" s="530" t="s">
        <v>231</v>
      </c>
      <c r="L84" s="1670"/>
      <c r="M84" s="673" t="s">
        <v>16</v>
      </c>
      <c r="N84" s="678"/>
      <c r="O84" s="801"/>
      <c r="P84" s="801"/>
      <c r="Q84" s="801"/>
      <c r="R84" s="801"/>
      <c r="S84" s="801"/>
      <c r="T84" s="801"/>
      <c r="U84" s="801"/>
      <c r="V84" s="797"/>
      <c r="W84" s="797"/>
      <c r="X84" s="802"/>
    </row>
    <row r="85" spans="1:24" s="804" customFormat="1" ht="14.4" thickBot="1" x14ac:dyDescent="0.35">
      <c r="A85" s="387"/>
      <c r="B85" s="11"/>
      <c r="C85" s="388" t="s">
        <v>200</v>
      </c>
      <c r="D85" s="745"/>
      <c r="E85" s="1150">
        <v>2112</v>
      </c>
      <c r="F85" s="390"/>
      <c r="G85" s="391">
        <v>1111</v>
      </c>
      <c r="H85" s="392">
        <v>1112</v>
      </c>
      <c r="I85" s="393">
        <v>1112</v>
      </c>
      <c r="J85" s="532">
        <v>4769</v>
      </c>
      <c r="K85" s="394"/>
      <c r="L85" s="1150"/>
      <c r="M85" s="674"/>
      <c r="N85" s="679"/>
      <c r="O85" s="801"/>
      <c r="P85" s="801"/>
      <c r="Q85" s="801"/>
      <c r="R85" s="801"/>
      <c r="S85" s="801"/>
      <c r="T85" s="801"/>
      <c r="U85" s="801"/>
      <c r="V85" s="797"/>
      <c r="W85" s="797"/>
      <c r="X85" s="802"/>
    </row>
    <row r="86" spans="1:24" s="804" customFormat="1" x14ac:dyDescent="0.3">
      <c r="A86" s="227">
        <v>56</v>
      </c>
      <c r="B86" s="239">
        <v>11</v>
      </c>
      <c r="C86" s="10" t="s">
        <v>7</v>
      </c>
      <c r="D86" s="746">
        <f>SUM(E86:F86)</f>
        <v>405659</v>
      </c>
      <c r="E86" s="643">
        <f>'pom - Přerozdělení DKRVO'!Q6</f>
        <v>91019</v>
      </c>
      <c r="F86" s="396">
        <f>SUM(G86:H86)</f>
        <v>314640</v>
      </c>
      <c r="G86" s="611">
        <f>'pom - Přerozdělení DKRVO'!H6+'pom - Přerozdělení DKRVO'!N6</f>
        <v>314640</v>
      </c>
      <c r="H86" s="513">
        <f>'pom - Přerozdělení DKRVO'!M6</f>
        <v>0</v>
      </c>
      <c r="I86" s="399"/>
      <c r="J86" s="400"/>
      <c r="K86" s="401">
        <f>SUM(L86:N86)</f>
        <v>404090.2</v>
      </c>
      <c r="L86" s="402">
        <v>87899</v>
      </c>
      <c r="M86" s="508">
        <v>316191.2</v>
      </c>
      <c r="N86" s="662"/>
      <c r="O86" s="801"/>
      <c r="P86" s="801"/>
      <c r="Q86" s="801"/>
      <c r="R86" s="801"/>
      <c r="S86" s="801"/>
      <c r="T86" s="801"/>
      <c r="U86" s="801"/>
      <c r="V86" s="797"/>
      <c r="W86" s="797"/>
      <c r="X86" s="802"/>
    </row>
    <row r="87" spans="1:24" s="804" customFormat="1" x14ac:dyDescent="0.3">
      <c r="A87" s="217">
        <f>A86+1</f>
        <v>57</v>
      </c>
      <c r="B87" s="403">
        <v>16</v>
      </c>
      <c r="C87" s="7" t="s">
        <v>613</v>
      </c>
      <c r="D87" s="746">
        <f>SUM(E87:F87)</f>
        <v>97729.7</v>
      </c>
      <c r="E87" s="643">
        <f>'pom - Přerozdělení DKRVO'!Q7</f>
        <v>20248</v>
      </c>
      <c r="F87" s="396">
        <f>SUM(G87:H87)</f>
        <v>77481.7</v>
      </c>
      <c r="G87" s="611">
        <f>'pom - Přerozdělení DKRVO'!H7+'pom - Přerozdělení DKRVO'!N7</f>
        <v>55996.7</v>
      </c>
      <c r="H87" s="513">
        <f>'pom - Přerozdělení DKRVO'!M7</f>
        <v>21485</v>
      </c>
      <c r="I87" s="399"/>
      <c r="J87" s="400"/>
      <c r="K87" s="401">
        <v>0</v>
      </c>
      <c r="L87" s="793">
        <v>0</v>
      </c>
      <c r="M87" s="508">
        <v>0</v>
      </c>
      <c r="N87" s="662"/>
      <c r="O87" s="801"/>
      <c r="P87" s="801"/>
      <c r="Q87" s="801"/>
      <c r="R87" s="801"/>
      <c r="S87" s="801"/>
      <c r="T87" s="801"/>
      <c r="U87" s="801"/>
      <c r="V87" s="797"/>
      <c r="W87" s="797"/>
      <c r="X87" s="802"/>
    </row>
    <row r="88" spans="1:24" s="804" customFormat="1" x14ac:dyDescent="0.3">
      <c r="A88" s="217">
        <f t="shared" ref="A88:A111" si="22">A87+1</f>
        <v>58</v>
      </c>
      <c r="B88" s="403">
        <v>21</v>
      </c>
      <c r="C88" s="7" t="s">
        <v>8</v>
      </c>
      <c r="D88" s="747">
        <f t="shared" ref="D88:D94" si="23">SUM(E88:F88)</f>
        <v>409233.5</v>
      </c>
      <c r="E88" s="643">
        <f>'pom - Přerozdělení DKRVO'!Q8</f>
        <v>91249</v>
      </c>
      <c r="F88" s="404">
        <f t="shared" ref="F88:F95" si="24">SUM(G88:H88)</f>
        <v>317984.5</v>
      </c>
      <c r="G88" s="611">
        <f>'pom - Přerozdělení DKRVO'!H8+'pom - Přerozdělení DKRVO'!N8</f>
        <v>317858.5</v>
      </c>
      <c r="H88" s="355">
        <f>'pom - Přerozdělení DKRVO'!M8</f>
        <v>126</v>
      </c>
      <c r="I88" s="511"/>
      <c r="J88" s="407"/>
      <c r="K88" s="401">
        <f t="shared" ref="K88:K95" si="25">SUM(L88:N88)</f>
        <v>401336.7</v>
      </c>
      <c r="L88" s="404">
        <v>84127</v>
      </c>
      <c r="M88" s="509">
        <v>317209.7</v>
      </c>
      <c r="N88" s="663"/>
      <c r="O88" s="801"/>
      <c r="P88" s="801"/>
      <c r="Q88" s="801"/>
      <c r="R88" s="801"/>
      <c r="S88" s="801"/>
      <c r="T88" s="801"/>
      <c r="U88" s="801"/>
      <c r="V88" s="797"/>
      <c r="W88" s="797"/>
      <c r="X88" s="802"/>
    </row>
    <row r="89" spans="1:24" s="804" customFormat="1" x14ac:dyDescent="0.3">
      <c r="A89" s="217">
        <f t="shared" si="22"/>
        <v>59</v>
      </c>
      <c r="B89" s="403">
        <v>22</v>
      </c>
      <c r="C89" s="7" t="s">
        <v>9</v>
      </c>
      <c r="D89" s="747">
        <f t="shared" si="23"/>
        <v>150838.39999999999</v>
      </c>
      <c r="E89" s="643">
        <f>'pom - Přerozdělení DKRVO'!Q9</f>
        <v>30297</v>
      </c>
      <c r="F89" s="404">
        <f t="shared" si="24"/>
        <v>120541.4</v>
      </c>
      <c r="G89" s="611">
        <f>'pom - Přerozdělení DKRVO'!H9+'pom - Přerozdělení DKRVO'!N9</f>
        <v>120541.4</v>
      </c>
      <c r="H89" s="355">
        <f>'pom - Přerozdělení DKRVO'!M9</f>
        <v>0</v>
      </c>
      <c r="I89" s="511"/>
      <c r="J89" s="407"/>
      <c r="K89" s="401">
        <f t="shared" si="25"/>
        <v>147962.9</v>
      </c>
      <c r="L89" s="404">
        <v>31754</v>
      </c>
      <c r="M89" s="509">
        <v>116208.9</v>
      </c>
      <c r="N89" s="663"/>
      <c r="O89" s="801"/>
      <c r="P89" s="801"/>
      <c r="Q89" s="801"/>
      <c r="R89" s="801"/>
      <c r="S89" s="801"/>
      <c r="T89" s="801"/>
      <c r="U89" s="801"/>
      <c r="V89" s="797"/>
      <c r="W89" s="797"/>
      <c r="X89" s="802"/>
    </row>
    <row r="90" spans="1:24" s="804" customFormat="1" x14ac:dyDescent="0.3">
      <c r="A90" s="217">
        <f t="shared" si="22"/>
        <v>60</v>
      </c>
      <c r="B90" s="403">
        <v>23</v>
      </c>
      <c r="C90" s="7" t="s">
        <v>10</v>
      </c>
      <c r="D90" s="747">
        <f t="shared" si="23"/>
        <v>201523.8</v>
      </c>
      <c r="E90" s="643">
        <f>'pom - Přerozdělení DKRVO'!Q10</f>
        <v>61581</v>
      </c>
      <c r="F90" s="404">
        <f t="shared" si="24"/>
        <v>139942.79999999999</v>
      </c>
      <c r="G90" s="611">
        <f>'pom - Přerozdělení DKRVO'!H10+'pom - Přerozdělení DKRVO'!N10</f>
        <v>139942.79999999999</v>
      </c>
      <c r="H90" s="355">
        <f>'pom - Přerozdělení DKRVO'!M10</f>
        <v>0</v>
      </c>
      <c r="I90" s="511"/>
      <c r="J90" s="407"/>
      <c r="K90" s="401">
        <f t="shared" si="25"/>
        <v>187591.4</v>
      </c>
      <c r="L90" s="404">
        <v>54373</v>
      </c>
      <c r="M90" s="509">
        <v>133218.4</v>
      </c>
      <c r="N90" s="663"/>
      <c r="O90" s="801"/>
      <c r="P90" s="801"/>
      <c r="Q90" s="801"/>
      <c r="R90" s="801"/>
      <c r="S90" s="801"/>
      <c r="T90" s="801"/>
      <c r="U90" s="801"/>
      <c r="V90" s="797"/>
      <c r="W90" s="797"/>
      <c r="X90" s="802"/>
    </row>
    <row r="91" spans="1:24" s="804" customFormat="1" x14ac:dyDescent="0.3">
      <c r="A91" s="217">
        <f t="shared" si="22"/>
        <v>61</v>
      </c>
      <c r="B91" s="403">
        <v>31</v>
      </c>
      <c r="C91" s="7" t="s">
        <v>11</v>
      </c>
      <c r="D91" s="747">
        <f t="shared" si="23"/>
        <v>640975.19999999995</v>
      </c>
      <c r="E91" s="643">
        <f>'pom - Přerozdělení DKRVO'!Q11</f>
        <v>323020</v>
      </c>
      <c r="F91" s="404">
        <f t="shared" si="24"/>
        <v>317955.20000000001</v>
      </c>
      <c r="G91" s="611">
        <f>'pom - Přerozdělení DKRVO'!H11+'pom - Přerozdělení DKRVO'!N11</f>
        <v>315955.20000000001</v>
      </c>
      <c r="H91" s="355">
        <f>'pom - Přerozdělení DKRVO'!M11</f>
        <v>2000</v>
      </c>
      <c r="I91" s="511"/>
      <c r="J91" s="407"/>
      <c r="K91" s="401">
        <f t="shared" si="25"/>
        <v>608066.9</v>
      </c>
      <c r="L91" s="404">
        <v>301958</v>
      </c>
      <c r="M91" s="509">
        <v>306108.90000000002</v>
      </c>
      <c r="N91" s="663"/>
      <c r="O91" s="801"/>
      <c r="P91" s="801"/>
      <c r="Q91" s="801"/>
      <c r="R91" s="801"/>
      <c r="S91" s="801"/>
      <c r="T91" s="801"/>
      <c r="U91" s="801"/>
      <c r="V91" s="797"/>
      <c r="W91" s="797"/>
      <c r="X91" s="802"/>
    </row>
    <row r="92" spans="1:24" s="804" customFormat="1" x14ac:dyDescent="0.3">
      <c r="A92" s="217">
        <f t="shared" si="22"/>
        <v>62</v>
      </c>
      <c r="B92" s="403">
        <v>33</v>
      </c>
      <c r="C92" s="7" t="s">
        <v>12</v>
      </c>
      <c r="D92" s="747">
        <f t="shared" si="23"/>
        <v>216188.2</v>
      </c>
      <c r="E92" s="643">
        <f>'pom - Přerozdělení DKRVO'!Q12</f>
        <v>53314</v>
      </c>
      <c r="F92" s="404">
        <f t="shared" si="24"/>
        <v>162874.20000000001</v>
      </c>
      <c r="G92" s="611">
        <f>'pom - Přerozdělení DKRVO'!H12+'pom - Přerozdělení DKRVO'!N12</f>
        <v>116169.2</v>
      </c>
      <c r="H92" s="355">
        <f>'pom - Přerozdělení DKRVO'!M12</f>
        <v>46705</v>
      </c>
      <c r="I92" s="511"/>
      <c r="J92" s="407"/>
      <c r="K92" s="401">
        <f t="shared" si="25"/>
        <v>211785.1</v>
      </c>
      <c r="L92" s="404">
        <v>52976</v>
      </c>
      <c r="M92" s="509">
        <v>158809.1</v>
      </c>
      <c r="N92" s="663"/>
      <c r="O92" s="801"/>
      <c r="P92" s="801"/>
      <c r="Q92" s="801"/>
      <c r="R92" s="801"/>
      <c r="S92" s="801"/>
      <c r="T92" s="801"/>
      <c r="U92" s="801"/>
      <c r="V92" s="797"/>
      <c r="W92" s="797"/>
      <c r="X92" s="802"/>
    </row>
    <row r="93" spans="1:24" s="804" customFormat="1" x14ac:dyDescent="0.3">
      <c r="A93" s="217">
        <f t="shared" si="22"/>
        <v>63</v>
      </c>
      <c r="B93" s="403">
        <v>41</v>
      </c>
      <c r="C93" s="7" t="s">
        <v>13</v>
      </c>
      <c r="D93" s="747">
        <f t="shared" si="23"/>
        <v>253799.9</v>
      </c>
      <c r="E93" s="643">
        <f>'pom - Přerozdělení DKRVO'!Q13</f>
        <v>33318</v>
      </c>
      <c r="F93" s="404">
        <f t="shared" si="24"/>
        <v>220481.9</v>
      </c>
      <c r="G93" s="611">
        <f>'pom - Přerozdělení DKRVO'!H13+'pom - Přerozdělení DKRVO'!N13</f>
        <v>220081.9</v>
      </c>
      <c r="H93" s="355">
        <f>'pom - Přerozdělení DKRVO'!M13</f>
        <v>400</v>
      </c>
      <c r="I93" s="511"/>
      <c r="J93" s="407"/>
      <c r="K93" s="401">
        <f t="shared" si="25"/>
        <v>234510.6</v>
      </c>
      <c r="L93" s="404">
        <v>34842</v>
      </c>
      <c r="M93" s="509">
        <v>199668.6</v>
      </c>
      <c r="N93" s="663"/>
      <c r="O93" s="801"/>
      <c r="P93" s="801"/>
      <c r="Q93" s="801"/>
      <c r="R93" s="801"/>
      <c r="S93" s="801"/>
      <c r="T93" s="801"/>
      <c r="U93" s="801"/>
      <c r="V93" s="797"/>
      <c r="W93" s="797"/>
      <c r="X93" s="802"/>
    </row>
    <row r="94" spans="1:24" s="804" customFormat="1" x14ac:dyDescent="0.3">
      <c r="A94" s="217">
        <f t="shared" si="22"/>
        <v>64</v>
      </c>
      <c r="B94" s="403">
        <v>51</v>
      </c>
      <c r="C94" s="7" t="s">
        <v>199</v>
      </c>
      <c r="D94" s="747">
        <f t="shared" si="23"/>
        <v>104580.3</v>
      </c>
      <c r="E94" s="643">
        <f>'pom - Přerozdělení DKRVO'!Q14</f>
        <v>6157</v>
      </c>
      <c r="F94" s="404">
        <f t="shared" si="24"/>
        <v>98423.3</v>
      </c>
      <c r="G94" s="611">
        <f>'pom - Přerozdělení DKRVO'!H14+'pom - Přerozdělení DKRVO'!N14</f>
        <v>97923.3</v>
      </c>
      <c r="H94" s="355">
        <f>'pom - Přerozdělení DKRVO'!M14</f>
        <v>500</v>
      </c>
      <c r="I94" s="511"/>
      <c r="J94" s="407"/>
      <c r="K94" s="401">
        <f t="shared" si="25"/>
        <v>101174.3</v>
      </c>
      <c r="L94" s="404">
        <v>8068</v>
      </c>
      <c r="M94" s="509">
        <v>93106.3</v>
      </c>
      <c r="N94" s="663"/>
      <c r="O94" s="801"/>
      <c r="P94" s="801"/>
      <c r="Q94" s="801"/>
      <c r="R94" s="801"/>
      <c r="S94" s="801"/>
      <c r="T94" s="801"/>
      <c r="U94" s="801"/>
      <c r="V94" s="797"/>
      <c r="W94" s="797"/>
      <c r="X94" s="802"/>
    </row>
    <row r="95" spans="1:24" s="804" customFormat="1" x14ac:dyDescent="0.3">
      <c r="A95" s="3">
        <f t="shared" si="22"/>
        <v>65</v>
      </c>
      <c r="B95" s="409">
        <v>56</v>
      </c>
      <c r="C95" s="410" t="s">
        <v>15</v>
      </c>
      <c r="D95" s="746">
        <f>SUM(E95:F95)</f>
        <v>142135</v>
      </c>
      <c r="E95" s="643">
        <f>'pom - Přerozdělení DKRVO'!Q15</f>
        <v>23204</v>
      </c>
      <c r="F95" s="396">
        <f t="shared" si="24"/>
        <v>118931</v>
      </c>
      <c r="G95" s="611">
        <f>'pom - Přerozdělení DKRVO'!H15+'pom - Přerozdělení DKRVO'!N15</f>
        <v>118931</v>
      </c>
      <c r="H95" s="616">
        <f>'pom - Přerozdělení DKRVO'!M15</f>
        <v>0</v>
      </c>
      <c r="I95" s="593"/>
      <c r="J95" s="425"/>
      <c r="K95" s="617">
        <f t="shared" si="25"/>
        <v>144381.20000000001</v>
      </c>
      <c r="L95" s="413">
        <v>23521</v>
      </c>
      <c r="M95" s="615">
        <v>120860.2</v>
      </c>
      <c r="N95" s="664"/>
      <c r="O95" s="801"/>
      <c r="P95" s="801"/>
      <c r="Q95" s="801"/>
      <c r="R95" s="801"/>
      <c r="S95" s="801"/>
      <c r="T95" s="801"/>
      <c r="U95" s="801"/>
      <c r="V95" s="797"/>
      <c r="W95" s="797"/>
      <c r="X95" s="802"/>
    </row>
    <row r="96" spans="1:24" s="804" customFormat="1" x14ac:dyDescent="0.3">
      <c r="A96" s="573">
        <f t="shared" si="22"/>
        <v>66</v>
      </c>
      <c r="B96" s="415" t="s">
        <v>37</v>
      </c>
      <c r="C96" s="416"/>
      <c r="D96" s="748">
        <f>SUM(D86:D95)</f>
        <v>2622662.9999999995</v>
      </c>
      <c r="E96" s="644">
        <f t="shared" ref="E96:M96" si="26">SUM(E86:E95)</f>
        <v>733407</v>
      </c>
      <c r="F96" s="594">
        <f t="shared" si="26"/>
        <v>1889255.9999999998</v>
      </c>
      <c r="G96" s="618">
        <f t="shared" si="26"/>
        <v>1818039.9999999998</v>
      </c>
      <c r="H96" s="595">
        <f t="shared" si="26"/>
        <v>71216</v>
      </c>
      <c r="I96" s="755">
        <f t="shared" si="26"/>
        <v>0</v>
      </c>
      <c r="J96" s="754">
        <f t="shared" si="26"/>
        <v>0</v>
      </c>
      <c r="K96" s="555">
        <f t="shared" si="26"/>
        <v>2440899.3000000003</v>
      </c>
      <c r="L96" s="430">
        <f t="shared" si="26"/>
        <v>679518</v>
      </c>
      <c r="M96" s="675">
        <f t="shared" si="26"/>
        <v>1761381.3000000003</v>
      </c>
      <c r="N96" s="682">
        <v>0</v>
      </c>
      <c r="O96" s="801"/>
      <c r="P96" s="801"/>
      <c r="Q96" s="801"/>
      <c r="R96" s="801"/>
      <c r="S96" s="801"/>
      <c r="T96" s="801"/>
      <c r="U96" s="801"/>
      <c r="V96" s="797"/>
      <c r="W96" s="797"/>
      <c r="X96" s="802"/>
    </row>
    <row r="97" spans="1:24" s="804" customFormat="1" x14ac:dyDescent="0.3">
      <c r="A97" s="3">
        <f t="shared" si="22"/>
        <v>67</v>
      </c>
      <c r="B97" s="350">
        <v>71</v>
      </c>
      <c r="C97" s="7" t="s">
        <v>178</v>
      </c>
      <c r="D97" s="749">
        <f>SUM(E97:F97)</f>
        <v>125765</v>
      </c>
      <c r="E97" s="643">
        <f>'pom - Přerozdělení DKRVO'!Q17</f>
        <v>103860</v>
      </c>
      <c r="F97" s="419">
        <f>SUM(G97:I97)</f>
        <v>21905</v>
      </c>
      <c r="G97" s="611">
        <f>'pom - Přerozdělení DKRVO'!H17+'pom - Přerozdělení DKRVO'!N17</f>
        <v>21905</v>
      </c>
      <c r="H97" s="428">
        <f>'pom - Přerozdělení DKRVO'!M17</f>
        <v>0</v>
      </c>
      <c r="I97" s="399"/>
      <c r="J97" s="400"/>
      <c r="K97" s="401">
        <f>SUM(L97:N97)</f>
        <v>123125</v>
      </c>
      <c r="L97" s="651">
        <v>99290</v>
      </c>
      <c r="M97" s="680">
        <v>23835</v>
      </c>
      <c r="N97" s="421"/>
      <c r="O97" s="801"/>
      <c r="P97" s="801"/>
      <c r="Q97" s="801"/>
      <c r="R97" s="801"/>
      <c r="S97" s="801"/>
      <c r="T97" s="801"/>
      <c r="U97" s="801"/>
      <c r="V97" s="797"/>
      <c r="W97" s="797"/>
      <c r="X97" s="802"/>
    </row>
    <row r="98" spans="1:24" s="804" customFormat="1" x14ac:dyDescent="0.3">
      <c r="A98" s="217">
        <f t="shared" si="22"/>
        <v>68</v>
      </c>
      <c r="B98" s="350">
        <v>79</v>
      </c>
      <c r="C98" s="7" t="s">
        <v>239</v>
      </c>
      <c r="D98" s="747">
        <f t="shared" ref="D98:D107" si="27">SUM(E98:F98)</f>
        <v>0</v>
      </c>
      <c r="E98" s="643">
        <f>'pom - Přerozdělení DKRVO'!Q18</f>
        <v>0</v>
      </c>
      <c r="F98" s="419">
        <f t="shared" ref="F98:F107" si="28">SUM(G98:I98)</f>
        <v>0</v>
      </c>
      <c r="G98" s="509">
        <f>'pom - Přerozdělení DKRVO'!H18+'pom - Přerozdělení DKRVO'!N18</f>
        <v>0</v>
      </c>
      <c r="H98" s="514">
        <f>'pom - Přerozdělení DKRVO'!M18</f>
        <v>0</v>
      </c>
      <c r="I98" s="406"/>
      <c r="J98" s="407"/>
      <c r="K98" s="401">
        <f t="shared" ref="K98:K108" si="29">SUM(L98:N98)</f>
        <v>5340</v>
      </c>
      <c r="L98" s="419">
        <v>5340</v>
      </c>
      <c r="M98" s="510">
        <v>0</v>
      </c>
      <c r="N98" s="422"/>
      <c r="O98" s="801"/>
      <c r="P98" s="801"/>
      <c r="Q98" s="801"/>
      <c r="R98" s="801"/>
      <c r="S98" s="801"/>
      <c r="T98" s="801"/>
      <c r="U98" s="801"/>
      <c r="V98" s="797"/>
      <c r="W98" s="797"/>
      <c r="X98" s="802"/>
    </row>
    <row r="99" spans="1:24" s="804" customFormat="1" x14ac:dyDescent="0.3">
      <c r="A99" s="217">
        <f t="shared" si="22"/>
        <v>69</v>
      </c>
      <c r="B99" s="350">
        <v>81</v>
      </c>
      <c r="C99" s="7" t="s">
        <v>68</v>
      </c>
      <c r="D99" s="747">
        <f t="shared" si="27"/>
        <v>0</v>
      </c>
      <c r="E99" s="643">
        <f>'pom - Přerozdělení DKRVO'!Q19</f>
        <v>0</v>
      </c>
      <c r="F99" s="419">
        <f t="shared" si="28"/>
        <v>0</v>
      </c>
      <c r="G99" s="509">
        <f>'pom - Přerozdělení DKRVO'!H19+'pom - Přerozdělení DKRVO'!N19</f>
        <v>0</v>
      </c>
      <c r="H99" s="514">
        <f>'pom - Přerozdělení DKRVO'!M19</f>
        <v>0</v>
      </c>
      <c r="I99" s="511"/>
      <c r="J99" s="407"/>
      <c r="K99" s="401">
        <f t="shared" si="29"/>
        <v>0</v>
      </c>
      <c r="L99" s="419">
        <v>0</v>
      </c>
      <c r="M99" s="510">
        <v>0</v>
      </c>
      <c r="N99" s="422"/>
      <c r="O99" s="801"/>
      <c r="P99" s="801"/>
      <c r="Q99" s="801"/>
      <c r="R99" s="801"/>
      <c r="S99" s="801"/>
      <c r="T99" s="801"/>
      <c r="U99" s="801"/>
      <c r="V99" s="797"/>
      <c r="W99" s="797"/>
      <c r="X99" s="802"/>
    </row>
    <row r="100" spans="1:24" s="804" customFormat="1" x14ac:dyDescent="0.3">
      <c r="A100" s="217">
        <f t="shared" si="22"/>
        <v>70</v>
      </c>
      <c r="B100" s="350">
        <v>82</v>
      </c>
      <c r="C100" s="7" t="s">
        <v>1</v>
      </c>
      <c r="D100" s="747">
        <f t="shared" si="27"/>
        <v>9595</v>
      </c>
      <c r="E100" s="643">
        <f>'pom - Přerozdělení DKRVO'!Q20</f>
        <v>0</v>
      </c>
      <c r="F100" s="419">
        <f t="shared" si="28"/>
        <v>9595</v>
      </c>
      <c r="G100" s="509">
        <f>'pom - Přerozdělení DKRVO'!H20+'pom - Přerozdělení DKRVO'!N20</f>
        <v>0</v>
      </c>
      <c r="H100" s="514">
        <f>'pom - Přerozdělení DKRVO'!M20</f>
        <v>9595</v>
      </c>
      <c r="I100" s="511"/>
      <c r="J100" s="407"/>
      <c r="K100" s="401">
        <f t="shared" si="29"/>
        <v>9595</v>
      </c>
      <c r="L100" s="419">
        <v>0</v>
      </c>
      <c r="M100" s="510">
        <v>9595</v>
      </c>
      <c r="N100" s="422"/>
      <c r="O100" s="801"/>
      <c r="P100" s="801"/>
      <c r="Q100" s="801"/>
      <c r="R100" s="801"/>
      <c r="S100" s="801"/>
      <c r="T100" s="801"/>
      <c r="U100" s="801"/>
      <c r="V100" s="797"/>
      <c r="W100" s="797"/>
      <c r="X100" s="802"/>
    </row>
    <row r="101" spans="1:24" s="804" customFormat="1" x14ac:dyDescent="0.3">
      <c r="A101" s="217">
        <f t="shared" si="22"/>
        <v>71</v>
      </c>
      <c r="B101" s="350">
        <v>83</v>
      </c>
      <c r="C101" s="7" t="s">
        <v>79</v>
      </c>
      <c r="D101" s="747">
        <f t="shared" si="27"/>
        <v>8500</v>
      </c>
      <c r="E101" s="643">
        <f>'pom - Přerozdělení DKRVO'!Q21</f>
        <v>0</v>
      </c>
      <c r="F101" s="419">
        <f t="shared" si="28"/>
        <v>8500</v>
      </c>
      <c r="G101" s="509">
        <f>'pom - Přerozdělení DKRVO'!H21+'pom - Přerozdělení DKRVO'!N21</f>
        <v>6500</v>
      </c>
      <c r="H101" s="514">
        <f>'pom - Přerozdělení DKRVO'!M21</f>
        <v>2000</v>
      </c>
      <c r="I101" s="511"/>
      <c r="J101" s="407"/>
      <c r="K101" s="401">
        <f t="shared" si="29"/>
        <v>8570</v>
      </c>
      <c r="L101" s="419">
        <v>0</v>
      </c>
      <c r="M101" s="510">
        <v>8570</v>
      </c>
      <c r="N101" s="422"/>
      <c r="O101" s="801"/>
      <c r="P101" s="801"/>
      <c r="Q101" s="801"/>
      <c r="R101" s="801"/>
      <c r="S101" s="801"/>
      <c r="T101" s="801"/>
      <c r="U101" s="801"/>
      <c r="V101" s="797"/>
      <c r="W101" s="797"/>
      <c r="X101" s="802"/>
    </row>
    <row r="102" spans="1:24" s="804" customFormat="1" x14ac:dyDescent="0.3">
      <c r="A102" s="217">
        <f t="shared" si="22"/>
        <v>72</v>
      </c>
      <c r="B102" s="350">
        <v>84</v>
      </c>
      <c r="C102" s="7" t="s">
        <v>78</v>
      </c>
      <c r="D102" s="747">
        <f t="shared" si="27"/>
        <v>1581</v>
      </c>
      <c r="E102" s="643">
        <f>'pom - Přerozdělení DKRVO'!Q22</f>
        <v>581</v>
      </c>
      <c r="F102" s="419">
        <f t="shared" si="28"/>
        <v>1000</v>
      </c>
      <c r="G102" s="509">
        <f>'pom - Přerozdělení DKRVO'!H22+'pom - Přerozdělení DKRVO'!N22</f>
        <v>1000</v>
      </c>
      <c r="H102" s="514">
        <f>'pom - Přerozdělení DKRVO'!M22</f>
        <v>0</v>
      </c>
      <c r="I102" s="511"/>
      <c r="J102" s="407"/>
      <c r="K102" s="401">
        <f t="shared" si="29"/>
        <v>581</v>
      </c>
      <c r="L102" s="419">
        <v>581</v>
      </c>
      <c r="M102" s="510">
        <v>0</v>
      </c>
      <c r="N102" s="422"/>
      <c r="O102" s="801"/>
      <c r="P102" s="801"/>
      <c r="Q102" s="801"/>
      <c r="R102" s="801"/>
      <c r="S102" s="801"/>
      <c r="T102" s="801"/>
      <c r="U102" s="801"/>
      <c r="V102" s="797"/>
      <c r="W102" s="797"/>
      <c r="X102" s="802"/>
    </row>
    <row r="103" spans="1:24" s="804" customFormat="1" x14ac:dyDescent="0.3">
      <c r="A103" s="217">
        <f t="shared" si="22"/>
        <v>73</v>
      </c>
      <c r="B103" s="350">
        <v>85</v>
      </c>
      <c r="C103" s="7" t="s">
        <v>95</v>
      </c>
      <c r="D103" s="747">
        <f>SUM(E103:F103)</f>
        <v>2161.1</v>
      </c>
      <c r="E103" s="643">
        <f>'pom - Přerozdělení DKRVO'!Q23</f>
        <v>1793</v>
      </c>
      <c r="F103" s="419">
        <f t="shared" si="28"/>
        <v>368.1</v>
      </c>
      <c r="G103" s="509">
        <f>'pom - Přerozdělení DKRVO'!H23+'pom - Přerozdělení DKRVO'!N23</f>
        <v>368.1</v>
      </c>
      <c r="H103" s="514">
        <f>'pom - Přerozdělení DKRVO'!M23</f>
        <v>0</v>
      </c>
      <c r="I103" s="511"/>
      <c r="J103" s="407"/>
      <c r="K103" s="401">
        <f t="shared" si="29"/>
        <v>2228.6999999999998</v>
      </c>
      <c r="L103" s="419">
        <v>1793</v>
      </c>
      <c r="M103" s="510">
        <v>435.7</v>
      </c>
      <c r="N103" s="422"/>
      <c r="O103" s="801"/>
      <c r="P103" s="801"/>
      <c r="Q103" s="801"/>
      <c r="R103" s="801"/>
      <c r="S103" s="801"/>
      <c r="T103" s="801"/>
      <c r="U103" s="801"/>
      <c r="V103" s="797"/>
      <c r="W103" s="797"/>
      <c r="X103" s="802"/>
    </row>
    <row r="104" spans="1:24" s="804" customFormat="1" x14ac:dyDescent="0.3">
      <c r="A104" s="217">
        <f t="shared" si="22"/>
        <v>74</v>
      </c>
      <c r="B104" s="350">
        <v>87</v>
      </c>
      <c r="C104" s="7" t="s">
        <v>122</v>
      </c>
      <c r="D104" s="747">
        <f t="shared" si="27"/>
        <v>9179</v>
      </c>
      <c r="E104" s="643">
        <f>'pom - Přerozdělení DKRVO'!Q24</f>
        <v>9179</v>
      </c>
      <c r="F104" s="419">
        <f t="shared" si="28"/>
        <v>0</v>
      </c>
      <c r="G104" s="509">
        <f>'pom - Přerozdělení DKRVO'!H24+'pom - Přerozdělení DKRVO'!N24</f>
        <v>0</v>
      </c>
      <c r="H104" s="514">
        <f>'pom - Přerozdělení DKRVO'!M24</f>
        <v>0</v>
      </c>
      <c r="I104" s="511"/>
      <c r="J104" s="407"/>
      <c r="K104" s="401">
        <f t="shared" si="29"/>
        <v>9019</v>
      </c>
      <c r="L104" s="419">
        <v>9019</v>
      </c>
      <c r="M104" s="510">
        <v>0</v>
      </c>
      <c r="N104" s="422"/>
      <c r="O104" s="801"/>
      <c r="P104" s="801"/>
      <c r="Q104" s="801"/>
      <c r="R104" s="801"/>
      <c r="S104" s="801"/>
      <c r="T104" s="801"/>
      <c r="U104" s="801"/>
      <c r="V104" s="797"/>
      <c r="W104" s="797"/>
      <c r="X104" s="802"/>
    </row>
    <row r="105" spans="1:24" s="804" customFormat="1" x14ac:dyDescent="0.3">
      <c r="A105" s="217">
        <f t="shared" si="22"/>
        <v>75</v>
      </c>
      <c r="B105" s="350">
        <v>92</v>
      </c>
      <c r="C105" s="7" t="s">
        <v>17</v>
      </c>
      <c r="D105" s="747">
        <f t="shared" si="27"/>
        <v>184313</v>
      </c>
      <c r="E105" s="643">
        <f>'pom - Přerozdělení DKRVO'!Q25</f>
        <v>7701</v>
      </c>
      <c r="F105" s="419">
        <f t="shared" si="28"/>
        <v>176612</v>
      </c>
      <c r="G105" s="509">
        <f>'pom - Přerozdělení DKRVO'!H25+'pom - Přerozdělení DKRVO'!N25</f>
        <v>112952</v>
      </c>
      <c r="H105" s="514">
        <f>'pom - Přerozdělení DKRVO'!M25</f>
        <v>63660</v>
      </c>
      <c r="I105" s="511"/>
      <c r="J105" s="407"/>
      <c r="K105" s="401">
        <f t="shared" si="29"/>
        <v>178341</v>
      </c>
      <c r="L105" s="419">
        <v>9151</v>
      </c>
      <c r="M105" s="510">
        <v>169190</v>
      </c>
      <c r="N105" s="422"/>
      <c r="O105" s="801"/>
      <c r="P105" s="801"/>
      <c r="Q105" s="801"/>
      <c r="R105" s="801"/>
      <c r="S105" s="801"/>
      <c r="T105" s="801"/>
      <c r="U105" s="801"/>
      <c r="V105" s="797"/>
      <c r="W105" s="797"/>
      <c r="X105" s="802"/>
    </row>
    <row r="106" spans="1:24" s="804" customFormat="1" x14ac:dyDescent="0.3">
      <c r="A106" s="217">
        <f t="shared" si="22"/>
        <v>76</v>
      </c>
      <c r="B106" s="350">
        <v>96</v>
      </c>
      <c r="C106" s="7" t="s">
        <v>23</v>
      </c>
      <c r="D106" s="747">
        <f t="shared" si="27"/>
        <v>43796.999999999993</v>
      </c>
      <c r="E106" s="643">
        <f>'pom - Přerozdělení DKRVO'!Q26</f>
        <v>897</v>
      </c>
      <c r="F106" s="419">
        <f t="shared" si="28"/>
        <v>42899.999999999993</v>
      </c>
      <c r="G106" s="509">
        <f>'pom - Přerozdělení DKRVO'!H26+'pom - Přerozdělení DKRVO'!N26</f>
        <v>42899.999999999993</v>
      </c>
      <c r="H106" s="514">
        <f>'pom - Přerozdělení DKRVO'!M26</f>
        <v>0</v>
      </c>
      <c r="I106" s="511"/>
      <c r="J106" s="407"/>
      <c r="K106" s="401">
        <f t="shared" si="29"/>
        <v>40968.799999999996</v>
      </c>
      <c r="L106" s="419">
        <v>897</v>
      </c>
      <c r="M106" s="510">
        <v>40071.799999999996</v>
      </c>
      <c r="N106" s="422"/>
      <c r="O106" s="801"/>
      <c r="P106" s="801"/>
      <c r="Q106" s="801"/>
      <c r="R106" s="801"/>
      <c r="S106" s="801"/>
      <c r="T106" s="801"/>
      <c r="U106" s="801"/>
      <c r="V106" s="797"/>
      <c r="W106" s="797"/>
      <c r="X106" s="802"/>
    </row>
    <row r="107" spans="1:24" s="534" customFormat="1" x14ac:dyDescent="0.3">
      <c r="A107" s="217">
        <f t="shared" si="22"/>
        <v>77</v>
      </c>
      <c r="B107" s="350">
        <v>97</v>
      </c>
      <c r="C107" s="7" t="s">
        <v>24</v>
      </c>
      <c r="D107" s="750">
        <f t="shared" si="27"/>
        <v>13200</v>
      </c>
      <c r="E107" s="643">
        <f>'pom - Přerozdělení DKRVO'!Q27</f>
        <v>0</v>
      </c>
      <c r="F107" s="419">
        <f t="shared" si="28"/>
        <v>13200</v>
      </c>
      <c r="G107" s="509">
        <f>'pom - Přerozdělení DKRVO'!H27+'pom - Přerozdělení DKRVO'!N27</f>
        <v>13200</v>
      </c>
      <c r="H107" s="514">
        <f>'pom - Přerozdělení DKRVO'!M27</f>
        <v>0</v>
      </c>
      <c r="I107" s="511"/>
      <c r="J107" s="407"/>
      <c r="K107" s="401">
        <f t="shared" si="29"/>
        <v>12150</v>
      </c>
      <c r="L107" s="419">
        <v>0</v>
      </c>
      <c r="M107" s="510">
        <v>12150</v>
      </c>
      <c r="N107" s="422"/>
      <c r="O107" s="59"/>
      <c r="P107" s="801"/>
      <c r="Q107" s="801"/>
      <c r="R107" s="59"/>
      <c r="S107" s="59"/>
      <c r="T107" s="59"/>
      <c r="U107" s="59"/>
      <c r="V107" s="429"/>
      <c r="W107" s="429"/>
      <c r="X107" s="1"/>
    </row>
    <row r="108" spans="1:24" x14ac:dyDescent="0.3">
      <c r="A108" s="574">
        <f t="shared" si="22"/>
        <v>78</v>
      </c>
      <c r="B108" s="423">
        <v>99</v>
      </c>
      <c r="C108" s="410" t="s">
        <v>81</v>
      </c>
      <c r="D108" s="751">
        <f>SUM(E108:F108,J108)</f>
        <v>304707</v>
      </c>
      <c r="E108" s="643">
        <f>'pom - Přerozdělení DKRVO'!Q28</f>
        <v>74745</v>
      </c>
      <c r="F108" s="419">
        <f>SUM(G108:I108)</f>
        <v>199182.99200000032</v>
      </c>
      <c r="G108" s="612">
        <f>'pom - Přerozdělení DKRVO'!H28+'pom - Přerozdělení DKRVO'!N28</f>
        <v>81755.992000000319</v>
      </c>
      <c r="H108" s="613">
        <f>'pom - Přerozdělení DKRVO'!M28</f>
        <v>102427</v>
      </c>
      <c r="I108" s="512">
        <f>'pom - Přerozdělení DKRVO'!M32</f>
        <v>15000</v>
      </c>
      <c r="J108" s="412">
        <f>J71</f>
        <v>30779.007999999681</v>
      </c>
      <c r="K108" s="401">
        <f t="shared" si="29"/>
        <v>310053</v>
      </c>
      <c r="L108" s="420">
        <v>79765</v>
      </c>
      <c r="M108" s="681">
        <v>206489.4259999994</v>
      </c>
      <c r="N108" s="683">
        <v>23798.574000000604</v>
      </c>
      <c r="O108" s="59"/>
      <c r="P108" s="801"/>
      <c r="Q108" s="801"/>
      <c r="R108" s="59"/>
      <c r="S108" s="801"/>
      <c r="T108" s="59"/>
      <c r="U108" s="59"/>
    </row>
    <row r="109" spans="1:24" x14ac:dyDescent="0.3">
      <c r="A109" s="573">
        <f t="shared" si="22"/>
        <v>79</v>
      </c>
      <c r="B109" s="378" t="s">
        <v>424</v>
      </c>
      <c r="C109" s="604"/>
      <c r="D109" s="748">
        <f>SUM(D97:D108)</f>
        <v>702798.1</v>
      </c>
      <c r="E109" s="645">
        <f>SUM(E97:E108)</f>
        <v>198756</v>
      </c>
      <c r="F109" s="629">
        <f t="shared" ref="F109:N109" si="30">SUM(F97:F108)</f>
        <v>473263.0920000003</v>
      </c>
      <c r="G109" s="628">
        <f t="shared" si="30"/>
        <v>280581.0920000003</v>
      </c>
      <c r="H109" s="605">
        <f>SUM(H97:H108)</f>
        <v>177682</v>
      </c>
      <c r="I109" s="646">
        <f t="shared" si="30"/>
        <v>15000</v>
      </c>
      <c r="J109" s="647">
        <f t="shared" si="30"/>
        <v>30779.007999999681</v>
      </c>
      <c r="K109" s="607">
        <f t="shared" si="30"/>
        <v>699971.5</v>
      </c>
      <c r="L109" s="649">
        <f t="shared" si="30"/>
        <v>205836</v>
      </c>
      <c r="M109" s="648">
        <f t="shared" si="30"/>
        <v>470336.9259999994</v>
      </c>
      <c r="N109" s="684">
        <f t="shared" si="30"/>
        <v>23798.574000000604</v>
      </c>
      <c r="O109" s="59"/>
      <c r="P109" s="801"/>
      <c r="Q109" s="801"/>
      <c r="R109" s="59"/>
      <c r="S109" s="801"/>
      <c r="T109" s="59"/>
      <c r="U109" s="59"/>
    </row>
    <row r="110" spans="1:24" ht="14.4" thickBot="1" x14ac:dyDescent="0.35">
      <c r="A110" s="687">
        <f t="shared" si="22"/>
        <v>80</v>
      </c>
      <c r="B110" s="695" t="s">
        <v>553</v>
      </c>
      <c r="C110" s="598"/>
      <c r="D110" s="752">
        <f>SUM(E110:F110)</f>
        <v>88000</v>
      </c>
      <c r="E110" s="599">
        <v>0</v>
      </c>
      <c r="F110" s="420">
        <f>SUM(G110:I110)</f>
        <v>88000</v>
      </c>
      <c r="G110" s="600"/>
      <c r="H110" s="601">
        <f>H73</f>
        <v>88000</v>
      </c>
      <c r="I110" s="599">
        <v>0</v>
      </c>
      <c r="J110" s="602"/>
      <c r="K110" s="603">
        <f>K73</f>
        <v>88000</v>
      </c>
      <c r="L110" s="599">
        <v>0</v>
      </c>
      <c r="M110" s="600">
        <f>M73</f>
        <v>88000</v>
      </c>
      <c r="N110" s="685"/>
      <c r="P110" s="801"/>
      <c r="Q110" s="801"/>
      <c r="S110" s="801"/>
    </row>
    <row r="111" spans="1:24" ht="14.4" thickBot="1" x14ac:dyDescent="0.35">
      <c r="A111" s="221">
        <f t="shared" si="22"/>
        <v>81</v>
      </c>
      <c r="B111" s="379" t="s">
        <v>70</v>
      </c>
      <c r="C111" s="368"/>
      <c r="D111" s="753">
        <f>D96+D109+D110</f>
        <v>3413461.0999999996</v>
      </c>
      <c r="E111" s="449">
        <f t="shared" ref="E111:N111" si="31">E96+E109+E110</f>
        <v>932163</v>
      </c>
      <c r="F111" s="650">
        <f>H111+I111+G111</f>
        <v>2450519.0920000002</v>
      </c>
      <c r="G111" s="596">
        <f t="shared" si="31"/>
        <v>2098621.0920000002</v>
      </c>
      <c r="H111" s="596">
        <f t="shared" si="31"/>
        <v>336898</v>
      </c>
      <c r="I111" s="596">
        <f t="shared" si="31"/>
        <v>15000</v>
      </c>
      <c r="J111" s="597">
        <f t="shared" si="31"/>
        <v>30779.007999999681</v>
      </c>
      <c r="K111" s="636">
        <f t="shared" si="31"/>
        <v>3228870.8000000003</v>
      </c>
      <c r="L111" s="640">
        <f>L96+L109+L110</f>
        <v>885354</v>
      </c>
      <c r="M111" s="449">
        <f>M96+M109+M110</f>
        <v>2319718.2259999998</v>
      </c>
      <c r="N111" s="637">
        <f t="shared" si="31"/>
        <v>23798.574000000604</v>
      </c>
      <c r="O111" s="59"/>
      <c r="P111" s="801"/>
      <c r="Q111" s="801"/>
      <c r="R111" s="59"/>
      <c r="S111" s="801"/>
      <c r="T111" s="59"/>
    </row>
    <row r="112" spans="1:24" ht="15" x14ac:dyDescent="0.3">
      <c r="A112" s="809"/>
      <c r="B112" s="797"/>
      <c r="C112" s="797"/>
      <c r="D112" s="798"/>
      <c r="E112" s="1661">
        <f>E111+F111</f>
        <v>3382682.0920000002</v>
      </c>
      <c r="F112" s="1676"/>
      <c r="G112" s="1656">
        <f>SUM(G111:I111)</f>
        <v>2450519.0920000002</v>
      </c>
      <c r="H112" s="1657"/>
      <c r="I112" s="1658"/>
      <c r="J112" s="799"/>
      <c r="K112" s="799"/>
      <c r="L112" s="1661">
        <f>SUM(L111:M111)</f>
        <v>3205072.2259999998</v>
      </c>
      <c r="M112" s="1662"/>
      <c r="N112" s="801"/>
      <c r="R112" s="59"/>
      <c r="S112" s="801"/>
      <c r="T112" s="59"/>
    </row>
    <row r="113" spans="1:20" x14ac:dyDescent="0.3">
      <c r="A113" s="429" t="s">
        <v>38</v>
      </c>
      <c r="D113" s="59"/>
      <c r="F113" s="59"/>
      <c r="G113" s="59"/>
      <c r="H113" s="533">
        <f>H96+H109+I109</f>
        <v>263898</v>
      </c>
      <c r="I113" s="816">
        <f>G109+H111+I111</f>
        <v>632479.0920000003</v>
      </c>
      <c r="J113" s="59">
        <f>I113+J109</f>
        <v>663258.1</v>
      </c>
      <c r="N113" s="59"/>
      <c r="R113" s="59"/>
      <c r="S113" s="801"/>
      <c r="T113" s="59"/>
    </row>
    <row r="114" spans="1:20" x14ac:dyDescent="0.3">
      <c r="A114" s="1" t="s">
        <v>39</v>
      </c>
      <c r="C114" s="1" t="s">
        <v>216</v>
      </c>
      <c r="G114" s="59"/>
      <c r="H114" s="59"/>
      <c r="R114" s="59"/>
      <c r="S114" s="59"/>
      <c r="T114" s="59"/>
    </row>
    <row r="115" spans="1:20" x14ac:dyDescent="0.3">
      <c r="A115" s="1" t="s">
        <v>166</v>
      </c>
      <c r="C115" s="1" t="s">
        <v>154</v>
      </c>
      <c r="G115" s="59"/>
      <c r="J115" s="59"/>
      <c r="R115" s="59"/>
      <c r="S115" s="59"/>
      <c r="T115" s="59"/>
    </row>
    <row r="116" spans="1:20" x14ac:dyDescent="0.3">
      <c r="A116" s="1" t="s">
        <v>69</v>
      </c>
      <c r="C116" s="1" t="s">
        <v>607</v>
      </c>
      <c r="R116" s="59"/>
      <c r="S116" s="59"/>
      <c r="T116" s="59"/>
    </row>
    <row r="117" spans="1:20" x14ac:dyDescent="0.3">
      <c r="C117" s="333"/>
      <c r="R117" s="59"/>
      <c r="S117" s="59"/>
      <c r="T117" s="59"/>
    </row>
    <row r="118" spans="1:20" x14ac:dyDescent="0.3">
      <c r="A118" s="1225" t="s">
        <v>614</v>
      </c>
      <c r="B118" s="1225"/>
      <c r="C118" s="1225"/>
      <c r="D118" s="1" t="s">
        <v>124</v>
      </c>
      <c r="E118" s="1" t="s">
        <v>125</v>
      </c>
      <c r="H118" s="6"/>
      <c r="I118" s="6"/>
      <c r="J118" s="6"/>
      <c r="K118" s="6"/>
      <c r="L118" s="6"/>
      <c r="R118" s="59"/>
      <c r="S118" s="59"/>
      <c r="T118" s="59"/>
    </row>
    <row r="119" spans="1:20" x14ac:dyDescent="0.3">
      <c r="A119" s="12"/>
      <c r="E119" s="535"/>
      <c r="F119" s="536"/>
      <c r="G119" s="431"/>
      <c r="J119" s="1" t="s">
        <v>127</v>
      </c>
      <c r="R119" s="59"/>
      <c r="S119" s="59"/>
      <c r="T119" s="59"/>
    </row>
    <row r="120" spans="1:20" x14ac:dyDescent="0.3">
      <c r="E120" s="431"/>
      <c r="G120" s="431"/>
      <c r="R120" s="59"/>
      <c r="S120" s="59"/>
      <c r="T120" s="59"/>
    </row>
    <row r="121" spans="1:20" x14ac:dyDescent="0.3">
      <c r="E121" s="431" t="s">
        <v>126</v>
      </c>
      <c r="G121" s="431"/>
      <c r="H121" s="6"/>
      <c r="I121" s="6"/>
      <c r="J121" s="6"/>
      <c r="K121" s="6"/>
      <c r="L121" s="6"/>
      <c r="R121" s="59"/>
      <c r="S121" s="59"/>
      <c r="T121" s="59"/>
    </row>
    <row r="122" spans="1:20" x14ac:dyDescent="0.3">
      <c r="E122" s="535"/>
      <c r="F122" s="536"/>
      <c r="G122" s="431"/>
      <c r="J122" s="1" t="s">
        <v>127</v>
      </c>
      <c r="R122" s="59"/>
      <c r="S122" s="59"/>
      <c r="T122" s="59"/>
    </row>
    <row r="123" spans="1:20" x14ac:dyDescent="0.3">
      <c r="F123" s="431"/>
      <c r="G123" s="431"/>
    </row>
    <row r="124" spans="1:20" x14ac:dyDescent="0.3">
      <c r="F124" s="431"/>
      <c r="G124" s="431"/>
    </row>
  </sheetData>
  <mergeCells count="30">
    <mergeCell ref="H77:I77"/>
    <mergeCell ref="E76:H76"/>
    <mergeCell ref="L45:N45"/>
    <mergeCell ref="E41:F41"/>
    <mergeCell ref="E112:F112"/>
    <mergeCell ref="G112:I112"/>
    <mergeCell ref="L112:M112"/>
    <mergeCell ref="D81:J81"/>
    <mergeCell ref="K81:N81"/>
    <mergeCell ref="E82:I82"/>
    <mergeCell ref="L82:N82"/>
    <mergeCell ref="G83:I83"/>
    <mergeCell ref="E83:E84"/>
    <mergeCell ref="E46:E47"/>
    <mergeCell ref="L46:L47"/>
    <mergeCell ref="L83:L84"/>
    <mergeCell ref="D4:G4"/>
    <mergeCell ref="H4:K4"/>
    <mergeCell ref="E5:F5"/>
    <mergeCell ref="G75:I75"/>
    <mergeCell ref="G46:I46"/>
    <mergeCell ref="E75:F75"/>
    <mergeCell ref="E45:I45"/>
    <mergeCell ref="K44:N44"/>
    <mergeCell ref="I5:J5"/>
    <mergeCell ref="D44:J44"/>
    <mergeCell ref="I41:J41"/>
    <mergeCell ref="L75:M75"/>
    <mergeCell ref="E6:E7"/>
    <mergeCell ref="I6:I7"/>
  </mergeCells>
  <phoneticPr fontId="0" type="noConversion"/>
  <pageMargins left="0.55118110236220474" right="0.31496062992125984" top="0.59055118110236227" bottom="0.19685039370078741" header="0.51181102362204722" footer="0.19685039370078741"/>
  <pageSetup paperSize="9" scale="85" orientation="landscape" horizontalDpi="300" verticalDpi="300" r:id="rId1"/>
  <headerFooter alignWithMargins="0">
    <oddFooter xml:space="preserve">&amp;C&amp;9 6 - 8&amp;10
</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3" tint="0.39997558519241921"/>
  </sheetPr>
  <dimension ref="A1:K42"/>
  <sheetViews>
    <sheetView showGridLines="0" tabSelected="1" zoomScaleNormal="100" workbookViewId="0"/>
  </sheetViews>
  <sheetFormatPr defaultRowHeight="13.2" x14ac:dyDescent="0.25"/>
  <cols>
    <col min="1" max="1" width="26.44140625" customWidth="1"/>
    <col min="2" max="2" width="10.6640625" customWidth="1"/>
    <col min="3" max="3" width="11.88671875" customWidth="1"/>
    <col min="4" max="4" width="12" style="1115" customWidth="1"/>
    <col min="5" max="5" width="10.33203125" customWidth="1"/>
    <col min="6" max="6" width="10.6640625" customWidth="1"/>
    <col min="7" max="7" width="11.33203125" customWidth="1"/>
    <col min="8" max="8" width="10.44140625" bestFit="1" customWidth="1"/>
    <col min="11" max="11" width="17.33203125" customWidth="1"/>
  </cols>
  <sheetData>
    <row r="1" spans="1:11" ht="16.2" thickBot="1" x14ac:dyDescent="0.35">
      <c r="A1" s="1551" t="s">
        <v>304</v>
      </c>
      <c r="C1" s="1588">
        <f>C2+B33+C33</f>
        <v>2450519.0920000002</v>
      </c>
    </row>
    <row r="2" spans="1:11" ht="13.8" thickBot="1" x14ac:dyDescent="0.3">
      <c r="A2" t="s">
        <v>441</v>
      </c>
      <c r="C2" s="1552">
        <v>88000</v>
      </c>
    </row>
    <row r="3" spans="1:11" ht="13.8" thickBot="1" x14ac:dyDescent="0.3">
      <c r="A3" s="740"/>
      <c r="C3" s="1553"/>
    </row>
    <row r="4" spans="1:11" x14ac:dyDescent="0.25">
      <c r="A4" s="740" t="s">
        <v>834</v>
      </c>
      <c r="C4" s="1554">
        <f>F33</f>
        <v>149029000</v>
      </c>
    </row>
    <row r="5" spans="1:11" ht="13.8" thickBot="1" x14ac:dyDescent="0.3">
      <c r="A5" s="740" t="s">
        <v>476</v>
      </c>
      <c r="C5" s="1555">
        <f>E33</f>
        <v>30779.007999999681</v>
      </c>
    </row>
    <row r="6" spans="1:11" ht="13.8" thickBot="1" x14ac:dyDescent="0.3">
      <c r="A6" s="1587" t="s">
        <v>582</v>
      </c>
      <c r="C6" s="1556">
        <f>D33</f>
        <v>932163.00023529411</v>
      </c>
    </row>
    <row r="7" spans="1:11" x14ac:dyDescent="0.25">
      <c r="A7" s="608"/>
      <c r="B7" s="761"/>
      <c r="C7" s="609"/>
    </row>
    <row r="8" spans="1:11" ht="13.8" thickBot="1" x14ac:dyDescent="0.3">
      <c r="A8" s="608"/>
      <c r="B8" s="761"/>
      <c r="C8" s="609"/>
    </row>
    <row r="9" spans="1:11" ht="12.75" customHeight="1" x14ac:dyDescent="0.25">
      <c r="A9" s="1682" t="s">
        <v>371</v>
      </c>
      <c r="B9" s="1677" t="s">
        <v>318</v>
      </c>
      <c r="C9" s="1678"/>
      <c r="D9" s="1545" t="s">
        <v>582</v>
      </c>
      <c r="E9" s="1545" t="s">
        <v>510</v>
      </c>
      <c r="F9" s="1364" t="s">
        <v>833</v>
      </c>
      <c r="G9" s="1679" t="s">
        <v>556</v>
      </c>
      <c r="H9" s="1680"/>
      <c r="I9" s="1680"/>
      <c r="J9" s="1680"/>
      <c r="K9" s="1681"/>
    </row>
    <row r="10" spans="1:11" ht="28.5" customHeight="1" thickBot="1" x14ac:dyDescent="0.3">
      <c r="A10" s="1683"/>
      <c r="B10" s="1546" t="s">
        <v>305</v>
      </c>
      <c r="C10" s="1547" t="s">
        <v>307</v>
      </c>
      <c r="D10" s="1547" t="s">
        <v>308</v>
      </c>
      <c r="E10" s="1547" t="s">
        <v>436</v>
      </c>
      <c r="F10" s="1548" t="s">
        <v>306</v>
      </c>
      <c r="G10" s="1544" t="s">
        <v>70</v>
      </c>
      <c r="H10" s="1549" t="s">
        <v>559</v>
      </c>
      <c r="I10" s="1549" t="s">
        <v>99</v>
      </c>
      <c r="J10" s="1549" t="s">
        <v>555</v>
      </c>
      <c r="K10" s="1550" t="s">
        <v>560</v>
      </c>
    </row>
    <row r="11" spans="1:11" ht="14.4" x14ac:dyDescent="0.3">
      <c r="A11" s="1181" t="s">
        <v>558</v>
      </c>
      <c r="B11" s="1176">
        <v>1</v>
      </c>
      <c r="C11" s="1171">
        <v>2</v>
      </c>
      <c r="D11" s="1172">
        <v>3</v>
      </c>
      <c r="E11" s="1171">
        <v>4</v>
      </c>
      <c r="F11" s="1171">
        <v>5</v>
      </c>
      <c r="G11" s="1174">
        <v>7</v>
      </c>
      <c r="H11" s="1173">
        <v>8</v>
      </c>
      <c r="I11" s="1173">
        <v>9</v>
      </c>
      <c r="J11" s="1173">
        <v>10</v>
      </c>
      <c r="K11" s="1175">
        <v>11</v>
      </c>
    </row>
    <row r="12" spans="1:11" x14ac:dyDescent="0.25">
      <c r="A12" s="1182" t="s">
        <v>7</v>
      </c>
      <c r="B12" s="1177">
        <f>'rozpis pro rozpocet'!G86+'rozpis pro rozpocet'!G103</f>
        <v>315008.09999999998</v>
      </c>
      <c r="C12" s="1106">
        <v>0</v>
      </c>
      <c r="D12" s="1116">
        <f>'rozpis pro rozpocet'!E86+'rozpis pro rozpocet'!E103</f>
        <v>92812</v>
      </c>
      <c r="E12" s="1106"/>
      <c r="F12" s="1106">
        <v>5083882</v>
      </c>
      <c r="G12" s="1161">
        <v>-8035.607052550884</v>
      </c>
      <c r="H12" s="1165"/>
      <c r="I12" s="1165"/>
      <c r="J12" s="1165"/>
      <c r="K12" s="1166"/>
    </row>
    <row r="13" spans="1:11" x14ac:dyDescent="0.25">
      <c r="A13" s="1182" t="s">
        <v>613</v>
      </c>
      <c r="B13" s="1177">
        <v>55996.7</v>
      </c>
      <c r="C13" s="1106">
        <v>21485</v>
      </c>
      <c r="D13" s="1116">
        <v>20248.000235294112</v>
      </c>
      <c r="E13" s="1106"/>
      <c r="F13" s="1106">
        <v>1599377</v>
      </c>
      <c r="G13" s="1161">
        <v>-1875.439757419063</v>
      </c>
      <c r="H13" s="1165"/>
      <c r="I13" s="1165"/>
      <c r="J13" s="1165"/>
      <c r="K13" s="1166"/>
    </row>
    <row r="14" spans="1:11" x14ac:dyDescent="0.25">
      <c r="A14" s="1183" t="s">
        <v>8</v>
      </c>
      <c r="B14" s="1178">
        <v>317858.5</v>
      </c>
      <c r="C14" s="741">
        <v>126</v>
      </c>
      <c r="D14" s="1117">
        <v>91249</v>
      </c>
      <c r="E14" s="741"/>
      <c r="F14" s="741">
        <v>7358858</v>
      </c>
      <c r="G14" s="1161">
        <v>-6193.0357857048812</v>
      </c>
      <c r="H14" s="1163"/>
      <c r="I14" s="1163"/>
      <c r="J14" s="1163"/>
      <c r="K14" s="1164"/>
    </row>
    <row r="15" spans="1:11" x14ac:dyDescent="0.25">
      <c r="A15" s="1183" t="s">
        <v>9</v>
      </c>
      <c r="B15" s="1178">
        <v>120541.4</v>
      </c>
      <c r="C15" s="741">
        <v>0</v>
      </c>
      <c r="D15" s="1117">
        <v>30297</v>
      </c>
      <c r="E15" s="741"/>
      <c r="F15" s="741">
        <v>2995270</v>
      </c>
      <c r="G15" s="1161">
        <v>-2079.0361555310792</v>
      </c>
      <c r="H15" s="1163"/>
      <c r="I15" s="1163"/>
      <c r="J15" s="1163"/>
      <c r="K15" s="1164"/>
    </row>
    <row r="16" spans="1:11" x14ac:dyDescent="0.25">
      <c r="A16" s="1183" t="s">
        <v>10</v>
      </c>
      <c r="B16" s="1178">
        <v>139942.79999999999</v>
      </c>
      <c r="C16" s="741">
        <v>0</v>
      </c>
      <c r="D16" s="1117">
        <v>61581</v>
      </c>
      <c r="E16" s="741"/>
      <c r="F16" s="741">
        <v>3455422</v>
      </c>
      <c r="G16" s="1161">
        <v>-2275.9506526057385</v>
      </c>
      <c r="H16" s="1163"/>
      <c r="I16" s="1163"/>
      <c r="J16" s="1163"/>
      <c r="K16" s="1164"/>
    </row>
    <row r="17" spans="1:11" x14ac:dyDescent="0.25">
      <c r="A17" s="1183" t="s">
        <v>11</v>
      </c>
      <c r="B17" s="1178">
        <v>315955.20000000001</v>
      </c>
      <c r="C17" s="741">
        <v>2000</v>
      </c>
      <c r="D17" s="1117">
        <v>323020</v>
      </c>
      <c r="E17" s="741"/>
      <c r="F17" s="741">
        <v>6402519</v>
      </c>
      <c r="G17" s="1161">
        <v>-9413.7283902598338</v>
      </c>
      <c r="H17" s="1163"/>
      <c r="I17" s="1163"/>
      <c r="J17" s="1163"/>
      <c r="K17" s="1164"/>
    </row>
    <row r="18" spans="1:11" x14ac:dyDescent="0.25">
      <c r="A18" s="1183" t="s">
        <v>12</v>
      </c>
      <c r="B18" s="1178">
        <v>116169.2</v>
      </c>
      <c r="C18" s="741">
        <v>46705</v>
      </c>
      <c r="D18" s="1117">
        <v>53314</v>
      </c>
      <c r="E18" s="741"/>
      <c r="F18" s="741">
        <v>5154982</v>
      </c>
      <c r="G18" s="1161">
        <v>-2910.5192920043951</v>
      </c>
      <c r="H18" s="1163"/>
      <c r="I18" s="1163"/>
      <c r="J18" s="1163"/>
      <c r="K18" s="1164"/>
    </row>
    <row r="19" spans="1:11" x14ac:dyDescent="0.25">
      <c r="A19" s="1183" t="s">
        <v>13</v>
      </c>
      <c r="B19" s="1178">
        <v>220081.9</v>
      </c>
      <c r="C19" s="741">
        <v>400</v>
      </c>
      <c r="D19" s="1117">
        <v>33318</v>
      </c>
      <c r="E19" s="741"/>
      <c r="F19" s="741">
        <v>9769721</v>
      </c>
      <c r="G19" s="1161">
        <v>-3101.4544659236308</v>
      </c>
      <c r="H19" s="1163"/>
      <c r="I19" s="1163"/>
      <c r="J19" s="1163"/>
      <c r="K19" s="1164"/>
    </row>
    <row r="20" spans="1:11" x14ac:dyDescent="0.25">
      <c r="A20" s="1183" t="s">
        <v>14</v>
      </c>
      <c r="B20" s="1178">
        <v>97923.3</v>
      </c>
      <c r="C20" s="741">
        <v>500</v>
      </c>
      <c r="D20" s="1117">
        <v>6157</v>
      </c>
      <c r="E20" s="741"/>
      <c r="F20" s="741">
        <v>1924555</v>
      </c>
      <c r="G20" s="1161">
        <v>-1831.3655942988903</v>
      </c>
      <c r="H20" s="1163"/>
      <c r="I20" s="1163"/>
      <c r="J20" s="1163"/>
      <c r="K20" s="1164"/>
    </row>
    <row r="21" spans="1:11" x14ac:dyDescent="0.25">
      <c r="A21" s="1183" t="s">
        <v>15</v>
      </c>
      <c r="B21" s="1178">
        <v>118931</v>
      </c>
      <c r="C21" s="741">
        <v>0</v>
      </c>
      <c r="D21" s="1117">
        <v>23204</v>
      </c>
      <c r="E21" s="741"/>
      <c r="F21" s="741">
        <v>2360520</v>
      </c>
      <c r="G21" s="1161">
        <v>-1938.6006196647932</v>
      </c>
      <c r="H21" s="1163"/>
      <c r="I21" s="1163"/>
      <c r="J21" s="1163"/>
      <c r="K21" s="1164"/>
    </row>
    <row r="22" spans="1:11" x14ac:dyDescent="0.25">
      <c r="A22" s="1183" t="s">
        <v>178</v>
      </c>
      <c r="B22" s="1178">
        <v>21905</v>
      </c>
      <c r="C22" s="741">
        <v>0</v>
      </c>
      <c r="D22" s="1117">
        <v>103860</v>
      </c>
      <c r="E22" s="741"/>
      <c r="F22" s="741">
        <v>150000</v>
      </c>
      <c r="G22" s="1161">
        <v>-3237.6997324392869</v>
      </c>
      <c r="H22" s="1163"/>
      <c r="I22" s="1163"/>
      <c r="J22" s="1163"/>
      <c r="K22" s="1164"/>
    </row>
    <row r="23" spans="1:11" x14ac:dyDescent="0.25">
      <c r="A23" s="1183" t="s">
        <v>239</v>
      </c>
      <c r="B23" s="1178">
        <v>0</v>
      </c>
      <c r="C23" s="741">
        <v>0</v>
      </c>
      <c r="D23" s="1117">
        <v>0</v>
      </c>
      <c r="E23" s="741"/>
      <c r="F23" s="741"/>
      <c r="G23" s="1161"/>
      <c r="H23" s="1160"/>
      <c r="I23" s="1160"/>
      <c r="J23" s="1160"/>
      <c r="K23" s="1162"/>
    </row>
    <row r="24" spans="1:11" x14ac:dyDescent="0.25">
      <c r="A24" s="1183" t="s">
        <v>68</v>
      </c>
      <c r="B24" s="1178">
        <v>0</v>
      </c>
      <c r="C24" s="741">
        <v>0</v>
      </c>
      <c r="D24" s="1117">
        <v>0</v>
      </c>
      <c r="E24" s="741"/>
      <c r="F24" s="741"/>
      <c r="G24" s="1161"/>
      <c r="H24" s="1160"/>
      <c r="I24" s="1160"/>
      <c r="J24" s="1160"/>
      <c r="K24" s="1162"/>
    </row>
    <row r="25" spans="1:11" x14ac:dyDescent="0.25">
      <c r="A25" s="1183" t="s">
        <v>1</v>
      </c>
      <c r="B25" s="1178">
        <v>0</v>
      </c>
      <c r="C25" s="741">
        <v>9595</v>
      </c>
      <c r="D25" s="1117">
        <v>0</v>
      </c>
      <c r="E25" s="741"/>
      <c r="F25" s="741"/>
      <c r="G25" s="1161"/>
      <c r="H25" s="1160"/>
      <c r="I25" s="1160"/>
      <c r="J25" s="1160"/>
      <c r="K25" s="1162"/>
    </row>
    <row r="26" spans="1:11" x14ac:dyDescent="0.25">
      <c r="A26" s="1183" t="s">
        <v>79</v>
      </c>
      <c r="B26" s="1178">
        <v>6500</v>
      </c>
      <c r="C26" s="741">
        <v>2000</v>
      </c>
      <c r="D26" s="1117">
        <v>0</v>
      </c>
      <c r="E26" s="741"/>
      <c r="F26" s="741"/>
      <c r="G26" s="1161"/>
      <c r="H26" s="1160"/>
      <c r="I26" s="1160"/>
      <c r="J26" s="1160"/>
      <c r="K26" s="1162"/>
    </row>
    <row r="27" spans="1:11" x14ac:dyDescent="0.25">
      <c r="A27" s="1183" t="s">
        <v>78</v>
      </c>
      <c r="B27" s="1178">
        <v>1000</v>
      </c>
      <c r="C27" s="741">
        <v>0</v>
      </c>
      <c r="D27" s="1117">
        <v>581</v>
      </c>
      <c r="E27" s="741"/>
      <c r="F27" s="741">
        <v>2500000</v>
      </c>
      <c r="G27" s="1161"/>
      <c r="H27" s="1160"/>
      <c r="I27" s="1160"/>
      <c r="J27" s="1160"/>
      <c r="K27" s="1162"/>
    </row>
    <row r="28" spans="1:11" x14ac:dyDescent="0.25">
      <c r="A28" s="1183" t="s">
        <v>122</v>
      </c>
      <c r="B28" s="1178">
        <v>0</v>
      </c>
      <c r="C28" s="741">
        <v>0</v>
      </c>
      <c r="D28" s="1117">
        <v>9179</v>
      </c>
      <c r="E28" s="741"/>
      <c r="F28" s="741">
        <v>4200000</v>
      </c>
      <c r="G28" s="1161"/>
      <c r="H28" s="1160"/>
      <c r="I28" s="1160"/>
      <c r="J28" s="1160"/>
      <c r="K28" s="1162"/>
    </row>
    <row r="29" spans="1:11" x14ac:dyDescent="0.25">
      <c r="A29" s="1183" t="s">
        <v>17</v>
      </c>
      <c r="B29" s="1178">
        <v>112952</v>
      </c>
      <c r="C29" s="741">
        <v>63660</v>
      </c>
      <c r="D29" s="1117">
        <v>7701</v>
      </c>
      <c r="E29" s="741"/>
      <c r="F29" s="741">
        <v>0</v>
      </c>
      <c r="G29" s="1161">
        <v>-657.56250159752597</v>
      </c>
      <c r="H29" s="1163"/>
      <c r="I29" s="1163"/>
      <c r="J29" s="1163"/>
      <c r="K29" s="1164"/>
    </row>
    <row r="30" spans="1:11" x14ac:dyDescent="0.25">
      <c r="A30" s="1183" t="s">
        <v>23</v>
      </c>
      <c r="B30" s="1178">
        <v>42899.999999999993</v>
      </c>
      <c r="C30" s="741">
        <v>0</v>
      </c>
      <c r="D30" s="1117">
        <v>897</v>
      </c>
      <c r="E30" s="741"/>
      <c r="F30" s="1117">
        <v>539000</v>
      </c>
      <c r="G30" s="1161"/>
      <c r="H30" s="1160"/>
      <c r="I30" s="1160"/>
      <c r="J30" s="1160"/>
      <c r="K30" s="1162"/>
    </row>
    <row r="31" spans="1:11" x14ac:dyDescent="0.25">
      <c r="A31" s="1183" t="s">
        <v>24</v>
      </c>
      <c r="B31" s="1178">
        <v>13200</v>
      </c>
      <c r="C31" s="741">
        <v>0</v>
      </c>
      <c r="D31" s="1117">
        <v>0</v>
      </c>
      <c r="E31" s="741"/>
      <c r="F31" s="1117">
        <v>41700000</v>
      </c>
      <c r="G31" s="1161"/>
      <c r="H31" s="1160"/>
      <c r="I31" s="1160"/>
      <c r="J31" s="1160"/>
      <c r="K31" s="1162"/>
    </row>
    <row r="32" spans="1:11" ht="13.8" thickBot="1" x14ac:dyDescent="0.3">
      <c r="A32" s="1184" t="s">
        <v>18</v>
      </c>
      <c r="B32" s="1179">
        <v>81755.992000000319</v>
      </c>
      <c r="C32" s="1107">
        <f>'rozpis pro rozpocet'!H108+'rozpis pro rozpocet'!I108</f>
        <v>117427</v>
      </c>
      <c r="D32" s="1108">
        <v>74745</v>
      </c>
      <c r="E32" s="1108">
        <v>30779.007999999681</v>
      </c>
      <c r="F32" s="1108">
        <v>53834894</v>
      </c>
      <c r="G32" s="1167"/>
      <c r="H32" s="1168"/>
      <c r="I32" s="1168"/>
      <c r="J32" s="1168"/>
      <c r="K32" s="1169"/>
    </row>
    <row r="33" spans="1:11" ht="13.8" thickBot="1" x14ac:dyDescent="0.3">
      <c r="A33" s="1185" t="s">
        <v>176</v>
      </c>
      <c r="B33" s="1180">
        <f t="shared" ref="B33:F33" si="0">SUM(B12:B32)</f>
        <v>2098621.0920000002</v>
      </c>
      <c r="C33" s="1109">
        <f t="shared" si="0"/>
        <v>263898</v>
      </c>
      <c r="D33" s="1118">
        <f t="shared" si="0"/>
        <v>932163.00023529411</v>
      </c>
      <c r="E33" s="1109">
        <f t="shared" si="0"/>
        <v>30779.007999999681</v>
      </c>
      <c r="F33" s="1109">
        <f t="shared" si="0"/>
        <v>149029000</v>
      </c>
      <c r="G33" s="1170">
        <f t="shared" ref="G33:K33" si="1">SUM(G12:G32)</f>
        <v>-43549.999999999993</v>
      </c>
      <c r="H33" s="1186">
        <f t="shared" si="1"/>
        <v>0</v>
      </c>
      <c r="I33" s="1186">
        <f t="shared" si="1"/>
        <v>0</v>
      </c>
      <c r="J33" s="1186">
        <f t="shared" si="1"/>
        <v>0</v>
      </c>
      <c r="K33" s="1187">
        <f t="shared" si="1"/>
        <v>0</v>
      </c>
    </row>
    <row r="35" spans="1:11" x14ac:dyDescent="0.25">
      <c r="A35" s="756" t="s">
        <v>309</v>
      </c>
      <c r="B35" s="741">
        <f>SUM(B36:B39)</f>
        <v>81755.992000000319</v>
      </c>
      <c r="C35" s="741">
        <f>SUM(C36:C39)</f>
        <v>117427</v>
      </c>
      <c r="D35" s="1117">
        <f>SUM(D36:D39)</f>
        <v>74745</v>
      </c>
      <c r="E35" s="741">
        <f>SUM(E36:E39)</f>
        <v>30779.007999999681</v>
      </c>
      <c r="F35" s="741">
        <f>SUM(F36:F39)</f>
        <v>53834894</v>
      </c>
      <c r="G35" s="741">
        <f>G32</f>
        <v>0</v>
      </c>
    </row>
    <row r="36" spans="1:11" x14ac:dyDescent="0.25">
      <c r="A36" s="757" t="s">
        <v>590</v>
      </c>
      <c r="B36" s="758"/>
      <c r="C36" s="758"/>
      <c r="D36" s="1119">
        <f>'rozpis pro rozpocet'!E71</f>
        <v>62000</v>
      </c>
      <c r="E36" s="758"/>
      <c r="F36" s="758"/>
      <c r="G36" s="758"/>
    </row>
    <row r="37" spans="1:11" x14ac:dyDescent="0.25">
      <c r="A37" s="757" t="s">
        <v>317</v>
      </c>
      <c r="B37" s="758"/>
      <c r="C37" s="758"/>
      <c r="D37" s="1119"/>
      <c r="E37" s="758"/>
      <c r="F37" s="758"/>
      <c r="G37" s="758"/>
    </row>
    <row r="38" spans="1:11" x14ac:dyDescent="0.25">
      <c r="A38" s="757" t="s">
        <v>437</v>
      </c>
      <c r="B38" s="758"/>
      <c r="C38" s="758">
        <v>15000</v>
      </c>
      <c r="D38" s="1119"/>
      <c r="E38" s="758"/>
      <c r="F38" s="758"/>
      <c r="G38" s="758"/>
    </row>
    <row r="39" spans="1:11" x14ac:dyDescent="0.25">
      <c r="A39" s="757" t="s">
        <v>589</v>
      </c>
      <c r="B39" s="758">
        <f>B32</f>
        <v>81755.992000000319</v>
      </c>
      <c r="C39" s="758">
        <f>C32-C38</f>
        <v>102427</v>
      </c>
      <c r="D39" s="1119">
        <f>D32-D36</f>
        <v>12745</v>
      </c>
      <c r="E39" s="758">
        <f>E32-E36</f>
        <v>30779.007999999681</v>
      </c>
      <c r="F39" s="758">
        <f>F32-F36</f>
        <v>53834894</v>
      </c>
      <c r="G39" s="758">
        <f>G35-G37</f>
        <v>0</v>
      </c>
    </row>
    <row r="40" spans="1:11" x14ac:dyDescent="0.25">
      <c r="A40" s="762" t="s">
        <v>835</v>
      </c>
    </row>
    <row r="41" spans="1:11" x14ac:dyDescent="0.25">
      <c r="A41" s="762" t="s">
        <v>557</v>
      </c>
    </row>
    <row r="42" spans="1:11" x14ac:dyDescent="0.25">
      <c r="A42" s="1189" t="s">
        <v>561</v>
      </c>
    </row>
  </sheetData>
  <mergeCells count="3">
    <mergeCell ref="B9:C9"/>
    <mergeCell ref="G9:K9"/>
    <mergeCell ref="A9:A10"/>
  </mergeCells>
  <pageMargins left="0.7" right="0.7" top="0.78740157499999996" bottom="0.78740157499999996" header="0.3" footer="0.3"/>
  <pageSetup paperSize="9" scale="91"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L188"/>
  <sheetViews>
    <sheetView showGridLines="0" zoomScale="140" zoomScaleNormal="140" workbookViewId="0">
      <pane ySplit="5" topLeftCell="A6" activePane="bottomLeft" state="frozen"/>
      <selection activeCell="J26" sqref="J26"/>
      <selection pane="bottomLeft"/>
    </sheetView>
  </sheetViews>
  <sheetFormatPr defaultColWidth="11.44140625" defaultRowHeight="12" customHeight="1" outlineLevelRow="1" x14ac:dyDescent="0.25"/>
  <cols>
    <col min="1" max="2" width="5.33203125" style="840" customWidth="1"/>
    <col min="3" max="3" width="9.5546875" style="841" customWidth="1"/>
    <col min="4" max="4" width="43.44140625" style="829" customWidth="1"/>
    <col min="5" max="9" width="10.5546875" style="980" customWidth="1"/>
    <col min="10" max="10" width="6.6640625" style="840" customWidth="1"/>
    <col min="11" max="11" width="7.44140625" style="1003" customWidth="1"/>
    <col min="12" max="12" width="40.33203125" style="834" customWidth="1"/>
    <col min="13" max="16384" width="11.44140625" style="829"/>
  </cols>
  <sheetData>
    <row r="1" spans="1:11" ht="15.6" x14ac:dyDescent="0.3">
      <c r="A1" s="826" t="s">
        <v>608</v>
      </c>
      <c r="B1" s="827"/>
      <c r="C1" s="828"/>
      <c r="E1" s="830"/>
      <c r="F1" s="830"/>
      <c r="G1" s="830"/>
      <c r="H1" s="830"/>
      <c r="I1" s="830"/>
      <c r="J1" s="832"/>
      <c r="K1" s="833"/>
    </row>
    <row r="2" spans="1:11" ht="12" customHeight="1" x14ac:dyDescent="0.3">
      <c r="A2" s="835" t="s">
        <v>595</v>
      </c>
      <c r="B2" s="836"/>
      <c r="C2" s="837"/>
      <c r="D2" s="831"/>
      <c r="E2" s="838"/>
      <c r="F2" s="838"/>
      <c r="G2" s="838"/>
      <c r="H2" s="838"/>
      <c r="I2" s="838"/>
      <c r="J2" s="831"/>
      <c r="K2" s="839"/>
    </row>
    <row r="3" spans="1:11" ht="12" customHeight="1" thickBot="1" x14ac:dyDescent="0.3">
      <c r="E3" s="843"/>
      <c r="F3" s="843"/>
      <c r="G3" s="843"/>
      <c r="H3" s="843"/>
      <c r="I3" s="843"/>
      <c r="J3" s="844"/>
      <c r="K3" s="844"/>
    </row>
    <row r="4" spans="1:11" ht="12" customHeight="1" x14ac:dyDescent="0.25">
      <c r="A4" s="845"/>
      <c r="B4" s="846"/>
      <c r="C4" s="847"/>
      <c r="D4" s="848"/>
      <c r="E4" s="1125" t="s">
        <v>25</v>
      </c>
      <c r="F4" s="1125" t="s">
        <v>25</v>
      </c>
      <c r="G4" s="1125" t="s">
        <v>25</v>
      </c>
      <c r="H4" s="1125" t="s">
        <v>25</v>
      </c>
      <c r="I4" s="1037" t="s">
        <v>25</v>
      </c>
      <c r="J4" s="849"/>
      <c r="K4" s="850"/>
    </row>
    <row r="5" spans="1:11" ht="12" customHeight="1" thickBot="1" x14ac:dyDescent="0.3">
      <c r="A5" s="851" t="s">
        <v>26</v>
      </c>
      <c r="B5" s="852" t="s">
        <v>370</v>
      </c>
      <c r="C5" s="853" t="s">
        <v>371</v>
      </c>
      <c r="D5" s="854" t="s">
        <v>27</v>
      </c>
      <c r="E5" s="1126">
        <v>2017</v>
      </c>
      <c r="F5" s="1126">
        <v>2018</v>
      </c>
      <c r="G5" s="1126">
        <v>2019</v>
      </c>
      <c r="H5" s="1126">
        <v>2020</v>
      </c>
      <c r="I5" s="1038">
        <v>2021</v>
      </c>
      <c r="J5" s="855" t="s">
        <v>361</v>
      </c>
      <c r="K5" s="856" t="s">
        <v>368</v>
      </c>
    </row>
    <row r="6" spans="1:11" ht="12" customHeight="1" x14ac:dyDescent="0.25">
      <c r="A6" s="857" t="s">
        <v>373</v>
      </c>
      <c r="B6" s="858" t="s">
        <v>224</v>
      </c>
      <c r="C6" s="859" t="s">
        <v>16</v>
      </c>
      <c r="D6" s="860" t="s">
        <v>149</v>
      </c>
      <c r="E6" s="1029">
        <v>91332</v>
      </c>
      <c r="F6" s="1029">
        <v>123830</v>
      </c>
      <c r="G6" s="1029">
        <v>114130</v>
      </c>
      <c r="H6" s="1029">
        <f>H7+H12+H13+H20</f>
        <v>114220</v>
      </c>
      <c r="I6" s="861">
        <f>I7+I12+I13+I20</f>
        <v>120740</v>
      </c>
      <c r="J6" s="862"/>
      <c r="K6" s="861"/>
    </row>
    <row r="7" spans="1:11" ht="12" customHeight="1" x14ac:dyDescent="0.25">
      <c r="A7" s="863">
        <v>1</v>
      </c>
      <c r="B7" s="864" t="s">
        <v>224</v>
      </c>
      <c r="C7" s="865"/>
      <c r="D7" s="866" t="s">
        <v>138</v>
      </c>
      <c r="E7" s="1026">
        <v>88000</v>
      </c>
      <c r="F7" s="1026">
        <v>121000</v>
      </c>
      <c r="G7" s="1026">
        <v>88000</v>
      </c>
      <c r="H7" s="1026">
        <f>SUM(H8:H11)</f>
        <v>88000</v>
      </c>
      <c r="I7" s="867">
        <f>SUM(I8:I11)</f>
        <v>88000</v>
      </c>
      <c r="J7" s="868"/>
      <c r="K7" s="869"/>
    </row>
    <row r="8" spans="1:11" ht="12" customHeight="1" outlineLevel="1" x14ac:dyDescent="0.25">
      <c r="A8" s="870" t="s">
        <v>134</v>
      </c>
      <c r="B8" s="871" t="s">
        <v>224</v>
      </c>
      <c r="C8" s="872" t="s">
        <v>372</v>
      </c>
      <c r="D8" s="873" t="s">
        <v>89</v>
      </c>
      <c r="E8" s="1050"/>
      <c r="F8" s="1050"/>
      <c r="G8" s="1050"/>
      <c r="H8" s="1050"/>
      <c r="I8" s="874"/>
      <c r="J8" s="876"/>
      <c r="K8" s="877"/>
    </row>
    <row r="9" spans="1:11" ht="12" customHeight="1" outlineLevel="1" x14ac:dyDescent="0.25">
      <c r="A9" s="870" t="s">
        <v>135</v>
      </c>
      <c r="B9" s="871" t="s">
        <v>224</v>
      </c>
      <c r="C9" s="872" t="s">
        <v>372</v>
      </c>
      <c r="D9" s="873" t="s">
        <v>636</v>
      </c>
      <c r="E9" s="1050"/>
      <c r="F9" s="1050"/>
      <c r="G9" s="1050"/>
      <c r="H9" s="1050"/>
      <c r="I9" s="874"/>
      <c r="J9" s="876"/>
      <c r="K9" s="877"/>
    </row>
    <row r="10" spans="1:11" ht="12" customHeight="1" outlineLevel="1" x14ac:dyDescent="0.25">
      <c r="A10" s="870" t="s">
        <v>139</v>
      </c>
      <c r="B10" s="871" t="s">
        <v>224</v>
      </c>
      <c r="C10" s="872" t="s">
        <v>372</v>
      </c>
      <c r="D10" s="873" t="s">
        <v>241</v>
      </c>
      <c r="E10" s="1050">
        <v>88000</v>
      </c>
      <c r="F10" s="1050">
        <v>88000</v>
      </c>
      <c r="G10" s="1050">
        <v>88000</v>
      </c>
      <c r="H10" s="1050">
        <v>88000</v>
      </c>
      <c r="I10" s="874">
        <v>88000</v>
      </c>
      <c r="J10" s="876"/>
      <c r="K10" s="877"/>
    </row>
    <row r="11" spans="1:11" ht="12" customHeight="1" outlineLevel="1" x14ac:dyDescent="0.25">
      <c r="A11" s="870" t="s">
        <v>140</v>
      </c>
      <c r="B11" s="871" t="s">
        <v>224</v>
      </c>
      <c r="C11" s="872" t="s">
        <v>372</v>
      </c>
      <c r="D11" s="873" t="s">
        <v>186</v>
      </c>
      <c r="E11" s="1050"/>
      <c r="F11" s="1050">
        <v>33000</v>
      </c>
      <c r="G11" s="1050"/>
      <c r="H11" s="1050"/>
      <c r="I11" s="874"/>
      <c r="J11" s="876"/>
      <c r="K11" s="877"/>
    </row>
    <row r="12" spans="1:11" ht="12" customHeight="1" x14ac:dyDescent="0.25">
      <c r="A12" s="863">
        <v>2</v>
      </c>
      <c r="B12" s="864" t="s">
        <v>224</v>
      </c>
      <c r="C12" s="865"/>
      <c r="D12" s="866" t="s">
        <v>90</v>
      </c>
      <c r="E12" s="1026"/>
      <c r="F12" s="1026"/>
      <c r="G12" s="1026"/>
      <c r="H12" s="1026"/>
      <c r="I12" s="867"/>
      <c r="J12" s="868"/>
      <c r="K12" s="869"/>
    </row>
    <row r="13" spans="1:11" ht="12" customHeight="1" x14ac:dyDescent="0.25">
      <c r="A13" s="863">
        <v>3</v>
      </c>
      <c r="B13" s="864" t="s">
        <v>224</v>
      </c>
      <c r="C13" s="865"/>
      <c r="D13" s="866" t="s">
        <v>201</v>
      </c>
      <c r="E13" s="1027">
        <v>3332</v>
      </c>
      <c r="F13" s="1027">
        <v>2830</v>
      </c>
      <c r="G13" s="1027">
        <v>26130</v>
      </c>
      <c r="H13" s="1027">
        <f>SUM(H14:H19)</f>
        <v>26220</v>
      </c>
      <c r="I13" s="878">
        <f>SUM(I14:I19)</f>
        <v>32740</v>
      </c>
      <c r="J13" s="879"/>
      <c r="K13" s="880"/>
    </row>
    <row r="14" spans="1:11" ht="12" customHeight="1" outlineLevel="1" x14ac:dyDescent="0.25">
      <c r="A14" s="881" t="s">
        <v>310</v>
      </c>
      <c r="B14" s="871" t="s">
        <v>224</v>
      </c>
      <c r="C14" s="872" t="s">
        <v>376</v>
      </c>
      <c r="D14" s="882" t="s">
        <v>391</v>
      </c>
      <c r="E14" s="1051">
        <v>670</v>
      </c>
      <c r="F14" s="1051">
        <v>670</v>
      </c>
      <c r="G14" s="1051">
        <v>670</v>
      </c>
      <c r="H14" s="1051">
        <v>670</v>
      </c>
      <c r="I14" s="1248">
        <v>600</v>
      </c>
      <c r="J14" s="886"/>
      <c r="K14" s="887"/>
    </row>
    <row r="15" spans="1:11" ht="12" customHeight="1" outlineLevel="1" x14ac:dyDescent="0.25">
      <c r="A15" s="881" t="s">
        <v>311</v>
      </c>
      <c r="B15" s="871" t="s">
        <v>224</v>
      </c>
      <c r="C15" s="872" t="s">
        <v>377</v>
      </c>
      <c r="D15" s="882" t="s">
        <v>391</v>
      </c>
      <c r="E15" s="1051">
        <v>10</v>
      </c>
      <c r="F15" s="1051">
        <v>10</v>
      </c>
      <c r="G15" s="1051">
        <v>10</v>
      </c>
      <c r="H15" s="1051">
        <v>0</v>
      </c>
      <c r="I15" s="1248">
        <v>0</v>
      </c>
      <c r="J15" s="884"/>
      <c r="K15" s="885"/>
    </row>
    <row r="16" spans="1:11" ht="12" customHeight="1" outlineLevel="1" x14ac:dyDescent="0.25">
      <c r="A16" s="881" t="s">
        <v>312</v>
      </c>
      <c r="B16" s="871" t="s">
        <v>224</v>
      </c>
      <c r="C16" s="872" t="s">
        <v>379</v>
      </c>
      <c r="D16" s="882" t="s">
        <v>391</v>
      </c>
      <c r="E16" s="1051">
        <v>150</v>
      </c>
      <c r="F16" s="1051">
        <v>150</v>
      </c>
      <c r="G16" s="1051">
        <v>250</v>
      </c>
      <c r="H16" s="1051">
        <v>250</v>
      </c>
      <c r="I16" s="1248">
        <v>630</v>
      </c>
      <c r="J16" s="884"/>
      <c r="K16" s="885"/>
    </row>
    <row r="17" spans="1:12" ht="12" customHeight="1" outlineLevel="1" x14ac:dyDescent="0.25">
      <c r="A17" s="881" t="s">
        <v>313</v>
      </c>
      <c r="B17" s="871" t="s">
        <v>224</v>
      </c>
      <c r="C17" s="872" t="s">
        <v>380</v>
      </c>
      <c r="D17" s="882" t="s">
        <v>391</v>
      </c>
      <c r="E17" s="1051"/>
      <c r="F17" s="1051"/>
      <c r="G17" s="1051">
        <v>23000</v>
      </c>
      <c r="H17" s="1051">
        <v>23000</v>
      </c>
      <c r="I17" s="1248">
        <v>29000</v>
      </c>
      <c r="J17" s="884"/>
      <c r="K17" s="885"/>
    </row>
    <row r="18" spans="1:12" ht="12" customHeight="1" outlineLevel="1" x14ac:dyDescent="0.25">
      <c r="A18" s="881" t="s">
        <v>314</v>
      </c>
      <c r="B18" s="871" t="s">
        <v>224</v>
      </c>
      <c r="C18" s="872" t="s">
        <v>381</v>
      </c>
      <c r="D18" s="882" t="s">
        <v>391</v>
      </c>
      <c r="E18" s="1051">
        <v>2</v>
      </c>
      <c r="F18" s="1051">
        <v>0</v>
      </c>
      <c r="G18" s="1051">
        <v>0</v>
      </c>
      <c r="H18" s="1051">
        <v>0</v>
      </c>
      <c r="I18" s="1248">
        <v>0</v>
      </c>
      <c r="J18" s="886"/>
      <c r="K18" s="887"/>
    </row>
    <row r="19" spans="1:12" ht="12" customHeight="1" outlineLevel="1" x14ac:dyDescent="0.25">
      <c r="A19" s="881" t="s">
        <v>315</v>
      </c>
      <c r="B19" s="871" t="s">
        <v>224</v>
      </c>
      <c r="C19" s="872" t="s">
        <v>372</v>
      </c>
      <c r="D19" s="882" t="s">
        <v>391</v>
      </c>
      <c r="E19" s="1051">
        <v>2500</v>
      </c>
      <c r="F19" s="1051">
        <v>2000</v>
      </c>
      <c r="G19" s="1051">
        <v>2200</v>
      </c>
      <c r="H19" s="1051">
        <v>2300</v>
      </c>
      <c r="I19" s="883">
        <v>2510</v>
      </c>
      <c r="J19" s="884"/>
      <c r="K19" s="885"/>
    </row>
    <row r="20" spans="1:12" s="961" customFormat="1" ht="12" customHeight="1" thickBot="1" x14ac:dyDescent="0.25">
      <c r="A20" s="888">
        <v>4</v>
      </c>
      <c r="B20" s="889" t="s">
        <v>224</v>
      </c>
      <c r="C20" s="890" t="s">
        <v>372</v>
      </c>
      <c r="D20" s="890" t="s">
        <v>202</v>
      </c>
      <c r="E20" s="1028"/>
      <c r="F20" s="1028"/>
      <c r="G20" s="1028"/>
      <c r="H20" s="1028"/>
      <c r="I20" s="892"/>
      <c r="J20" s="891"/>
      <c r="K20" s="893"/>
      <c r="L20" s="834"/>
    </row>
    <row r="21" spans="1:12" ht="12" customHeight="1" x14ac:dyDescent="0.25">
      <c r="A21" s="894" t="s">
        <v>373</v>
      </c>
      <c r="B21" s="895" t="s">
        <v>263</v>
      </c>
      <c r="C21" s="896" t="s">
        <v>16</v>
      </c>
      <c r="D21" s="897" t="s">
        <v>438</v>
      </c>
      <c r="E21" s="1030">
        <f>E85+E91+E93+E96+E98+E102+E104+E106+E108+E110+E113+E115+E117+E119+E143+E145</f>
        <v>201826</v>
      </c>
      <c r="F21" s="1030">
        <v>210232.25</v>
      </c>
      <c r="G21" s="1030">
        <v>212103</v>
      </c>
      <c r="H21" s="1030">
        <f>H85+H91+H93+H96+H98+H102+H104+H106+H108+H110+H113+H115+H117+H119+H143+H145</f>
        <v>226656</v>
      </c>
      <c r="I21" s="898">
        <f>I85++I87+I91+I93+I96+I98+I102+I104+I106+I108+I110+I113+I115+I117+I119+I143+I145</f>
        <v>237163</v>
      </c>
      <c r="J21" s="899"/>
      <c r="K21" s="900"/>
    </row>
    <row r="22" spans="1:12" ht="12" customHeight="1" x14ac:dyDescent="0.25">
      <c r="A22" s="901">
        <v>2</v>
      </c>
      <c r="B22" s="902" t="s">
        <v>263</v>
      </c>
      <c r="C22" s="872" t="s">
        <v>372</v>
      </c>
      <c r="D22" s="873" t="s">
        <v>83</v>
      </c>
      <c r="E22" s="1050">
        <v>7050</v>
      </c>
      <c r="F22" s="1050">
        <v>7050</v>
      </c>
      <c r="G22" s="1050">
        <v>6900</v>
      </c>
      <c r="H22" s="1050">
        <v>8500</v>
      </c>
      <c r="I22" s="1245">
        <v>8500</v>
      </c>
      <c r="J22" s="903" t="s">
        <v>425</v>
      </c>
      <c r="K22" s="904" t="s">
        <v>187</v>
      </c>
      <c r="L22" s="1010"/>
    </row>
    <row r="23" spans="1:12" s="842" customFormat="1" ht="12" customHeight="1" x14ac:dyDescent="0.25">
      <c r="A23" s="901">
        <f>A22+1</f>
        <v>3</v>
      </c>
      <c r="B23" s="902" t="s">
        <v>263</v>
      </c>
      <c r="C23" s="872" t="s">
        <v>372</v>
      </c>
      <c r="D23" s="905" t="s">
        <v>82</v>
      </c>
      <c r="E23" s="1050">
        <v>1600</v>
      </c>
      <c r="F23" s="1050">
        <v>1900</v>
      </c>
      <c r="G23" s="1050">
        <v>2000</v>
      </c>
      <c r="H23" s="1050">
        <v>1800</v>
      </c>
      <c r="I23" s="1245">
        <v>1100</v>
      </c>
      <c r="J23" s="903" t="s">
        <v>426</v>
      </c>
      <c r="K23" s="904" t="s">
        <v>502</v>
      </c>
      <c r="L23" s="1011"/>
    </row>
    <row r="24" spans="1:12" ht="12" customHeight="1" x14ac:dyDescent="0.25">
      <c r="A24" s="901">
        <f>A23+1</f>
        <v>4</v>
      </c>
      <c r="B24" s="902" t="s">
        <v>263</v>
      </c>
      <c r="C24" s="872" t="s">
        <v>372</v>
      </c>
      <c r="D24" s="905" t="s">
        <v>74</v>
      </c>
      <c r="E24" s="1050">
        <v>900</v>
      </c>
      <c r="F24" s="1050">
        <v>900</v>
      </c>
      <c r="G24" s="1050">
        <v>1300</v>
      </c>
      <c r="H24" s="1050">
        <v>1300</v>
      </c>
      <c r="I24" s="1245">
        <v>1300</v>
      </c>
      <c r="J24" s="903" t="s">
        <v>319</v>
      </c>
      <c r="K24" s="904" t="s">
        <v>187</v>
      </c>
      <c r="L24" s="1012"/>
    </row>
    <row r="25" spans="1:12" ht="12" customHeight="1" x14ac:dyDescent="0.25">
      <c r="A25" s="901">
        <f t="shared" ref="A25:A53" si="0">A24+1</f>
        <v>5</v>
      </c>
      <c r="B25" s="902" t="s">
        <v>263</v>
      </c>
      <c r="C25" s="872" t="s">
        <v>372</v>
      </c>
      <c r="D25" s="873" t="s">
        <v>131</v>
      </c>
      <c r="E25" s="1050">
        <v>8800</v>
      </c>
      <c r="F25" s="1050">
        <v>8000</v>
      </c>
      <c r="G25" s="1050">
        <v>0</v>
      </c>
      <c r="H25" s="1050">
        <v>0</v>
      </c>
      <c r="I25" s="1245">
        <v>0</v>
      </c>
      <c r="J25" s="903" t="s">
        <v>320</v>
      </c>
      <c r="K25" s="904" t="s">
        <v>188</v>
      </c>
      <c r="L25" s="1012"/>
    </row>
    <row r="26" spans="1:12" ht="12" customHeight="1" x14ac:dyDescent="0.25">
      <c r="A26" s="901">
        <f t="shared" si="0"/>
        <v>6</v>
      </c>
      <c r="B26" s="902" t="s">
        <v>263</v>
      </c>
      <c r="C26" s="872" t="s">
        <v>372</v>
      </c>
      <c r="D26" s="905" t="s">
        <v>75</v>
      </c>
      <c r="E26" s="1050">
        <v>2430</v>
      </c>
      <c r="F26" s="1050">
        <v>1200</v>
      </c>
      <c r="G26" s="1050">
        <v>1100</v>
      </c>
      <c r="H26" s="1050">
        <v>1100</v>
      </c>
      <c r="I26" s="1245">
        <v>1100</v>
      </c>
      <c r="J26" s="903" t="s">
        <v>321</v>
      </c>
      <c r="K26" s="904" t="s">
        <v>502</v>
      </c>
      <c r="L26" s="1012"/>
    </row>
    <row r="27" spans="1:12" ht="12" customHeight="1" x14ac:dyDescent="0.25">
      <c r="A27" s="901">
        <f t="shared" si="0"/>
        <v>7</v>
      </c>
      <c r="B27" s="902" t="s">
        <v>263</v>
      </c>
      <c r="C27" s="872" t="s">
        <v>372</v>
      </c>
      <c r="D27" s="873" t="s">
        <v>517</v>
      </c>
      <c r="E27" s="1050">
        <v>450</v>
      </c>
      <c r="F27" s="1050">
        <v>670</v>
      </c>
      <c r="G27" s="1050">
        <v>670</v>
      </c>
      <c r="H27" s="1050">
        <v>750</v>
      </c>
      <c r="I27" s="1245">
        <v>980</v>
      </c>
      <c r="J27" s="903" t="s">
        <v>322</v>
      </c>
      <c r="K27" s="904" t="s">
        <v>503</v>
      </c>
      <c r="L27" s="1012"/>
    </row>
    <row r="28" spans="1:12" ht="12" customHeight="1" x14ac:dyDescent="0.25">
      <c r="A28" s="901">
        <f t="shared" si="0"/>
        <v>8</v>
      </c>
      <c r="B28" s="902" t="s">
        <v>263</v>
      </c>
      <c r="C28" s="872" t="s">
        <v>372</v>
      </c>
      <c r="D28" s="905" t="s">
        <v>84</v>
      </c>
      <c r="E28" s="1050">
        <v>300</v>
      </c>
      <c r="F28" s="1050">
        <v>350</v>
      </c>
      <c r="G28" s="1050">
        <v>770</v>
      </c>
      <c r="H28" s="1050">
        <v>810</v>
      </c>
      <c r="I28" s="1245">
        <v>795</v>
      </c>
      <c r="J28" s="903" t="s">
        <v>323</v>
      </c>
      <c r="K28" s="904" t="s">
        <v>503</v>
      </c>
      <c r="L28" s="1012"/>
    </row>
    <row r="29" spans="1:12" ht="12" customHeight="1" x14ac:dyDescent="0.25">
      <c r="A29" s="901">
        <f t="shared" si="0"/>
        <v>9</v>
      </c>
      <c r="B29" s="902" t="s">
        <v>263</v>
      </c>
      <c r="C29" s="872" t="s">
        <v>372</v>
      </c>
      <c r="D29" s="905" t="s">
        <v>518</v>
      </c>
      <c r="E29" s="1050">
        <v>100</v>
      </c>
      <c r="F29" s="1050">
        <v>50</v>
      </c>
      <c r="G29" s="1050">
        <v>50</v>
      </c>
      <c r="H29" s="1050">
        <v>30</v>
      </c>
      <c r="I29" s="1245">
        <v>400</v>
      </c>
      <c r="J29" s="903" t="s">
        <v>324</v>
      </c>
      <c r="K29" s="904" t="s">
        <v>502</v>
      </c>
      <c r="L29" s="1012"/>
    </row>
    <row r="30" spans="1:12" ht="12" customHeight="1" x14ac:dyDescent="0.25">
      <c r="A30" s="901">
        <f t="shared" si="0"/>
        <v>10</v>
      </c>
      <c r="B30" s="902" t="s">
        <v>263</v>
      </c>
      <c r="C30" s="872" t="s">
        <v>372</v>
      </c>
      <c r="D30" s="873" t="s">
        <v>85</v>
      </c>
      <c r="E30" s="1050">
        <v>500</v>
      </c>
      <c r="F30" s="1050">
        <v>500</v>
      </c>
      <c r="G30" s="1050">
        <v>500</v>
      </c>
      <c r="H30" s="1050">
        <v>500</v>
      </c>
      <c r="I30" s="1245">
        <v>500</v>
      </c>
      <c r="J30" s="903" t="s">
        <v>325</v>
      </c>
      <c r="K30" s="904" t="s">
        <v>362</v>
      </c>
      <c r="L30" s="1012"/>
    </row>
    <row r="31" spans="1:12" ht="12" customHeight="1" x14ac:dyDescent="0.25">
      <c r="A31" s="901">
        <f t="shared" si="0"/>
        <v>11</v>
      </c>
      <c r="B31" s="902" t="s">
        <v>263</v>
      </c>
      <c r="C31" s="872" t="s">
        <v>372</v>
      </c>
      <c r="D31" s="906" t="s">
        <v>132</v>
      </c>
      <c r="E31" s="1050">
        <v>1085</v>
      </c>
      <c r="F31" s="1050">
        <v>1200</v>
      </c>
      <c r="G31" s="1050">
        <v>1275</v>
      </c>
      <c r="H31" s="1050">
        <v>1550</v>
      </c>
      <c r="I31" s="1245">
        <v>1550</v>
      </c>
      <c r="J31" s="903" t="s">
        <v>326</v>
      </c>
      <c r="K31" s="904" t="s">
        <v>189</v>
      </c>
      <c r="L31" s="1012"/>
    </row>
    <row r="32" spans="1:12" ht="12" customHeight="1" x14ac:dyDescent="0.25">
      <c r="A32" s="901">
        <f t="shared" si="0"/>
        <v>12</v>
      </c>
      <c r="B32" s="902" t="s">
        <v>263</v>
      </c>
      <c r="C32" s="872" t="s">
        <v>372</v>
      </c>
      <c r="D32" s="873" t="s">
        <v>133</v>
      </c>
      <c r="E32" s="1050">
        <v>600</v>
      </c>
      <c r="F32" s="1050">
        <v>600</v>
      </c>
      <c r="G32" s="1050">
        <v>370</v>
      </c>
      <c r="H32" s="1050">
        <v>450</v>
      </c>
      <c r="I32" s="1245">
        <v>450</v>
      </c>
      <c r="J32" s="903" t="s">
        <v>327</v>
      </c>
      <c r="K32" s="904" t="s">
        <v>187</v>
      </c>
      <c r="L32" s="907"/>
    </row>
    <row r="33" spans="1:12" ht="12" customHeight="1" x14ac:dyDescent="0.25">
      <c r="A33" s="901">
        <f t="shared" si="0"/>
        <v>13</v>
      </c>
      <c r="B33" s="902" t="s">
        <v>263</v>
      </c>
      <c r="C33" s="872" t="s">
        <v>372</v>
      </c>
      <c r="D33" s="906" t="s">
        <v>96</v>
      </c>
      <c r="E33" s="1050">
        <v>1521</v>
      </c>
      <c r="F33" s="1050">
        <v>1721</v>
      </c>
      <c r="G33" s="1050">
        <v>1791</v>
      </c>
      <c r="H33" s="1050">
        <v>1682</v>
      </c>
      <c r="I33" s="1245">
        <v>1682</v>
      </c>
      <c r="J33" s="903" t="s">
        <v>328</v>
      </c>
      <c r="K33" s="904" t="s">
        <v>367</v>
      </c>
      <c r="L33" s="907"/>
    </row>
    <row r="34" spans="1:12" ht="12" customHeight="1" x14ac:dyDescent="0.25">
      <c r="A34" s="901">
        <f t="shared" si="0"/>
        <v>14</v>
      </c>
      <c r="B34" s="902" t="s">
        <v>263</v>
      </c>
      <c r="C34" s="872" t="s">
        <v>372</v>
      </c>
      <c r="D34" s="906" t="s">
        <v>519</v>
      </c>
      <c r="E34" s="1050">
        <v>180</v>
      </c>
      <c r="F34" s="1050">
        <v>180</v>
      </c>
      <c r="G34" s="1050">
        <v>150</v>
      </c>
      <c r="H34" s="1050">
        <v>100</v>
      </c>
      <c r="I34" s="1245">
        <v>100</v>
      </c>
      <c r="J34" s="903" t="s">
        <v>329</v>
      </c>
      <c r="K34" s="904" t="s">
        <v>189</v>
      </c>
      <c r="L34" s="1012"/>
    </row>
    <row r="35" spans="1:12" ht="12" customHeight="1" x14ac:dyDescent="0.25">
      <c r="A35" s="901">
        <f t="shared" si="0"/>
        <v>15</v>
      </c>
      <c r="B35" s="902" t="s">
        <v>263</v>
      </c>
      <c r="C35" s="872" t="s">
        <v>372</v>
      </c>
      <c r="D35" s="873" t="s">
        <v>86</v>
      </c>
      <c r="E35" s="1050">
        <v>1795</v>
      </c>
      <c r="F35" s="1050">
        <v>1885</v>
      </c>
      <c r="G35" s="1050">
        <v>2335</v>
      </c>
      <c r="H35" s="1050">
        <v>1915</v>
      </c>
      <c r="I35" s="1245">
        <v>1915</v>
      </c>
      <c r="J35" s="903" t="s">
        <v>330</v>
      </c>
      <c r="K35" s="904" t="s">
        <v>190</v>
      </c>
      <c r="L35" s="1012"/>
    </row>
    <row r="36" spans="1:12" ht="12" customHeight="1" x14ac:dyDescent="0.25">
      <c r="A36" s="901" t="e">
        <f>#REF!+1</f>
        <v>#REF!</v>
      </c>
      <c r="B36" s="902" t="s">
        <v>263</v>
      </c>
      <c r="C36" s="872" t="s">
        <v>372</v>
      </c>
      <c r="D36" s="873" t="s">
        <v>91</v>
      </c>
      <c r="E36" s="1050">
        <v>600</v>
      </c>
      <c r="F36" s="1050">
        <v>600</v>
      </c>
      <c r="G36" s="1050">
        <v>624</v>
      </c>
      <c r="H36" s="1050">
        <v>600</v>
      </c>
      <c r="I36" s="1245">
        <v>590</v>
      </c>
      <c r="J36" s="903" t="s">
        <v>331</v>
      </c>
      <c r="K36" s="904" t="s">
        <v>363</v>
      </c>
      <c r="L36" s="829"/>
    </row>
    <row r="37" spans="1:12" ht="12" customHeight="1" x14ac:dyDescent="0.25">
      <c r="A37" s="901" t="e">
        <f t="shared" si="0"/>
        <v>#REF!</v>
      </c>
      <c r="B37" s="902" t="s">
        <v>263</v>
      </c>
      <c r="C37" s="872" t="s">
        <v>372</v>
      </c>
      <c r="D37" s="873" t="s">
        <v>92</v>
      </c>
      <c r="E37" s="1050">
        <v>400</v>
      </c>
      <c r="F37" s="1050">
        <v>0</v>
      </c>
      <c r="G37" s="1050">
        <v>0</v>
      </c>
      <c r="H37" s="1050"/>
      <c r="I37" s="1244"/>
      <c r="J37" s="903" t="s">
        <v>333</v>
      </c>
      <c r="K37" s="904" t="s">
        <v>363</v>
      </c>
      <c r="L37" s="829"/>
    </row>
    <row r="38" spans="1:12" ht="12" customHeight="1" x14ac:dyDescent="0.25">
      <c r="A38" s="901" t="e">
        <f t="shared" si="0"/>
        <v>#REF!</v>
      </c>
      <c r="B38" s="902" t="s">
        <v>263</v>
      </c>
      <c r="C38" s="872" t="s">
        <v>372</v>
      </c>
      <c r="D38" s="873" t="s">
        <v>242</v>
      </c>
      <c r="E38" s="1050">
        <v>1800</v>
      </c>
      <c r="F38" s="1050">
        <v>2500</v>
      </c>
      <c r="G38" s="1050">
        <v>2600</v>
      </c>
      <c r="H38" s="1050">
        <v>2600</v>
      </c>
      <c r="I38" s="1245">
        <v>0</v>
      </c>
      <c r="J38" s="903" t="s">
        <v>332</v>
      </c>
      <c r="K38" s="904" t="s">
        <v>363</v>
      </c>
      <c r="L38" s="829"/>
    </row>
    <row r="39" spans="1:12" ht="12" customHeight="1" x14ac:dyDescent="0.25">
      <c r="A39" s="908" t="e">
        <f t="shared" si="0"/>
        <v>#REF!</v>
      </c>
      <c r="B39" s="909" t="s">
        <v>263</v>
      </c>
      <c r="C39" s="910" t="s">
        <v>372</v>
      </c>
      <c r="D39" s="910" t="s">
        <v>632</v>
      </c>
      <c r="E39" s="1031">
        <v>19000</v>
      </c>
      <c r="F39" s="1031">
        <v>20000</v>
      </c>
      <c r="G39" s="1031">
        <v>20000</v>
      </c>
      <c r="H39" s="1031">
        <v>20000</v>
      </c>
      <c r="I39" s="1246">
        <v>20000</v>
      </c>
      <c r="J39" s="911" t="s">
        <v>334</v>
      </c>
      <c r="K39" s="912" t="s">
        <v>362</v>
      </c>
      <c r="L39" s="829"/>
    </row>
    <row r="40" spans="1:12" ht="12" customHeight="1" x14ac:dyDescent="0.25">
      <c r="A40" s="901" t="e">
        <f>A39+1</f>
        <v>#REF!</v>
      </c>
      <c r="B40" s="902" t="s">
        <v>263</v>
      </c>
      <c r="C40" s="872" t="s">
        <v>372</v>
      </c>
      <c r="D40" s="873" t="s">
        <v>87</v>
      </c>
      <c r="E40" s="1050">
        <v>70</v>
      </c>
      <c r="F40" s="1050">
        <v>70</v>
      </c>
      <c r="G40" s="1050">
        <v>70</v>
      </c>
      <c r="H40" s="1050">
        <v>50</v>
      </c>
      <c r="I40" s="1245">
        <v>50</v>
      </c>
      <c r="J40" s="903" t="s">
        <v>335</v>
      </c>
      <c r="K40" s="904" t="s">
        <v>502</v>
      </c>
      <c r="L40" s="829"/>
    </row>
    <row r="41" spans="1:12" ht="12" customHeight="1" x14ac:dyDescent="0.25">
      <c r="A41" s="901" t="e">
        <f t="shared" si="0"/>
        <v>#REF!</v>
      </c>
      <c r="B41" s="902" t="s">
        <v>263</v>
      </c>
      <c r="C41" s="872" t="s">
        <v>372</v>
      </c>
      <c r="D41" s="873" t="s">
        <v>93</v>
      </c>
      <c r="E41" s="1050">
        <v>1000</v>
      </c>
      <c r="F41" s="1050">
        <v>0</v>
      </c>
      <c r="G41" s="1050">
        <v>0</v>
      </c>
      <c r="H41" s="1050"/>
      <c r="I41" s="1244"/>
      <c r="J41" s="903" t="s">
        <v>336</v>
      </c>
      <c r="K41" s="904" t="s">
        <v>490</v>
      </c>
      <c r="L41" s="829"/>
    </row>
    <row r="42" spans="1:12" ht="12" customHeight="1" x14ac:dyDescent="0.25">
      <c r="A42" s="901" t="e">
        <f t="shared" si="0"/>
        <v>#REF!</v>
      </c>
      <c r="B42" s="902" t="s">
        <v>263</v>
      </c>
      <c r="C42" s="872" t="s">
        <v>372</v>
      </c>
      <c r="D42" s="873" t="s">
        <v>136</v>
      </c>
      <c r="E42" s="1050">
        <v>1523</v>
      </c>
      <c r="F42" s="1050">
        <v>300</v>
      </c>
      <c r="G42" s="1050">
        <v>200</v>
      </c>
      <c r="H42" s="1050">
        <v>270</v>
      </c>
      <c r="I42" s="1245">
        <v>340</v>
      </c>
      <c r="J42" s="903" t="s">
        <v>337</v>
      </c>
      <c r="K42" s="904" t="s">
        <v>364</v>
      </c>
      <c r="L42" s="829"/>
    </row>
    <row r="43" spans="1:12" ht="12" customHeight="1" x14ac:dyDescent="0.25">
      <c r="A43" s="901" t="e">
        <f t="shared" si="0"/>
        <v>#REF!</v>
      </c>
      <c r="B43" s="902" t="s">
        <v>263</v>
      </c>
      <c r="C43" s="872" t="s">
        <v>372</v>
      </c>
      <c r="D43" s="873" t="s">
        <v>243</v>
      </c>
      <c r="E43" s="1050">
        <v>2000</v>
      </c>
      <c r="F43" s="1050">
        <v>0</v>
      </c>
      <c r="G43" s="1050">
        <v>0</v>
      </c>
      <c r="H43" s="1050"/>
      <c r="I43" s="1244"/>
      <c r="J43" s="903" t="s">
        <v>338</v>
      </c>
      <c r="K43" s="904" t="s">
        <v>490</v>
      </c>
      <c r="L43" s="829"/>
    </row>
    <row r="44" spans="1:12" ht="12" customHeight="1" x14ac:dyDescent="0.25">
      <c r="A44" s="901" t="e">
        <f t="shared" si="0"/>
        <v>#REF!</v>
      </c>
      <c r="B44" s="902" t="s">
        <v>263</v>
      </c>
      <c r="C44" s="872" t="s">
        <v>372</v>
      </c>
      <c r="D44" s="873" t="s">
        <v>158</v>
      </c>
      <c r="E44" s="1050">
        <v>100</v>
      </c>
      <c r="F44" s="1050">
        <v>750</v>
      </c>
      <c r="G44" s="1050">
        <v>400</v>
      </c>
      <c r="H44" s="1050">
        <v>0</v>
      </c>
      <c r="I44" s="1245">
        <v>0</v>
      </c>
      <c r="J44" s="903" t="s">
        <v>353</v>
      </c>
      <c r="K44" s="904" t="s">
        <v>189</v>
      </c>
      <c r="L44" s="962"/>
    </row>
    <row r="45" spans="1:12" ht="12" customHeight="1" x14ac:dyDescent="0.25">
      <c r="A45" s="901" t="e">
        <f>A44+1</f>
        <v>#REF!</v>
      </c>
      <c r="B45" s="902" t="s">
        <v>263</v>
      </c>
      <c r="C45" s="872" t="s">
        <v>372</v>
      </c>
      <c r="D45" s="873" t="s">
        <v>615</v>
      </c>
      <c r="E45" s="1050">
        <v>0</v>
      </c>
      <c r="F45" s="1050">
        <v>0</v>
      </c>
      <c r="G45" s="1050">
        <v>0</v>
      </c>
      <c r="H45" s="1050">
        <v>300</v>
      </c>
      <c r="I45" s="1245">
        <v>300</v>
      </c>
      <c r="J45" s="903" t="s">
        <v>616</v>
      </c>
      <c r="K45" s="904" t="s">
        <v>189</v>
      </c>
      <c r="L45" s="962"/>
    </row>
    <row r="46" spans="1:12" ht="12" customHeight="1" x14ac:dyDescent="0.25">
      <c r="A46" s="901" t="e">
        <f>#REF!+1</f>
        <v>#REF!</v>
      </c>
      <c r="B46" s="902" t="s">
        <v>263</v>
      </c>
      <c r="C46" s="872" t="s">
        <v>372</v>
      </c>
      <c r="D46" s="873" t="s">
        <v>572</v>
      </c>
      <c r="E46" s="1050">
        <v>0</v>
      </c>
      <c r="F46" s="1050">
        <v>0</v>
      </c>
      <c r="G46" s="1050">
        <v>0</v>
      </c>
      <c r="H46" s="1050">
        <v>735</v>
      </c>
      <c r="I46" s="1245">
        <v>750</v>
      </c>
      <c r="J46" s="903" t="s">
        <v>571</v>
      </c>
      <c r="K46" s="904" t="s">
        <v>570</v>
      </c>
      <c r="L46" s="962"/>
    </row>
    <row r="47" spans="1:12" ht="12" customHeight="1" x14ac:dyDescent="0.25">
      <c r="A47" s="901" t="e">
        <f t="shared" si="0"/>
        <v>#REF!</v>
      </c>
      <c r="B47" s="902" t="s">
        <v>263</v>
      </c>
      <c r="C47" s="872" t="s">
        <v>372</v>
      </c>
      <c r="D47" s="906" t="s">
        <v>120</v>
      </c>
      <c r="E47" s="1050">
        <v>310</v>
      </c>
      <c r="F47" s="1050">
        <v>410</v>
      </c>
      <c r="G47" s="1050">
        <v>450</v>
      </c>
      <c r="H47" s="1050">
        <v>450</v>
      </c>
      <c r="I47" s="1245">
        <v>320</v>
      </c>
      <c r="J47" s="903" t="s">
        <v>339</v>
      </c>
      <c r="K47" s="904" t="s">
        <v>189</v>
      </c>
      <c r="L47" s="829"/>
    </row>
    <row r="48" spans="1:12" s="962" customFormat="1" ht="12" customHeight="1" x14ac:dyDescent="0.25">
      <c r="A48" s="901" t="e">
        <f t="shared" si="0"/>
        <v>#REF!</v>
      </c>
      <c r="B48" s="902" t="s">
        <v>263</v>
      </c>
      <c r="C48" s="872" t="s">
        <v>372</v>
      </c>
      <c r="D48" s="905" t="s">
        <v>119</v>
      </c>
      <c r="E48" s="1050">
        <v>300</v>
      </c>
      <c r="F48" s="1050">
        <v>300</v>
      </c>
      <c r="G48" s="1050">
        <v>300</v>
      </c>
      <c r="H48" s="1050">
        <v>300</v>
      </c>
      <c r="I48" s="1245">
        <v>300</v>
      </c>
      <c r="J48" s="903" t="s">
        <v>340</v>
      </c>
      <c r="K48" s="904" t="s">
        <v>187</v>
      </c>
      <c r="L48" s="829"/>
    </row>
    <row r="49" spans="1:12" ht="12" customHeight="1" x14ac:dyDescent="0.25">
      <c r="A49" s="901" t="e">
        <f>A48+1</f>
        <v>#REF!</v>
      </c>
      <c r="B49" s="902" t="s">
        <v>263</v>
      </c>
      <c r="C49" s="872" t="s">
        <v>372</v>
      </c>
      <c r="D49" s="906" t="s">
        <v>625</v>
      </c>
      <c r="E49" s="1050">
        <v>3895</v>
      </c>
      <c r="F49" s="1050">
        <v>2921.25</v>
      </c>
      <c r="G49" s="1050">
        <v>0</v>
      </c>
      <c r="H49" s="1050">
        <v>4448</v>
      </c>
      <c r="I49" s="1245">
        <v>6598</v>
      </c>
      <c r="J49" s="903" t="s">
        <v>341</v>
      </c>
      <c r="K49" s="904" t="s">
        <v>187</v>
      </c>
      <c r="L49" s="829"/>
    </row>
    <row r="50" spans="1:12" ht="12" customHeight="1" x14ac:dyDescent="0.25">
      <c r="A50" s="901" t="e">
        <f t="shared" si="0"/>
        <v>#REF!</v>
      </c>
      <c r="B50" s="902" t="s">
        <v>263</v>
      </c>
      <c r="C50" s="872" t="s">
        <v>372</v>
      </c>
      <c r="D50" s="906" t="s">
        <v>626</v>
      </c>
      <c r="E50" s="1050">
        <v>1250</v>
      </c>
      <c r="F50" s="1050">
        <v>1250</v>
      </c>
      <c r="G50" s="1050">
        <v>1250</v>
      </c>
      <c r="H50" s="1050">
        <v>1350</v>
      </c>
      <c r="I50" s="1245">
        <v>1350</v>
      </c>
      <c r="J50" s="903" t="s">
        <v>342</v>
      </c>
      <c r="K50" s="904" t="s">
        <v>187</v>
      </c>
      <c r="L50" s="829"/>
    </row>
    <row r="51" spans="1:12" ht="12" customHeight="1" x14ac:dyDescent="0.25">
      <c r="A51" s="901" t="e">
        <f t="shared" si="0"/>
        <v>#REF!</v>
      </c>
      <c r="B51" s="902" t="s">
        <v>263</v>
      </c>
      <c r="C51" s="872" t="s">
        <v>372</v>
      </c>
      <c r="D51" s="906" t="s">
        <v>520</v>
      </c>
      <c r="E51" s="1050">
        <v>160</v>
      </c>
      <c r="F51" s="1050">
        <v>160</v>
      </c>
      <c r="G51" s="1050">
        <v>160</v>
      </c>
      <c r="H51" s="1050">
        <v>170</v>
      </c>
      <c r="I51" s="1245">
        <v>170</v>
      </c>
      <c r="J51" s="903" t="s">
        <v>443</v>
      </c>
      <c r="K51" s="904" t="s">
        <v>187</v>
      </c>
      <c r="L51" s="829"/>
    </row>
    <row r="52" spans="1:12" ht="12" customHeight="1" x14ac:dyDescent="0.25">
      <c r="A52" s="901" t="e">
        <f>A51+1</f>
        <v>#REF!</v>
      </c>
      <c r="B52" s="902" t="s">
        <v>263</v>
      </c>
      <c r="C52" s="872" t="s">
        <v>372</v>
      </c>
      <c r="D52" s="873" t="s">
        <v>193</v>
      </c>
      <c r="E52" s="1050">
        <v>1700</v>
      </c>
      <c r="F52" s="1050">
        <v>1700</v>
      </c>
      <c r="G52" s="1050">
        <v>1900</v>
      </c>
      <c r="H52" s="1050">
        <v>1900</v>
      </c>
      <c r="I52" s="1245">
        <v>2400</v>
      </c>
      <c r="J52" s="903" t="s">
        <v>343</v>
      </c>
      <c r="K52" s="904" t="s">
        <v>187</v>
      </c>
      <c r="L52" s="962"/>
    </row>
    <row r="53" spans="1:12" ht="12" customHeight="1" x14ac:dyDescent="0.25">
      <c r="A53" s="901" t="e">
        <f t="shared" si="0"/>
        <v>#REF!</v>
      </c>
      <c r="B53" s="902" t="s">
        <v>263</v>
      </c>
      <c r="C53" s="872" t="s">
        <v>372</v>
      </c>
      <c r="D53" s="873" t="s">
        <v>627</v>
      </c>
      <c r="E53" s="1050">
        <v>1158</v>
      </c>
      <c r="F53" s="1050">
        <v>1310</v>
      </c>
      <c r="G53" s="1050">
        <v>2620</v>
      </c>
      <c r="H53" s="1050">
        <v>2520</v>
      </c>
      <c r="I53" s="1245">
        <v>1800</v>
      </c>
      <c r="J53" s="903" t="s">
        <v>344</v>
      </c>
      <c r="K53" s="904" t="s">
        <v>365</v>
      </c>
      <c r="L53" s="962"/>
    </row>
    <row r="54" spans="1:12" s="962" customFormat="1" ht="12" customHeight="1" x14ac:dyDescent="0.25">
      <c r="A54" s="901" t="e">
        <f>A53+1</f>
        <v>#REF!</v>
      </c>
      <c r="B54" s="902" t="s">
        <v>263</v>
      </c>
      <c r="C54" s="872" t="s">
        <v>372</v>
      </c>
      <c r="D54" s="873" t="s">
        <v>521</v>
      </c>
      <c r="E54" s="1050">
        <v>140</v>
      </c>
      <c r="F54" s="1050">
        <v>140</v>
      </c>
      <c r="G54" s="1050">
        <v>140</v>
      </c>
      <c r="H54" s="1050">
        <v>140</v>
      </c>
      <c r="I54" s="1245">
        <v>140</v>
      </c>
      <c r="J54" s="903" t="s">
        <v>345</v>
      </c>
      <c r="K54" s="904" t="s">
        <v>190</v>
      </c>
    </row>
    <row r="55" spans="1:12" s="962" customFormat="1" ht="12" customHeight="1" x14ac:dyDescent="0.25">
      <c r="A55" s="901" t="e">
        <f>A54+1</f>
        <v>#REF!</v>
      </c>
      <c r="B55" s="902" t="s">
        <v>263</v>
      </c>
      <c r="C55" s="872" t="s">
        <v>372</v>
      </c>
      <c r="D55" s="873" t="s">
        <v>522</v>
      </c>
      <c r="E55" s="1050">
        <v>495</v>
      </c>
      <c r="F55" s="1050">
        <v>695</v>
      </c>
      <c r="G55" s="1050">
        <v>695</v>
      </c>
      <c r="H55" s="1050">
        <v>695</v>
      </c>
      <c r="I55" s="1245">
        <v>1845</v>
      </c>
      <c r="J55" s="903" t="s">
        <v>346</v>
      </c>
      <c r="K55" s="904" t="s">
        <v>190</v>
      </c>
    </row>
    <row r="56" spans="1:12" s="962" customFormat="1" ht="12" customHeight="1" x14ac:dyDescent="0.25">
      <c r="A56" s="901" t="e">
        <f t="shared" ref="A56:A84" si="1">A55+1</f>
        <v>#REF!</v>
      </c>
      <c r="B56" s="902" t="s">
        <v>263</v>
      </c>
      <c r="C56" s="872" t="s">
        <v>372</v>
      </c>
      <c r="D56" s="873" t="s">
        <v>292</v>
      </c>
      <c r="E56" s="1050">
        <v>150</v>
      </c>
      <c r="F56" s="1050">
        <v>150</v>
      </c>
      <c r="G56" s="1050">
        <v>150</v>
      </c>
      <c r="H56" s="1050">
        <v>250</v>
      </c>
      <c r="I56" s="1245">
        <v>250</v>
      </c>
      <c r="J56" s="903" t="s">
        <v>347</v>
      </c>
      <c r="K56" s="904" t="s">
        <v>187</v>
      </c>
    </row>
    <row r="57" spans="1:12" s="962" customFormat="1" ht="12" customHeight="1" x14ac:dyDescent="0.25">
      <c r="A57" s="901" t="e">
        <f t="shared" si="1"/>
        <v>#REF!</v>
      </c>
      <c r="B57" s="902" t="s">
        <v>263</v>
      </c>
      <c r="C57" s="872" t="s">
        <v>372</v>
      </c>
      <c r="D57" s="906" t="s">
        <v>291</v>
      </c>
      <c r="E57" s="1050">
        <v>1050</v>
      </c>
      <c r="F57" s="1050">
        <v>800</v>
      </c>
      <c r="G57" s="1050">
        <v>0</v>
      </c>
      <c r="H57" s="1050"/>
      <c r="I57" s="1244"/>
      <c r="J57" s="903" t="s">
        <v>348</v>
      </c>
      <c r="K57" s="904" t="s">
        <v>187</v>
      </c>
      <c r="L57" s="829"/>
    </row>
    <row r="58" spans="1:12" s="962" customFormat="1" ht="12" customHeight="1" x14ac:dyDescent="0.25">
      <c r="A58" s="901" t="e">
        <f t="shared" si="1"/>
        <v>#REF!</v>
      </c>
      <c r="B58" s="902" t="s">
        <v>263</v>
      </c>
      <c r="C58" s="872" t="s">
        <v>372</v>
      </c>
      <c r="D58" s="873" t="s">
        <v>293</v>
      </c>
      <c r="E58" s="1050">
        <v>250</v>
      </c>
      <c r="F58" s="1050">
        <v>250</v>
      </c>
      <c r="G58" s="1050">
        <v>300</v>
      </c>
      <c r="H58" s="1050">
        <v>300</v>
      </c>
      <c r="I58" s="1245">
        <v>340</v>
      </c>
      <c r="J58" s="903" t="s">
        <v>349</v>
      </c>
      <c r="K58" s="904" t="s">
        <v>362</v>
      </c>
    </row>
    <row r="59" spans="1:12" ht="12" customHeight="1" x14ac:dyDescent="0.25">
      <c r="A59" s="901" t="e">
        <f t="shared" si="1"/>
        <v>#REF!</v>
      </c>
      <c r="B59" s="902" t="s">
        <v>263</v>
      </c>
      <c r="C59" s="872" t="s">
        <v>372</v>
      </c>
      <c r="D59" s="873" t="s">
        <v>366</v>
      </c>
      <c r="E59" s="1050">
        <v>750</v>
      </c>
      <c r="F59" s="1050">
        <v>750</v>
      </c>
      <c r="G59" s="1050">
        <v>750</v>
      </c>
      <c r="H59" s="1050">
        <v>850</v>
      </c>
      <c r="I59" s="1245">
        <v>1100</v>
      </c>
      <c r="J59" s="1048" t="s">
        <v>419</v>
      </c>
      <c r="K59" s="904" t="s">
        <v>503</v>
      </c>
      <c r="L59" s="963"/>
    </row>
    <row r="60" spans="1:12" s="962" customFormat="1" ht="12" customHeight="1" x14ac:dyDescent="0.25">
      <c r="A60" s="901" t="e">
        <f t="shared" si="1"/>
        <v>#REF!</v>
      </c>
      <c r="B60" s="902" t="s">
        <v>263</v>
      </c>
      <c r="C60" s="872" t="s">
        <v>372</v>
      </c>
      <c r="D60" s="873" t="s">
        <v>244</v>
      </c>
      <c r="E60" s="1050">
        <v>700</v>
      </c>
      <c r="F60" s="1050">
        <v>700</v>
      </c>
      <c r="G60" s="1050">
        <v>900</v>
      </c>
      <c r="H60" s="1050">
        <v>900</v>
      </c>
      <c r="I60" s="1245">
        <v>900</v>
      </c>
      <c r="J60" s="1048" t="s">
        <v>350</v>
      </c>
      <c r="K60" s="904" t="s">
        <v>189</v>
      </c>
      <c r="L60" s="963"/>
    </row>
    <row r="61" spans="1:12" s="963" customFormat="1" ht="12" customHeight="1" x14ac:dyDescent="0.25">
      <c r="A61" s="901" t="e">
        <f t="shared" si="1"/>
        <v>#REF!</v>
      </c>
      <c r="B61" s="913" t="s">
        <v>263</v>
      </c>
      <c r="C61" s="872" t="s">
        <v>372</v>
      </c>
      <c r="D61" s="1042" t="s">
        <v>628</v>
      </c>
      <c r="E61" s="1052">
        <v>150</v>
      </c>
      <c r="F61" s="1052">
        <v>150</v>
      </c>
      <c r="G61" s="1052">
        <v>420</v>
      </c>
      <c r="H61" s="1052">
        <v>500</v>
      </c>
      <c r="I61" s="1245">
        <v>800</v>
      </c>
      <c r="J61" s="1048" t="s">
        <v>420</v>
      </c>
      <c r="K61" s="904" t="s">
        <v>187</v>
      </c>
    </row>
    <row r="62" spans="1:12" s="963" customFormat="1" ht="12" customHeight="1" x14ac:dyDescent="0.25">
      <c r="A62" s="901" t="e">
        <f>#REF!+1</f>
        <v>#REF!</v>
      </c>
      <c r="B62" s="913" t="s">
        <v>263</v>
      </c>
      <c r="C62" s="872" t="s">
        <v>372</v>
      </c>
      <c r="D62" s="1042" t="s">
        <v>523</v>
      </c>
      <c r="E62" s="1052">
        <v>100</v>
      </c>
      <c r="F62" s="1052">
        <v>100</v>
      </c>
      <c r="G62" s="1052">
        <v>100</v>
      </c>
      <c r="H62" s="1052">
        <v>120</v>
      </c>
      <c r="I62" s="1245">
        <v>120</v>
      </c>
      <c r="J62" s="1048" t="s">
        <v>444</v>
      </c>
      <c r="K62" s="904" t="s">
        <v>187</v>
      </c>
      <c r="L62" s="962"/>
    </row>
    <row r="63" spans="1:12" s="962" customFormat="1" ht="12" customHeight="1" x14ac:dyDescent="0.25">
      <c r="A63" s="901" t="e">
        <f t="shared" si="1"/>
        <v>#REF!</v>
      </c>
      <c r="B63" s="902" t="s">
        <v>263</v>
      </c>
      <c r="C63" s="872" t="s">
        <v>372</v>
      </c>
      <c r="D63" s="873" t="s">
        <v>629</v>
      </c>
      <c r="E63" s="1050">
        <v>350</v>
      </c>
      <c r="F63" s="1050">
        <v>350</v>
      </c>
      <c r="G63" s="1050">
        <v>250</v>
      </c>
      <c r="H63" s="1050">
        <v>250</v>
      </c>
      <c r="I63" s="1245">
        <v>250</v>
      </c>
      <c r="J63" s="903" t="s">
        <v>351</v>
      </c>
      <c r="K63" s="904" t="s">
        <v>190</v>
      </c>
      <c r="L63" s="829"/>
    </row>
    <row r="64" spans="1:12" s="962" customFormat="1" ht="12" customHeight="1" x14ac:dyDescent="0.25">
      <c r="A64" s="901" t="e">
        <f t="shared" si="1"/>
        <v>#REF!</v>
      </c>
      <c r="B64" s="902" t="s">
        <v>263</v>
      </c>
      <c r="C64" s="872" t="s">
        <v>372</v>
      </c>
      <c r="D64" s="873" t="s">
        <v>121</v>
      </c>
      <c r="E64" s="1050">
        <v>2500</v>
      </c>
      <c r="F64" s="1050">
        <v>3647</v>
      </c>
      <c r="G64" s="1050">
        <v>3950</v>
      </c>
      <c r="H64" s="1050">
        <v>3950</v>
      </c>
      <c r="I64" s="1245">
        <v>5500</v>
      </c>
      <c r="J64" s="903" t="s">
        <v>352</v>
      </c>
      <c r="K64" s="904" t="s">
        <v>192</v>
      </c>
      <c r="L64" s="829"/>
    </row>
    <row r="65" spans="1:12" ht="12" customHeight="1" x14ac:dyDescent="0.25">
      <c r="A65" s="901" t="e">
        <f t="shared" si="1"/>
        <v>#REF!</v>
      </c>
      <c r="B65" s="913" t="s">
        <v>263</v>
      </c>
      <c r="C65" s="872" t="s">
        <v>372</v>
      </c>
      <c r="D65" s="1042" t="s">
        <v>446</v>
      </c>
      <c r="E65" s="1052">
        <v>1391</v>
      </c>
      <c r="F65" s="1052">
        <v>1391</v>
      </c>
      <c r="G65" s="1052">
        <v>1391</v>
      </c>
      <c r="H65" s="1052">
        <v>1497</v>
      </c>
      <c r="I65" s="1245">
        <v>1777</v>
      </c>
      <c r="J65" s="903" t="s">
        <v>447</v>
      </c>
      <c r="K65" s="914" t="s">
        <v>365</v>
      </c>
      <c r="L65" s="829"/>
    </row>
    <row r="66" spans="1:12" ht="12" customHeight="1" x14ac:dyDescent="0.25">
      <c r="A66" s="901" t="e">
        <f t="shared" si="1"/>
        <v>#REF!</v>
      </c>
      <c r="B66" s="902" t="s">
        <v>263</v>
      </c>
      <c r="C66" s="872" t="s">
        <v>372</v>
      </c>
      <c r="D66" s="873" t="s">
        <v>624</v>
      </c>
      <c r="E66" s="1050">
        <v>180</v>
      </c>
      <c r="F66" s="1050">
        <v>180</v>
      </c>
      <c r="G66" s="1050">
        <v>180</v>
      </c>
      <c r="H66" s="1050">
        <v>180</v>
      </c>
      <c r="I66" s="1245">
        <v>1540</v>
      </c>
      <c r="J66" s="903" t="s">
        <v>445</v>
      </c>
      <c r="K66" s="904" t="s">
        <v>484</v>
      </c>
      <c r="L66" s="829"/>
    </row>
    <row r="67" spans="1:12" ht="12" customHeight="1" x14ac:dyDescent="0.25">
      <c r="A67" s="901" t="e">
        <f>A80+1</f>
        <v>#REF!</v>
      </c>
      <c r="B67" s="902" t="s">
        <v>263</v>
      </c>
      <c r="C67" s="872" t="s">
        <v>372</v>
      </c>
      <c r="D67" s="1042" t="s">
        <v>500</v>
      </c>
      <c r="E67" s="1052"/>
      <c r="F67" s="1052">
        <v>500</v>
      </c>
      <c r="G67" s="1052">
        <v>920</v>
      </c>
      <c r="H67" s="1052">
        <v>920</v>
      </c>
      <c r="I67" s="1245">
        <v>0</v>
      </c>
      <c r="J67" s="1127" t="s">
        <v>550</v>
      </c>
      <c r="K67" s="914" t="s">
        <v>484</v>
      </c>
      <c r="L67" s="1013"/>
    </row>
    <row r="68" spans="1:12" ht="12" customHeight="1" x14ac:dyDescent="0.25">
      <c r="A68" s="901" t="e">
        <f>A67+1</f>
        <v>#REF!</v>
      </c>
      <c r="B68" s="902" t="s">
        <v>263</v>
      </c>
      <c r="C68" s="872" t="s">
        <v>372</v>
      </c>
      <c r="D68" s="1042" t="s">
        <v>501</v>
      </c>
      <c r="E68" s="1052"/>
      <c r="F68" s="1052">
        <v>30</v>
      </c>
      <c r="G68" s="1052">
        <v>440</v>
      </c>
      <c r="H68" s="1052">
        <v>440</v>
      </c>
      <c r="I68" s="1245">
        <v>0</v>
      </c>
      <c r="J68" s="1127" t="s">
        <v>551</v>
      </c>
      <c r="K68" s="914" t="s">
        <v>484</v>
      </c>
      <c r="L68" s="1012"/>
    </row>
    <row r="69" spans="1:12" ht="12" customHeight="1" x14ac:dyDescent="0.25">
      <c r="A69" s="901" t="e">
        <f>A66+1</f>
        <v>#REF!</v>
      </c>
      <c r="B69" s="902" t="s">
        <v>263</v>
      </c>
      <c r="C69" s="872" t="s">
        <v>372</v>
      </c>
      <c r="D69" s="873" t="s">
        <v>471</v>
      </c>
      <c r="E69" s="1050">
        <v>2621</v>
      </c>
      <c r="F69" s="1050">
        <v>2000</v>
      </c>
      <c r="G69" s="1050">
        <v>2000</v>
      </c>
      <c r="H69" s="1050">
        <v>2000</v>
      </c>
      <c r="I69" s="1245">
        <v>2000</v>
      </c>
      <c r="J69" s="903" t="s">
        <v>617</v>
      </c>
      <c r="K69" s="904" t="s">
        <v>362</v>
      </c>
      <c r="L69" s="829"/>
    </row>
    <row r="70" spans="1:12" ht="12" customHeight="1" x14ac:dyDescent="0.25">
      <c r="A70" s="901" t="e">
        <f t="shared" si="1"/>
        <v>#REF!</v>
      </c>
      <c r="B70" s="902" t="s">
        <v>263</v>
      </c>
      <c r="C70" s="872" t="s">
        <v>372</v>
      </c>
      <c r="D70" s="873" t="s">
        <v>462</v>
      </c>
      <c r="E70" s="1050">
        <v>3368</v>
      </c>
      <c r="F70" s="1050">
        <v>3488</v>
      </c>
      <c r="G70" s="1050">
        <v>3980</v>
      </c>
      <c r="H70" s="1050">
        <v>3980</v>
      </c>
      <c r="I70" s="1245">
        <v>3980</v>
      </c>
      <c r="J70" s="903" t="s">
        <v>485</v>
      </c>
      <c r="K70" s="904" t="s">
        <v>486</v>
      </c>
      <c r="L70" s="829"/>
    </row>
    <row r="71" spans="1:12" ht="12" customHeight="1" x14ac:dyDescent="0.25">
      <c r="A71" s="901" t="e">
        <f t="shared" si="1"/>
        <v>#REF!</v>
      </c>
      <c r="B71" s="902" t="s">
        <v>263</v>
      </c>
      <c r="C71" s="872" t="s">
        <v>372</v>
      </c>
      <c r="D71" s="873" t="s">
        <v>455</v>
      </c>
      <c r="E71" s="1050">
        <v>400</v>
      </c>
      <c r="F71" s="1050">
        <v>0</v>
      </c>
      <c r="G71" s="1050">
        <v>0</v>
      </c>
      <c r="H71" s="1050">
        <v>400</v>
      </c>
      <c r="I71" s="1245">
        <v>400</v>
      </c>
      <c r="J71" s="903" t="s">
        <v>353</v>
      </c>
      <c r="K71" s="904" t="s">
        <v>189</v>
      </c>
      <c r="L71" s="829"/>
    </row>
    <row r="72" spans="1:12" ht="12" customHeight="1" x14ac:dyDescent="0.25">
      <c r="A72" s="901" t="e">
        <f>A71+1</f>
        <v>#REF!</v>
      </c>
      <c r="B72" s="902" t="s">
        <v>263</v>
      </c>
      <c r="C72" s="872" t="s">
        <v>372</v>
      </c>
      <c r="D72" s="873" t="s">
        <v>524</v>
      </c>
      <c r="E72" s="1050">
        <v>2000</v>
      </c>
      <c r="F72" s="1050">
        <v>0</v>
      </c>
      <c r="G72" s="1050">
        <v>0</v>
      </c>
      <c r="H72" s="1050"/>
      <c r="I72" s="1244"/>
      <c r="J72" s="903" t="s">
        <v>487</v>
      </c>
      <c r="K72" s="904" t="s">
        <v>187</v>
      </c>
      <c r="L72" s="829"/>
    </row>
    <row r="73" spans="1:12" ht="12" customHeight="1" x14ac:dyDescent="0.25">
      <c r="A73" s="901" t="e">
        <f>A72+1</f>
        <v>#REF!</v>
      </c>
      <c r="B73" s="902" t="s">
        <v>263</v>
      </c>
      <c r="C73" s="872" t="s">
        <v>372</v>
      </c>
      <c r="D73" s="1042" t="s">
        <v>489</v>
      </c>
      <c r="E73" s="1052"/>
      <c r="F73" s="1052">
        <v>420</v>
      </c>
      <c r="G73" s="1052">
        <v>459</v>
      </c>
      <c r="H73" s="1052">
        <v>0</v>
      </c>
      <c r="I73" s="1245">
        <v>0</v>
      </c>
      <c r="J73" s="1127" t="s">
        <v>191</v>
      </c>
      <c r="K73" s="914" t="s">
        <v>490</v>
      </c>
      <c r="L73" s="829"/>
    </row>
    <row r="74" spans="1:12" ht="12" customHeight="1" x14ac:dyDescent="0.25">
      <c r="A74" s="901" t="e">
        <f t="shared" ref="A74:A80" si="2">A73+1</f>
        <v>#REF!</v>
      </c>
      <c r="B74" s="902" t="s">
        <v>263</v>
      </c>
      <c r="C74" s="872" t="s">
        <v>372</v>
      </c>
      <c r="D74" s="1042" t="s">
        <v>491</v>
      </c>
      <c r="E74" s="1052"/>
      <c r="F74" s="1052">
        <v>4200</v>
      </c>
      <c r="G74" s="1052">
        <v>4000</v>
      </c>
      <c r="H74" s="1052">
        <v>3600</v>
      </c>
      <c r="I74" s="1245">
        <v>350</v>
      </c>
      <c r="J74" s="1127" t="s">
        <v>492</v>
      </c>
      <c r="K74" s="914" t="s">
        <v>364</v>
      </c>
      <c r="L74" s="829"/>
    </row>
    <row r="75" spans="1:12" ht="12" customHeight="1" x14ac:dyDescent="0.25">
      <c r="A75" s="901" t="e">
        <f t="shared" si="2"/>
        <v>#REF!</v>
      </c>
      <c r="B75" s="902" t="s">
        <v>263</v>
      </c>
      <c r="C75" s="872" t="s">
        <v>372</v>
      </c>
      <c r="D75" s="1042" t="s">
        <v>493</v>
      </c>
      <c r="E75" s="1052"/>
      <c r="F75" s="1052">
        <v>1500</v>
      </c>
      <c r="G75" s="1052">
        <v>1400</v>
      </c>
      <c r="H75" s="1052">
        <v>1400</v>
      </c>
      <c r="I75" s="1245">
        <v>880</v>
      </c>
      <c r="J75" s="1127" t="s">
        <v>494</v>
      </c>
      <c r="K75" s="914" t="s">
        <v>364</v>
      </c>
      <c r="L75" s="829"/>
    </row>
    <row r="76" spans="1:12" ht="12" customHeight="1" x14ac:dyDescent="0.25">
      <c r="A76" s="901" t="e">
        <f t="shared" si="2"/>
        <v>#REF!</v>
      </c>
      <c r="B76" s="902" t="s">
        <v>263</v>
      </c>
      <c r="C76" s="872" t="s">
        <v>372</v>
      </c>
      <c r="D76" s="1042" t="s">
        <v>495</v>
      </c>
      <c r="E76" s="1052"/>
      <c r="F76" s="1052">
        <v>2000</v>
      </c>
      <c r="G76" s="1052">
        <v>2000</v>
      </c>
      <c r="H76" s="1052">
        <v>2000</v>
      </c>
      <c r="I76" s="1245">
        <v>2200</v>
      </c>
      <c r="J76" s="1127" t="s">
        <v>635</v>
      </c>
      <c r="K76" s="914" t="s">
        <v>496</v>
      </c>
      <c r="L76" s="829"/>
    </row>
    <row r="77" spans="1:12" ht="12" customHeight="1" x14ac:dyDescent="0.25">
      <c r="A77" s="901" t="e">
        <f t="shared" si="2"/>
        <v>#REF!</v>
      </c>
      <c r="B77" s="902" t="s">
        <v>263</v>
      </c>
      <c r="C77" s="872" t="s">
        <v>372</v>
      </c>
      <c r="D77" s="1042" t="s">
        <v>497</v>
      </c>
      <c r="E77" s="1052"/>
      <c r="F77" s="1052">
        <v>100</v>
      </c>
      <c r="G77" s="1052">
        <v>100</v>
      </c>
      <c r="H77" s="1052">
        <v>150</v>
      </c>
      <c r="I77" s="1245">
        <v>150</v>
      </c>
      <c r="J77" s="1127" t="s">
        <v>548</v>
      </c>
      <c r="K77" s="914" t="s">
        <v>187</v>
      </c>
      <c r="L77" s="829"/>
    </row>
    <row r="78" spans="1:12" ht="12" customHeight="1" x14ac:dyDescent="0.25">
      <c r="A78" s="901" t="e">
        <f t="shared" si="2"/>
        <v>#REF!</v>
      </c>
      <c r="B78" s="902" t="s">
        <v>263</v>
      </c>
      <c r="C78" s="872" t="s">
        <v>372</v>
      </c>
      <c r="D78" s="1042" t="s">
        <v>498</v>
      </c>
      <c r="E78" s="1052"/>
      <c r="F78" s="1052">
        <v>1000</v>
      </c>
      <c r="G78" s="1052">
        <v>1000</v>
      </c>
      <c r="H78" s="1052">
        <v>1000</v>
      </c>
      <c r="I78" s="1245">
        <v>1000</v>
      </c>
      <c r="J78" s="1127" t="s">
        <v>549</v>
      </c>
      <c r="K78" s="914" t="s">
        <v>187</v>
      </c>
      <c r="L78" s="1013"/>
    </row>
    <row r="79" spans="1:12" ht="12" customHeight="1" x14ac:dyDescent="0.25">
      <c r="A79" s="901" t="e">
        <f t="shared" si="2"/>
        <v>#REF!</v>
      </c>
      <c r="B79" s="902" t="s">
        <v>263</v>
      </c>
      <c r="C79" s="872" t="s">
        <v>372</v>
      </c>
      <c r="D79" s="1042" t="s">
        <v>525</v>
      </c>
      <c r="E79" s="1052"/>
      <c r="F79" s="1052">
        <v>16500</v>
      </c>
      <c r="G79" s="1052">
        <v>20000</v>
      </c>
      <c r="H79" s="1052">
        <v>26000</v>
      </c>
      <c r="I79" s="1245">
        <v>21500</v>
      </c>
      <c r="J79" s="1127" t="s">
        <v>499</v>
      </c>
      <c r="K79" s="914" t="s">
        <v>362</v>
      </c>
      <c r="L79" s="1013"/>
    </row>
    <row r="80" spans="1:12" ht="12" customHeight="1" x14ac:dyDescent="0.25">
      <c r="A80" s="901" t="e">
        <f t="shared" si="2"/>
        <v>#REF!</v>
      </c>
      <c r="B80" s="902" t="s">
        <v>263</v>
      </c>
      <c r="C80" s="872" t="s">
        <v>372</v>
      </c>
      <c r="D80" s="1042" t="s">
        <v>526</v>
      </c>
      <c r="E80" s="1052"/>
      <c r="F80" s="1052">
        <v>250</v>
      </c>
      <c r="G80" s="1052">
        <v>0</v>
      </c>
      <c r="H80" s="1052"/>
      <c r="I80" s="1244"/>
      <c r="J80" s="1127" t="s">
        <v>191</v>
      </c>
      <c r="K80" s="914" t="s">
        <v>367</v>
      </c>
      <c r="L80" s="1013"/>
    </row>
    <row r="81" spans="1:12" ht="12" customHeight="1" x14ac:dyDescent="0.25">
      <c r="A81" s="901" t="e">
        <f>A68+1</f>
        <v>#REF!</v>
      </c>
      <c r="B81" s="902" t="s">
        <v>263</v>
      </c>
      <c r="C81" s="872" t="s">
        <v>372</v>
      </c>
      <c r="D81" s="1042" t="s">
        <v>633</v>
      </c>
      <c r="E81" s="1052"/>
      <c r="F81" s="1052"/>
      <c r="G81" s="1052">
        <v>2000</v>
      </c>
      <c r="H81" s="1052">
        <v>1100</v>
      </c>
      <c r="I81" s="1245">
        <v>1100</v>
      </c>
      <c r="J81" s="1127" t="s">
        <v>623</v>
      </c>
      <c r="K81" s="914" t="s">
        <v>189</v>
      </c>
      <c r="L81" s="1012"/>
    </row>
    <row r="82" spans="1:12" ht="12" customHeight="1" x14ac:dyDescent="0.25">
      <c r="A82" s="901" t="e">
        <f>A81+1</f>
        <v>#REF!</v>
      </c>
      <c r="B82" s="902" t="s">
        <v>263</v>
      </c>
      <c r="C82" s="872" t="s">
        <v>372</v>
      </c>
      <c r="D82" s="1042" t="s">
        <v>631</v>
      </c>
      <c r="E82" s="1050"/>
      <c r="F82" s="1050"/>
      <c r="G82" s="1050"/>
      <c r="H82" s="1050"/>
      <c r="I82" s="1245">
        <v>1200</v>
      </c>
      <c r="J82" s="1127">
        <v>2079</v>
      </c>
      <c r="K82" s="904"/>
      <c r="L82" s="1012"/>
    </row>
    <row r="83" spans="1:12" ht="12" customHeight="1" thickBot="1" x14ac:dyDescent="0.3">
      <c r="A83" s="901" t="e">
        <f>A68+1</f>
        <v>#REF!</v>
      </c>
      <c r="B83" s="902" t="s">
        <v>263</v>
      </c>
      <c r="C83" s="872" t="s">
        <v>372</v>
      </c>
      <c r="D83" s="1045" t="s">
        <v>456</v>
      </c>
      <c r="E83" s="1053">
        <v>1200</v>
      </c>
      <c r="F83" s="1052">
        <v>900</v>
      </c>
      <c r="G83" s="1052">
        <v>0</v>
      </c>
      <c r="H83" s="1052"/>
      <c r="I83" s="1244"/>
      <c r="J83" s="1046" t="s">
        <v>488</v>
      </c>
      <c r="K83" s="1047" t="s">
        <v>187</v>
      </c>
      <c r="L83" s="1012"/>
    </row>
    <row r="84" spans="1:12" ht="12" customHeight="1" thickBot="1" x14ac:dyDescent="0.3">
      <c r="A84" s="915" t="e">
        <f t="shared" si="1"/>
        <v>#REF!</v>
      </c>
      <c r="B84" s="1017" t="s">
        <v>263</v>
      </c>
      <c r="C84" s="1018" t="s">
        <v>372</v>
      </c>
      <c r="D84" s="1019" t="s">
        <v>630</v>
      </c>
      <c r="E84" s="1032">
        <v>19000</v>
      </c>
      <c r="F84" s="1032">
        <v>15000</v>
      </c>
      <c r="G84" s="1032">
        <v>15000</v>
      </c>
      <c r="H84" s="1032">
        <v>15000</v>
      </c>
      <c r="I84" s="1247">
        <v>15000</v>
      </c>
      <c r="J84" s="1044">
        <v>1000</v>
      </c>
      <c r="K84" s="1043" t="s">
        <v>362</v>
      </c>
      <c r="L84" s="1012"/>
    </row>
    <row r="85" spans="1:12" ht="12" customHeight="1" x14ac:dyDescent="0.25">
      <c r="A85" s="916"/>
      <c r="B85" s="917"/>
      <c r="C85" s="918"/>
      <c r="D85" s="919" t="s">
        <v>28</v>
      </c>
      <c r="E85" s="1033">
        <f>SUM(E22:E84)</f>
        <v>99372</v>
      </c>
      <c r="F85" s="1033">
        <v>115668.25</v>
      </c>
      <c r="G85" s="1033">
        <v>112310</v>
      </c>
      <c r="H85" s="1033">
        <f>SUM(H22:H84)</f>
        <v>123802</v>
      </c>
      <c r="I85" s="920">
        <f>SUM(I22:I84)</f>
        <v>119662</v>
      </c>
      <c r="J85" s="916"/>
      <c r="K85" s="921"/>
      <c r="L85" s="1012"/>
    </row>
    <row r="86" spans="1:12" ht="12" customHeight="1" x14ac:dyDescent="0.25">
      <c r="A86" s="901">
        <v>66</v>
      </c>
      <c r="B86" s="902" t="s">
        <v>263</v>
      </c>
      <c r="C86" s="922" t="s">
        <v>618</v>
      </c>
      <c r="D86" s="905" t="s">
        <v>619</v>
      </c>
      <c r="E86" s="1056"/>
      <c r="F86" s="1056"/>
      <c r="G86" s="1056"/>
      <c r="H86" s="1056"/>
      <c r="I86" s="874">
        <v>21485</v>
      </c>
      <c r="J86" s="901"/>
      <c r="K86" s="904"/>
      <c r="L86" s="1012"/>
    </row>
    <row r="87" spans="1:12" ht="12" customHeight="1" x14ac:dyDescent="0.25">
      <c r="A87" s="916"/>
      <c r="B87" s="917"/>
      <c r="C87" s="918"/>
      <c r="D87" s="927" t="s">
        <v>620</v>
      </c>
      <c r="E87" s="1033"/>
      <c r="F87" s="1033"/>
      <c r="G87" s="1033"/>
      <c r="H87" s="1033"/>
      <c r="I87" s="920">
        <f>I86</f>
        <v>21485</v>
      </c>
      <c r="J87" s="916"/>
      <c r="K87" s="921"/>
      <c r="L87" s="1012"/>
    </row>
    <row r="88" spans="1:12" ht="12" customHeight="1" x14ac:dyDescent="0.25">
      <c r="A88" s="901">
        <v>67</v>
      </c>
      <c r="B88" s="902" t="s">
        <v>263</v>
      </c>
      <c r="C88" s="922" t="s">
        <v>390</v>
      </c>
      <c r="D88" s="905" t="s">
        <v>527</v>
      </c>
      <c r="E88" s="1056">
        <v>520</v>
      </c>
      <c r="F88" s="1056">
        <v>800</v>
      </c>
      <c r="G88" s="1056">
        <v>370</v>
      </c>
      <c r="H88" s="1056">
        <v>0</v>
      </c>
      <c r="I88" s="874">
        <v>0</v>
      </c>
      <c r="J88" s="901"/>
      <c r="K88" s="904"/>
      <c r="L88" s="1012"/>
    </row>
    <row r="89" spans="1:12" ht="12" customHeight="1" x14ac:dyDescent="0.25">
      <c r="A89" s="901">
        <v>68</v>
      </c>
      <c r="B89" s="902" t="s">
        <v>263</v>
      </c>
      <c r="C89" s="922" t="s">
        <v>390</v>
      </c>
      <c r="D89" s="905" t="s">
        <v>457</v>
      </c>
      <c r="E89" s="1056">
        <v>100</v>
      </c>
      <c r="F89" s="1056">
        <v>0</v>
      </c>
      <c r="G89" s="1056">
        <v>0</v>
      </c>
      <c r="H89" s="1056">
        <v>0</v>
      </c>
      <c r="I89" s="923">
        <v>0</v>
      </c>
      <c r="J89" s="901"/>
      <c r="K89" s="904"/>
      <c r="L89" s="1012"/>
    </row>
    <row r="90" spans="1:12" ht="12" customHeight="1" x14ac:dyDescent="0.25">
      <c r="A90" s="901">
        <f>A89+1</f>
        <v>69</v>
      </c>
      <c r="B90" s="902" t="s">
        <v>263</v>
      </c>
      <c r="C90" s="922" t="s">
        <v>390</v>
      </c>
      <c r="D90" s="905" t="s">
        <v>528</v>
      </c>
      <c r="E90" s="1056">
        <v>126</v>
      </c>
      <c r="F90" s="1056">
        <v>126</v>
      </c>
      <c r="G90" s="1056">
        <v>126</v>
      </c>
      <c r="H90" s="1056">
        <v>126</v>
      </c>
      <c r="I90" s="1249">
        <v>126</v>
      </c>
      <c r="J90" s="901"/>
      <c r="K90" s="904"/>
      <c r="L90" s="1012"/>
    </row>
    <row r="91" spans="1:12" ht="12" customHeight="1" x14ac:dyDescent="0.25">
      <c r="A91" s="924"/>
      <c r="B91" s="925"/>
      <c r="C91" s="926"/>
      <c r="D91" s="927" t="s">
        <v>300</v>
      </c>
      <c r="E91" s="1034">
        <f>SUM(E88:E90)</f>
        <v>746</v>
      </c>
      <c r="F91" s="1034">
        <v>926</v>
      </c>
      <c r="G91" s="1034">
        <v>496</v>
      </c>
      <c r="H91" s="1034">
        <f>SUM(H88:H90)</f>
        <v>126</v>
      </c>
      <c r="I91" s="928">
        <f>SUM(I88:I90)</f>
        <v>126</v>
      </c>
      <c r="J91" s="929"/>
      <c r="K91" s="930"/>
      <c r="L91" s="1012"/>
    </row>
    <row r="92" spans="1:12" ht="12" customHeight="1" x14ac:dyDescent="0.25">
      <c r="A92" s="931" t="e">
        <f>#REF!+1</f>
        <v>#REF!</v>
      </c>
      <c r="B92" s="932" t="s">
        <v>263</v>
      </c>
      <c r="C92" s="933" t="s">
        <v>386</v>
      </c>
      <c r="D92" s="934" t="s">
        <v>355</v>
      </c>
      <c r="E92" s="1054">
        <v>200</v>
      </c>
      <c r="F92" s="1054">
        <v>200</v>
      </c>
      <c r="G92" s="1054">
        <v>0</v>
      </c>
      <c r="H92" s="1054">
        <v>0</v>
      </c>
      <c r="I92" s="923">
        <v>0</v>
      </c>
      <c r="J92" s="931"/>
      <c r="K92" s="935"/>
      <c r="L92" s="1012"/>
    </row>
    <row r="93" spans="1:12" ht="12" customHeight="1" x14ac:dyDescent="0.25">
      <c r="A93" s="924"/>
      <c r="B93" s="925"/>
      <c r="C93" s="926"/>
      <c r="D93" s="927" t="s">
        <v>354</v>
      </c>
      <c r="E93" s="1035">
        <f>SUM(E92:E92)</f>
        <v>200</v>
      </c>
      <c r="F93" s="1035">
        <v>200</v>
      </c>
      <c r="G93" s="1035">
        <v>0</v>
      </c>
      <c r="H93" s="1035">
        <f>SUM(H92:H92)</f>
        <v>0</v>
      </c>
      <c r="I93" s="936">
        <f>SUM(I92:I92)</f>
        <v>0</v>
      </c>
      <c r="J93" s="929"/>
      <c r="K93" s="937"/>
      <c r="L93" s="1012"/>
    </row>
    <row r="94" spans="1:12" ht="11.25" customHeight="1" x14ac:dyDescent="0.25">
      <c r="A94" s="901" t="e">
        <f>A92+1</f>
        <v>#REF!</v>
      </c>
      <c r="B94" s="902" t="s">
        <v>263</v>
      </c>
      <c r="C94" s="922" t="s">
        <v>387</v>
      </c>
      <c r="D94" s="873" t="s">
        <v>143</v>
      </c>
      <c r="E94" s="1050">
        <v>2200</v>
      </c>
      <c r="F94" s="1050">
        <v>2200</v>
      </c>
      <c r="G94" s="1050">
        <v>2200</v>
      </c>
      <c r="H94" s="1050">
        <v>2200</v>
      </c>
      <c r="I94" s="1245">
        <v>2000</v>
      </c>
      <c r="J94" s="901"/>
      <c r="K94" s="904"/>
      <c r="L94" s="1012"/>
    </row>
    <row r="95" spans="1:12" ht="12" customHeight="1" x14ac:dyDescent="0.25">
      <c r="A95" s="901" t="e">
        <f>A94+1</f>
        <v>#REF!</v>
      </c>
      <c r="B95" s="902" t="s">
        <v>263</v>
      </c>
      <c r="C95" s="922" t="s">
        <v>387</v>
      </c>
      <c r="D95" s="873" t="s">
        <v>552</v>
      </c>
      <c r="E95" s="1050"/>
      <c r="F95" s="1050"/>
      <c r="G95" s="1050">
        <v>500</v>
      </c>
      <c r="H95" s="1050">
        <v>500</v>
      </c>
      <c r="I95" s="1245">
        <v>0</v>
      </c>
      <c r="J95" s="901"/>
      <c r="K95" s="904"/>
      <c r="L95" s="1012"/>
    </row>
    <row r="96" spans="1:12" ht="12" customHeight="1" x14ac:dyDescent="0.25">
      <c r="A96" s="929"/>
      <c r="B96" s="925"/>
      <c r="C96" s="926"/>
      <c r="D96" s="927" t="s">
        <v>156</v>
      </c>
      <c r="E96" s="1033">
        <f>SUM(E94:E95)</f>
        <v>2200</v>
      </c>
      <c r="F96" s="1033">
        <v>2200</v>
      </c>
      <c r="G96" s="1033">
        <v>2700</v>
      </c>
      <c r="H96" s="1033">
        <f>SUM(H94:H95)</f>
        <v>2700</v>
      </c>
      <c r="I96" s="920">
        <f>SUM(I94:I95)</f>
        <v>2000</v>
      </c>
      <c r="J96" s="929"/>
      <c r="K96" s="937"/>
      <c r="L96" s="1012"/>
    </row>
    <row r="97" spans="1:12" ht="12" customHeight="1" x14ac:dyDescent="0.25">
      <c r="A97" s="901" t="e">
        <f>#REF!+1</f>
        <v>#REF!</v>
      </c>
      <c r="B97" s="902" t="s">
        <v>263</v>
      </c>
      <c r="C97" s="922" t="s">
        <v>388</v>
      </c>
      <c r="D97" s="905" t="s">
        <v>529</v>
      </c>
      <c r="E97" s="1050">
        <v>39500</v>
      </c>
      <c r="F97" s="1050">
        <v>42000</v>
      </c>
      <c r="G97" s="1050">
        <v>45566</v>
      </c>
      <c r="H97" s="1050">
        <v>46705</v>
      </c>
      <c r="I97" s="1245">
        <v>46705</v>
      </c>
      <c r="J97" s="901"/>
      <c r="K97" s="904"/>
      <c r="L97" s="1012"/>
    </row>
    <row r="98" spans="1:12" ht="12" customHeight="1" x14ac:dyDescent="0.25">
      <c r="A98" s="924"/>
      <c r="B98" s="925"/>
      <c r="C98" s="926"/>
      <c r="D98" s="927" t="s">
        <v>29</v>
      </c>
      <c r="E98" s="1035">
        <f>SUM(E97:E97)</f>
        <v>39500</v>
      </c>
      <c r="F98" s="1035">
        <v>42000</v>
      </c>
      <c r="G98" s="1035">
        <v>45566</v>
      </c>
      <c r="H98" s="1035">
        <f>SUM(H97:H97)</f>
        <v>46705</v>
      </c>
      <c r="I98" s="936">
        <f>SUM(I97:I97)</f>
        <v>46705</v>
      </c>
      <c r="J98" s="929"/>
      <c r="K98" s="937"/>
      <c r="L98" s="1012"/>
    </row>
    <row r="99" spans="1:12" ht="12" customHeight="1" x14ac:dyDescent="0.25">
      <c r="A99" s="901" t="e">
        <f>#REF!+1</f>
        <v>#REF!</v>
      </c>
      <c r="B99" s="902" t="s">
        <v>263</v>
      </c>
      <c r="C99" s="922" t="s">
        <v>385</v>
      </c>
      <c r="D99" s="873" t="s">
        <v>530</v>
      </c>
      <c r="E99" s="1050">
        <v>250</v>
      </c>
      <c r="F99" s="1050">
        <v>250</v>
      </c>
      <c r="G99" s="1050">
        <v>250</v>
      </c>
      <c r="H99" s="1050">
        <v>250</v>
      </c>
      <c r="I99" s="1245">
        <v>250</v>
      </c>
      <c r="J99" s="901"/>
      <c r="K99" s="904"/>
      <c r="L99" s="1012"/>
    </row>
    <row r="100" spans="1:12" ht="12" hidden="1" customHeight="1" x14ac:dyDescent="0.25">
      <c r="A100" s="901" t="e">
        <f>A99+1</f>
        <v>#REF!</v>
      </c>
      <c r="B100" s="902" t="s">
        <v>263</v>
      </c>
      <c r="C100" s="922" t="s">
        <v>385</v>
      </c>
      <c r="D100" s="873" t="s">
        <v>440</v>
      </c>
      <c r="E100" s="1050">
        <v>300</v>
      </c>
      <c r="F100" s="1050">
        <v>0</v>
      </c>
      <c r="G100" s="1050">
        <v>0</v>
      </c>
      <c r="H100" s="1050"/>
      <c r="I100" s="1244"/>
      <c r="J100" s="901"/>
      <c r="K100" s="904"/>
      <c r="L100" s="1012"/>
    </row>
    <row r="101" spans="1:12" ht="12" customHeight="1" x14ac:dyDescent="0.25">
      <c r="A101" s="901" t="e">
        <f>A100+1</f>
        <v>#REF!</v>
      </c>
      <c r="B101" s="902" t="s">
        <v>263</v>
      </c>
      <c r="C101" s="922" t="s">
        <v>385</v>
      </c>
      <c r="D101" s="873" t="s">
        <v>295</v>
      </c>
      <c r="E101" s="1050">
        <v>150</v>
      </c>
      <c r="F101" s="1050">
        <v>150</v>
      </c>
      <c r="G101" s="1050">
        <v>150</v>
      </c>
      <c r="H101" s="1050">
        <v>150</v>
      </c>
      <c r="I101" s="1245">
        <v>150</v>
      </c>
      <c r="J101" s="901"/>
      <c r="K101" s="904"/>
      <c r="L101" s="1012"/>
    </row>
    <row r="102" spans="1:12" ht="12" customHeight="1" x14ac:dyDescent="0.25">
      <c r="A102" s="924"/>
      <c r="B102" s="925"/>
      <c r="C102" s="926"/>
      <c r="D102" s="927" t="s">
        <v>155</v>
      </c>
      <c r="E102" s="1033">
        <f t="shared" ref="E102:I102" si="3">SUM(E99:E101)</f>
        <v>700</v>
      </c>
      <c r="F102" s="1033">
        <v>400</v>
      </c>
      <c r="G102" s="1033">
        <v>400</v>
      </c>
      <c r="H102" s="1033">
        <f t="shared" ref="H102" si="4">SUM(H99:H101)</f>
        <v>400</v>
      </c>
      <c r="I102" s="920">
        <f t="shared" si="3"/>
        <v>400</v>
      </c>
      <c r="J102" s="929"/>
      <c r="K102" s="937"/>
      <c r="L102" s="1012"/>
    </row>
    <row r="103" spans="1:12" ht="12" customHeight="1" x14ac:dyDescent="0.25">
      <c r="A103" s="901" t="e">
        <f>A101+1</f>
        <v>#REF!</v>
      </c>
      <c r="B103" s="902" t="s">
        <v>263</v>
      </c>
      <c r="C103" s="922" t="s">
        <v>389</v>
      </c>
      <c r="D103" s="905" t="s">
        <v>137</v>
      </c>
      <c r="E103" s="1051">
        <v>300</v>
      </c>
      <c r="F103" s="1051">
        <v>400</v>
      </c>
      <c r="G103" s="1051">
        <v>500</v>
      </c>
      <c r="H103" s="1051">
        <v>500</v>
      </c>
      <c r="I103" s="1245">
        <v>500</v>
      </c>
      <c r="J103" s="901"/>
      <c r="K103" s="904"/>
      <c r="L103" s="1012"/>
    </row>
    <row r="104" spans="1:12" ht="12" customHeight="1" x14ac:dyDescent="0.25">
      <c r="A104" s="924"/>
      <c r="B104" s="925"/>
      <c r="C104" s="926"/>
      <c r="D104" s="927" t="s">
        <v>88</v>
      </c>
      <c r="E104" s="1035">
        <f>SUM(E103:E103)</f>
        <v>300</v>
      </c>
      <c r="F104" s="1035">
        <v>400</v>
      </c>
      <c r="G104" s="1035">
        <v>500</v>
      </c>
      <c r="H104" s="1035">
        <f>SUM(H103:H103)</f>
        <v>500</v>
      </c>
      <c r="I104" s="936">
        <f>SUM(I103:I103)</f>
        <v>500</v>
      </c>
      <c r="J104" s="929"/>
      <c r="K104" s="937"/>
      <c r="L104" s="1012"/>
    </row>
    <row r="105" spans="1:12" ht="12" customHeight="1" x14ac:dyDescent="0.25">
      <c r="A105" s="901" t="e">
        <f>A103+1</f>
        <v>#REF!</v>
      </c>
      <c r="B105" s="902" t="s">
        <v>263</v>
      </c>
      <c r="C105" s="922" t="s">
        <v>374</v>
      </c>
      <c r="D105" s="873" t="s">
        <v>356</v>
      </c>
      <c r="E105" s="1050">
        <v>2000</v>
      </c>
      <c r="F105" s="1050">
        <v>2000</v>
      </c>
      <c r="G105" s="1050">
        <v>2000</v>
      </c>
      <c r="H105" s="1050">
        <v>2000</v>
      </c>
      <c r="I105" s="1245">
        <v>0</v>
      </c>
      <c r="J105" s="901"/>
      <c r="K105" s="904"/>
      <c r="L105" s="1012"/>
    </row>
    <row r="106" spans="1:12" ht="12" customHeight="1" x14ac:dyDescent="0.25">
      <c r="A106" s="924"/>
      <c r="B106" s="925"/>
      <c r="C106" s="926"/>
      <c r="D106" s="927" t="s">
        <v>512</v>
      </c>
      <c r="E106" s="1034">
        <f>SUM(E105:E105)</f>
        <v>2000</v>
      </c>
      <c r="F106" s="1034">
        <v>2000</v>
      </c>
      <c r="G106" s="1034">
        <v>2000</v>
      </c>
      <c r="H106" s="1034">
        <f>SUM(H105:H105)</f>
        <v>2000</v>
      </c>
      <c r="I106" s="928">
        <f>SUM(I105:I105)</f>
        <v>0</v>
      </c>
      <c r="J106" s="929"/>
      <c r="K106" s="937"/>
      <c r="L106" s="1012"/>
    </row>
    <row r="107" spans="1:12" ht="12" customHeight="1" x14ac:dyDescent="0.25">
      <c r="A107" s="901" t="e">
        <f>#REF!+1</f>
        <v>#REF!</v>
      </c>
      <c r="B107" s="902" t="s">
        <v>263</v>
      </c>
      <c r="C107" s="922" t="s">
        <v>383</v>
      </c>
      <c r="D107" s="873" t="s">
        <v>458</v>
      </c>
      <c r="E107" s="1050">
        <v>5340</v>
      </c>
      <c r="F107" s="1050">
        <v>5340</v>
      </c>
      <c r="G107" s="1050">
        <v>5340</v>
      </c>
      <c r="H107" s="1050">
        <v>5340</v>
      </c>
      <c r="I107" s="1245">
        <v>0</v>
      </c>
      <c r="J107" s="901"/>
      <c r="K107" s="904"/>
      <c r="L107" s="1012"/>
    </row>
    <row r="108" spans="1:12" ht="12" customHeight="1" x14ac:dyDescent="0.25">
      <c r="A108" s="924"/>
      <c r="B108" s="925"/>
      <c r="C108" s="926"/>
      <c r="D108" s="927" t="s">
        <v>297</v>
      </c>
      <c r="E108" s="1035">
        <f>SUM(E107:E107)</f>
        <v>5340</v>
      </c>
      <c r="F108" s="1035">
        <v>5340</v>
      </c>
      <c r="G108" s="1035">
        <v>5340</v>
      </c>
      <c r="H108" s="1035">
        <f>SUM(H107:H107)</f>
        <v>5340</v>
      </c>
      <c r="I108" s="936">
        <f>SUM(I107:I107)</f>
        <v>0</v>
      </c>
      <c r="J108" s="929"/>
      <c r="K108" s="937"/>
      <c r="L108" s="1012"/>
    </row>
    <row r="109" spans="1:12" ht="12" hidden="1" customHeight="1" x14ac:dyDescent="0.25">
      <c r="A109" s="901" t="e">
        <f>A107+1</f>
        <v>#REF!</v>
      </c>
      <c r="B109" s="902" t="s">
        <v>263</v>
      </c>
      <c r="C109" s="922" t="s">
        <v>375</v>
      </c>
      <c r="D109" s="873"/>
      <c r="E109" s="1050"/>
      <c r="F109" s="1050"/>
      <c r="G109" s="1050"/>
      <c r="H109" s="1050"/>
      <c r="I109" s="874"/>
      <c r="J109" s="901"/>
      <c r="K109" s="904"/>
      <c r="L109" s="1012"/>
    </row>
    <row r="110" spans="1:12" ht="12" hidden="1" customHeight="1" x14ac:dyDescent="0.25">
      <c r="A110" s="924"/>
      <c r="B110" s="925"/>
      <c r="C110" s="926"/>
      <c r="D110" s="927" t="s">
        <v>357</v>
      </c>
      <c r="E110" s="1035">
        <f t="shared" ref="E110:I110" si="5">SUM(E109)</f>
        <v>0</v>
      </c>
      <c r="F110" s="1035">
        <v>0</v>
      </c>
      <c r="G110" s="1035">
        <v>0</v>
      </c>
      <c r="H110" s="1035">
        <f t="shared" ref="H110" si="6">SUM(H109)</f>
        <v>0</v>
      </c>
      <c r="I110" s="936">
        <f t="shared" si="5"/>
        <v>0</v>
      </c>
      <c r="J110" s="929"/>
      <c r="K110" s="937"/>
      <c r="L110" s="1012"/>
    </row>
    <row r="111" spans="1:12" ht="12" customHeight="1" x14ac:dyDescent="0.25">
      <c r="A111" s="901" t="e">
        <f>A109+1</f>
        <v>#REF!</v>
      </c>
      <c r="B111" s="902" t="s">
        <v>263</v>
      </c>
      <c r="C111" s="922" t="s">
        <v>384</v>
      </c>
      <c r="D111" s="873" t="s">
        <v>255</v>
      </c>
      <c r="E111" s="1050">
        <v>9848</v>
      </c>
      <c r="F111" s="1050">
        <v>8848</v>
      </c>
      <c r="G111" s="1050">
        <v>9075</v>
      </c>
      <c r="H111" s="1050">
        <v>9075</v>
      </c>
      <c r="I111" s="1245">
        <v>9075</v>
      </c>
      <c r="J111" s="901"/>
      <c r="K111" s="904"/>
      <c r="L111" s="1012"/>
    </row>
    <row r="112" spans="1:12" ht="12" customHeight="1" x14ac:dyDescent="0.25">
      <c r="A112" s="901" t="e">
        <f>#REF!+1</f>
        <v>#REF!</v>
      </c>
      <c r="B112" s="902" t="s">
        <v>263</v>
      </c>
      <c r="C112" s="922" t="s">
        <v>384</v>
      </c>
      <c r="D112" s="873" t="s">
        <v>296</v>
      </c>
      <c r="E112" s="1050">
        <v>500</v>
      </c>
      <c r="F112" s="1050">
        <v>500</v>
      </c>
      <c r="G112" s="1050">
        <v>520</v>
      </c>
      <c r="H112" s="1050">
        <v>520</v>
      </c>
      <c r="I112" s="1245">
        <v>520</v>
      </c>
      <c r="J112" s="901"/>
      <c r="K112" s="904"/>
      <c r="L112" s="1012"/>
    </row>
    <row r="113" spans="1:12" ht="12" customHeight="1" x14ac:dyDescent="0.25">
      <c r="A113" s="924"/>
      <c r="B113" s="925"/>
      <c r="C113" s="926"/>
      <c r="D113" s="927" t="s">
        <v>256</v>
      </c>
      <c r="E113" s="1035">
        <f>SUM(E111:E112)</f>
        <v>10348</v>
      </c>
      <c r="F113" s="1035">
        <v>9348</v>
      </c>
      <c r="G113" s="1035">
        <v>9595</v>
      </c>
      <c r="H113" s="1035">
        <f>SUM(H111:H112)</f>
        <v>9595</v>
      </c>
      <c r="I113" s="936">
        <f>SUM(I111:I112)</f>
        <v>9595</v>
      </c>
      <c r="J113" s="929"/>
      <c r="K113" s="937"/>
      <c r="L113" s="1012"/>
    </row>
    <row r="114" spans="1:12" ht="12" customHeight="1" x14ac:dyDescent="0.25">
      <c r="A114" s="901" t="e">
        <f>#REF!+1</f>
        <v>#REF!</v>
      </c>
      <c r="B114" s="902" t="s">
        <v>263</v>
      </c>
      <c r="C114" s="922" t="s">
        <v>376</v>
      </c>
      <c r="D114" s="873" t="s">
        <v>531</v>
      </c>
      <c r="E114" s="1050">
        <v>1400</v>
      </c>
      <c r="F114" s="1050">
        <v>1400</v>
      </c>
      <c r="G114" s="1050">
        <v>1400</v>
      </c>
      <c r="H114" s="1050">
        <v>1400</v>
      </c>
      <c r="I114" s="1245">
        <v>1400</v>
      </c>
      <c r="J114" s="901"/>
      <c r="K114" s="904"/>
      <c r="L114" s="1012"/>
    </row>
    <row r="115" spans="1:12" ht="12" customHeight="1" x14ac:dyDescent="0.25">
      <c r="A115" s="924"/>
      <c r="B115" s="925"/>
      <c r="C115" s="926"/>
      <c r="D115" s="927" t="s">
        <v>194</v>
      </c>
      <c r="E115" s="1035">
        <f t="shared" ref="E115:I115" si="7">SUM(E114)</f>
        <v>1400</v>
      </c>
      <c r="F115" s="1035">
        <v>1400</v>
      </c>
      <c r="G115" s="1035">
        <v>1400</v>
      </c>
      <c r="H115" s="1035">
        <f t="shared" ref="H115" si="8">SUM(H114)</f>
        <v>1400</v>
      </c>
      <c r="I115" s="936">
        <f t="shared" si="7"/>
        <v>1400</v>
      </c>
      <c r="J115" s="929"/>
      <c r="K115" s="937"/>
      <c r="L115" s="1012"/>
    </row>
    <row r="116" spans="1:12" ht="12" hidden="1" customHeight="1" x14ac:dyDescent="0.25">
      <c r="A116" s="901" t="e">
        <f>A114+1</f>
        <v>#REF!</v>
      </c>
      <c r="B116" s="902" t="s">
        <v>263</v>
      </c>
      <c r="C116" s="922" t="s">
        <v>377</v>
      </c>
      <c r="D116" s="905" t="s">
        <v>634</v>
      </c>
      <c r="E116" s="1051">
        <v>0</v>
      </c>
      <c r="F116" s="1051">
        <v>0</v>
      </c>
      <c r="G116" s="1051">
        <v>0</v>
      </c>
      <c r="H116" s="1051">
        <v>0</v>
      </c>
      <c r="I116" s="883"/>
      <c r="J116" s="901"/>
      <c r="K116" s="904"/>
      <c r="L116" s="1012"/>
    </row>
    <row r="117" spans="1:12" ht="12" hidden="1" customHeight="1" x14ac:dyDescent="0.25">
      <c r="A117" s="924"/>
      <c r="B117" s="925"/>
      <c r="C117" s="926"/>
      <c r="D117" s="927" t="s">
        <v>94</v>
      </c>
      <c r="E117" s="1034">
        <f>SUM(E116:E116)</f>
        <v>0</v>
      </c>
      <c r="F117" s="1034">
        <v>0</v>
      </c>
      <c r="G117" s="1034">
        <v>0</v>
      </c>
      <c r="H117" s="1034">
        <f>SUM(H116:H116)</f>
        <v>0</v>
      </c>
      <c r="I117" s="928">
        <f>SUM(I116:I116)</f>
        <v>0</v>
      </c>
      <c r="J117" s="929"/>
      <c r="K117" s="937"/>
      <c r="L117" s="1012"/>
    </row>
    <row r="118" spans="1:12" ht="12" customHeight="1" x14ac:dyDescent="0.25">
      <c r="A118" s="901" t="e">
        <f>A116+1</f>
        <v>#REF!</v>
      </c>
      <c r="B118" s="902" t="s">
        <v>263</v>
      </c>
      <c r="C118" s="872" t="s">
        <v>379</v>
      </c>
      <c r="D118" s="873" t="s">
        <v>294</v>
      </c>
      <c r="E118" s="1055">
        <v>650</v>
      </c>
      <c r="F118" s="1055">
        <v>650</v>
      </c>
      <c r="G118" s="1055">
        <v>850</v>
      </c>
      <c r="H118" s="1055">
        <v>850</v>
      </c>
      <c r="I118" s="1245">
        <v>630</v>
      </c>
      <c r="J118" s="901"/>
      <c r="K118" s="904"/>
      <c r="L118" s="1012"/>
    </row>
    <row r="119" spans="1:12" ht="12" customHeight="1" x14ac:dyDescent="0.25">
      <c r="A119" s="929"/>
      <c r="B119" s="925"/>
      <c r="C119" s="926"/>
      <c r="D119" s="927" t="s">
        <v>123</v>
      </c>
      <c r="E119" s="1033">
        <f>SUM(E118:E118)</f>
        <v>650</v>
      </c>
      <c r="F119" s="1033">
        <v>650</v>
      </c>
      <c r="G119" s="1033">
        <v>850</v>
      </c>
      <c r="H119" s="1033">
        <f>SUM(H118:H118)</f>
        <v>850</v>
      </c>
      <c r="I119" s="920">
        <f>SUM(I118:I118)</f>
        <v>630</v>
      </c>
      <c r="J119" s="929"/>
      <c r="K119" s="937"/>
      <c r="L119" s="1012"/>
    </row>
    <row r="120" spans="1:12" ht="12" customHeight="1" x14ac:dyDescent="0.25">
      <c r="A120" s="901" t="e">
        <f>A118+1</f>
        <v>#REF!</v>
      </c>
      <c r="B120" s="902" t="s">
        <v>263</v>
      </c>
      <c r="C120" s="922" t="s">
        <v>380</v>
      </c>
      <c r="D120" s="873" t="s">
        <v>66</v>
      </c>
      <c r="E120" s="1051">
        <v>7250</v>
      </c>
      <c r="F120" s="1051">
        <v>7250</v>
      </c>
      <c r="G120" s="1051">
        <v>7250</v>
      </c>
      <c r="H120" s="1051">
        <v>7037</v>
      </c>
      <c r="I120" s="1245">
        <v>7073</v>
      </c>
      <c r="J120" s="901"/>
      <c r="K120" s="904"/>
      <c r="L120" s="1012"/>
    </row>
    <row r="121" spans="1:12" ht="12" customHeight="1" x14ac:dyDescent="0.25">
      <c r="A121" s="901" t="e">
        <f>A120+1</f>
        <v>#REF!</v>
      </c>
      <c r="B121" s="902" t="s">
        <v>263</v>
      </c>
      <c r="C121" s="922" t="s">
        <v>380</v>
      </c>
      <c r="D121" s="873" t="s">
        <v>245</v>
      </c>
      <c r="E121" s="1051">
        <v>820</v>
      </c>
      <c r="F121" s="1051">
        <v>960</v>
      </c>
      <c r="G121" s="1051">
        <v>410</v>
      </c>
      <c r="H121" s="1051">
        <v>0</v>
      </c>
      <c r="I121" s="1245">
        <v>0</v>
      </c>
      <c r="J121" s="901"/>
      <c r="K121" s="904"/>
      <c r="L121" s="1012"/>
    </row>
    <row r="122" spans="1:12" ht="12" customHeight="1" x14ac:dyDescent="0.25">
      <c r="A122" s="901" t="e">
        <f t="shared" ref="A122:A140" si="9">A121+1</f>
        <v>#REF!</v>
      </c>
      <c r="B122" s="902" t="s">
        <v>263</v>
      </c>
      <c r="C122" s="922" t="s">
        <v>380</v>
      </c>
      <c r="D122" s="873" t="s">
        <v>246</v>
      </c>
      <c r="E122" s="1057">
        <v>650</v>
      </c>
      <c r="F122" s="1057">
        <v>650</v>
      </c>
      <c r="G122" s="1057">
        <v>650</v>
      </c>
      <c r="H122" s="1057">
        <v>650</v>
      </c>
      <c r="I122" s="1245">
        <v>700</v>
      </c>
      <c r="J122" s="901"/>
      <c r="K122" s="904"/>
      <c r="L122" s="1012"/>
    </row>
    <row r="123" spans="1:12" ht="12" customHeight="1" x14ac:dyDescent="0.25">
      <c r="A123" s="901" t="e">
        <f t="shared" si="9"/>
        <v>#REF!</v>
      </c>
      <c r="B123" s="902" t="s">
        <v>263</v>
      </c>
      <c r="C123" s="922" t="s">
        <v>380</v>
      </c>
      <c r="D123" s="873" t="s">
        <v>459</v>
      </c>
      <c r="E123" s="1057">
        <v>300</v>
      </c>
      <c r="F123" s="1057">
        <v>390</v>
      </c>
      <c r="G123" s="1057">
        <v>390</v>
      </c>
      <c r="H123" s="1057">
        <v>500</v>
      </c>
      <c r="I123" s="1245">
        <v>535</v>
      </c>
      <c r="J123" s="901"/>
      <c r="K123" s="904"/>
      <c r="L123" s="1012"/>
    </row>
    <row r="124" spans="1:12" ht="12" customHeight="1" x14ac:dyDescent="0.25">
      <c r="A124" s="901" t="e">
        <f>#REF!+1</f>
        <v>#REF!</v>
      </c>
      <c r="B124" s="902" t="s">
        <v>263</v>
      </c>
      <c r="C124" s="922" t="s">
        <v>380</v>
      </c>
      <c r="D124" s="873" t="s">
        <v>247</v>
      </c>
      <c r="E124" s="1051">
        <v>840</v>
      </c>
      <c r="F124" s="1051">
        <v>840</v>
      </c>
      <c r="G124" s="1051">
        <v>906</v>
      </c>
      <c r="H124" s="1051">
        <v>906</v>
      </c>
      <c r="I124" s="1245">
        <v>0</v>
      </c>
      <c r="J124" s="901"/>
      <c r="K124" s="904"/>
      <c r="L124" s="1012"/>
    </row>
    <row r="125" spans="1:12" ht="12" customHeight="1" x14ac:dyDescent="0.25">
      <c r="A125" s="901" t="e">
        <f t="shared" si="9"/>
        <v>#REF!</v>
      </c>
      <c r="B125" s="902" t="s">
        <v>263</v>
      </c>
      <c r="C125" s="922" t="s">
        <v>380</v>
      </c>
      <c r="D125" s="873" t="s">
        <v>248</v>
      </c>
      <c r="E125" s="1051">
        <v>1100</v>
      </c>
      <c r="F125" s="1051">
        <v>0</v>
      </c>
      <c r="G125" s="1051">
        <v>0</v>
      </c>
      <c r="H125" s="1051"/>
      <c r="I125" s="1244"/>
      <c r="J125" s="901"/>
      <c r="K125" s="904"/>
      <c r="L125" s="1012"/>
    </row>
    <row r="126" spans="1:12" ht="12" customHeight="1" x14ac:dyDescent="0.25">
      <c r="A126" s="901" t="e">
        <f t="shared" si="9"/>
        <v>#REF!</v>
      </c>
      <c r="B126" s="902" t="s">
        <v>263</v>
      </c>
      <c r="C126" s="922" t="s">
        <v>380</v>
      </c>
      <c r="D126" s="873" t="s">
        <v>249</v>
      </c>
      <c r="E126" s="1051">
        <v>7940</v>
      </c>
      <c r="F126" s="1051">
        <v>880</v>
      </c>
      <c r="G126" s="1051">
        <v>880</v>
      </c>
      <c r="H126" s="1051">
        <v>942</v>
      </c>
      <c r="I126" s="1245">
        <v>960</v>
      </c>
      <c r="J126" s="901"/>
      <c r="K126" s="904"/>
      <c r="L126" s="1012"/>
    </row>
    <row r="127" spans="1:12" ht="12" customHeight="1" x14ac:dyDescent="0.25">
      <c r="A127" s="901" t="e">
        <f t="shared" si="9"/>
        <v>#REF!</v>
      </c>
      <c r="B127" s="902" t="s">
        <v>263</v>
      </c>
      <c r="C127" s="922" t="s">
        <v>380</v>
      </c>
      <c r="D127" s="939" t="s">
        <v>250</v>
      </c>
      <c r="E127" s="1051">
        <v>10220</v>
      </c>
      <c r="F127" s="1051">
        <v>9820</v>
      </c>
      <c r="G127" s="1051">
        <v>10000</v>
      </c>
      <c r="H127" s="1051">
        <v>10280</v>
      </c>
      <c r="I127" s="1245">
        <v>11200</v>
      </c>
      <c r="J127" s="901"/>
      <c r="K127" s="904"/>
      <c r="L127" s="1012"/>
    </row>
    <row r="128" spans="1:12" ht="12" customHeight="1" x14ac:dyDescent="0.25">
      <c r="A128" s="901" t="e">
        <f t="shared" si="9"/>
        <v>#REF!</v>
      </c>
      <c r="B128" s="902" t="s">
        <v>263</v>
      </c>
      <c r="C128" s="922" t="s">
        <v>380</v>
      </c>
      <c r="D128" s="905" t="s">
        <v>251</v>
      </c>
      <c r="E128" s="1051"/>
      <c r="F128" s="1051"/>
      <c r="G128" s="1051"/>
      <c r="H128" s="1051">
        <v>600</v>
      </c>
      <c r="I128" s="1248">
        <v>1200</v>
      </c>
      <c r="J128" s="901"/>
      <c r="K128" s="904"/>
      <c r="L128" s="1012"/>
    </row>
    <row r="129" spans="1:12" ht="12" customHeight="1" x14ac:dyDescent="0.25">
      <c r="A129" s="901" t="e">
        <f t="shared" si="9"/>
        <v>#REF!</v>
      </c>
      <c r="B129" s="902" t="s">
        <v>263</v>
      </c>
      <c r="C129" s="922" t="s">
        <v>380</v>
      </c>
      <c r="D129" s="905" t="s">
        <v>252</v>
      </c>
      <c r="E129" s="1051">
        <v>3200</v>
      </c>
      <c r="F129" s="1051">
        <v>3200</v>
      </c>
      <c r="G129" s="1051">
        <v>3000</v>
      </c>
      <c r="H129" s="1051">
        <v>3000</v>
      </c>
      <c r="I129" s="1245">
        <v>3000</v>
      </c>
      <c r="J129" s="901"/>
      <c r="K129" s="904"/>
      <c r="L129" s="1012"/>
    </row>
    <row r="130" spans="1:12" ht="12" customHeight="1" x14ac:dyDescent="0.25">
      <c r="A130" s="901" t="e">
        <f>#REF!+1</f>
        <v>#REF!</v>
      </c>
      <c r="B130" s="902" t="s">
        <v>263</v>
      </c>
      <c r="C130" s="922" t="s">
        <v>380</v>
      </c>
      <c r="D130" s="905" t="s">
        <v>253</v>
      </c>
      <c r="E130" s="1051">
        <v>500</v>
      </c>
      <c r="F130" s="1051">
        <v>1000</v>
      </c>
      <c r="G130" s="1051">
        <v>1000</v>
      </c>
      <c r="H130" s="1051">
        <v>1000</v>
      </c>
      <c r="I130" s="1245">
        <v>600</v>
      </c>
      <c r="J130" s="901"/>
      <c r="K130" s="904"/>
      <c r="L130" s="1012"/>
    </row>
    <row r="131" spans="1:12" ht="12" customHeight="1" x14ac:dyDescent="0.25">
      <c r="A131" s="901" t="e">
        <f>#REF!+1</f>
        <v>#REF!</v>
      </c>
      <c r="B131" s="902" t="s">
        <v>263</v>
      </c>
      <c r="C131" s="922" t="s">
        <v>380</v>
      </c>
      <c r="D131" s="905" t="s">
        <v>254</v>
      </c>
      <c r="E131" s="1051">
        <v>650</v>
      </c>
      <c r="F131" s="1051">
        <v>650</v>
      </c>
      <c r="G131" s="1051">
        <v>650</v>
      </c>
      <c r="H131" s="1051">
        <v>650</v>
      </c>
      <c r="I131" s="1245">
        <v>650</v>
      </c>
      <c r="J131" s="901"/>
      <c r="K131" s="904"/>
      <c r="L131" s="1012"/>
    </row>
    <row r="132" spans="1:12" ht="12" customHeight="1" x14ac:dyDescent="0.25">
      <c r="A132" s="901" t="e">
        <f>#REF!+1</f>
        <v>#REF!</v>
      </c>
      <c r="B132" s="902" t="s">
        <v>263</v>
      </c>
      <c r="C132" s="922" t="s">
        <v>448</v>
      </c>
      <c r="D132" s="905" t="s">
        <v>451</v>
      </c>
      <c r="E132" s="1051">
        <v>0</v>
      </c>
      <c r="F132" s="1051">
        <v>160</v>
      </c>
      <c r="G132" s="1051">
        <v>160</v>
      </c>
      <c r="H132" s="1051">
        <v>160</v>
      </c>
      <c r="I132" s="1245">
        <v>160</v>
      </c>
      <c r="J132" s="901"/>
      <c r="K132" s="904"/>
      <c r="L132" s="1012"/>
    </row>
    <row r="133" spans="1:12" ht="12" customHeight="1" x14ac:dyDescent="0.25">
      <c r="A133" s="901" t="e">
        <f t="shared" si="9"/>
        <v>#REF!</v>
      </c>
      <c r="B133" s="902" t="s">
        <v>263</v>
      </c>
      <c r="C133" s="922" t="s">
        <v>449</v>
      </c>
      <c r="D133" s="905" t="s">
        <v>452</v>
      </c>
      <c r="E133" s="1051">
        <v>600</v>
      </c>
      <c r="F133" s="1051">
        <v>0</v>
      </c>
      <c r="G133" s="1051">
        <v>0</v>
      </c>
      <c r="H133" s="1051"/>
      <c r="I133" s="1244"/>
      <c r="J133" s="901"/>
      <c r="K133" s="904"/>
      <c r="L133" s="1012"/>
    </row>
    <row r="134" spans="1:12" ht="12" customHeight="1" x14ac:dyDescent="0.25">
      <c r="A134" s="901" t="e">
        <f t="shared" si="9"/>
        <v>#REF!</v>
      </c>
      <c r="B134" s="902" t="s">
        <v>263</v>
      </c>
      <c r="C134" s="922" t="s">
        <v>450</v>
      </c>
      <c r="D134" s="905" t="s">
        <v>532</v>
      </c>
      <c r="E134" s="1051">
        <v>1500</v>
      </c>
      <c r="F134" s="1051">
        <v>0</v>
      </c>
      <c r="G134" s="1051">
        <v>0</v>
      </c>
      <c r="H134" s="1051"/>
      <c r="I134" s="1244"/>
      <c r="J134" s="901"/>
      <c r="K134" s="904"/>
      <c r="L134" s="1012"/>
    </row>
    <row r="135" spans="1:12" ht="12" customHeight="1" x14ac:dyDescent="0.25">
      <c r="A135" s="901" t="e">
        <f t="shared" si="9"/>
        <v>#REF!</v>
      </c>
      <c r="B135" s="902" t="s">
        <v>263</v>
      </c>
      <c r="C135" s="922" t="s">
        <v>450</v>
      </c>
      <c r="D135" s="905" t="s">
        <v>457</v>
      </c>
      <c r="E135" s="1051"/>
      <c r="F135" s="1051">
        <v>100</v>
      </c>
      <c r="G135" s="1051">
        <v>150</v>
      </c>
      <c r="H135" s="1051">
        <v>200</v>
      </c>
      <c r="I135" s="1245">
        <v>200</v>
      </c>
      <c r="J135" s="901"/>
      <c r="K135" s="904"/>
      <c r="L135" s="1012"/>
    </row>
    <row r="136" spans="1:12" ht="12" customHeight="1" x14ac:dyDescent="0.25">
      <c r="A136" s="901" t="e">
        <f>A135+1</f>
        <v>#REF!</v>
      </c>
      <c r="B136" s="902" t="s">
        <v>263</v>
      </c>
      <c r="C136" s="922" t="s">
        <v>380</v>
      </c>
      <c r="D136" s="905" t="s">
        <v>533</v>
      </c>
      <c r="E136" s="1051">
        <v>3500</v>
      </c>
      <c r="F136" s="1051">
        <v>3800</v>
      </c>
      <c r="G136" s="1051">
        <v>5500</v>
      </c>
      <c r="H136" s="1051">
        <v>5500</v>
      </c>
      <c r="I136" s="1245">
        <v>6622</v>
      </c>
      <c r="J136" s="901"/>
      <c r="K136" s="904"/>
      <c r="L136" s="960"/>
    </row>
    <row r="137" spans="1:12" ht="12" customHeight="1" x14ac:dyDescent="0.25">
      <c r="A137" s="901" t="e">
        <f t="shared" si="9"/>
        <v>#REF!</v>
      </c>
      <c r="B137" s="902" t="s">
        <v>263</v>
      </c>
      <c r="C137" s="922" t="s">
        <v>380</v>
      </c>
      <c r="D137" s="905" t="s">
        <v>573</v>
      </c>
      <c r="E137" s="1051">
        <v>0</v>
      </c>
      <c r="F137" s="1051">
        <v>0</v>
      </c>
      <c r="G137" s="1051">
        <v>0</v>
      </c>
      <c r="H137" s="1051">
        <v>200</v>
      </c>
      <c r="I137" s="1245">
        <v>100</v>
      </c>
      <c r="J137" s="901"/>
      <c r="K137" s="904"/>
      <c r="L137" s="960"/>
    </row>
    <row r="138" spans="1:12" ht="12" customHeight="1" x14ac:dyDescent="0.25">
      <c r="A138" s="901" t="e">
        <f t="shared" si="9"/>
        <v>#REF!</v>
      </c>
      <c r="B138" s="902" t="s">
        <v>263</v>
      </c>
      <c r="C138" s="922" t="s">
        <v>380</v>
      </c>
      <c r="D138" s="905" t="s">
        <v>574</v>
      </c>
      <c r="E138" s="1051">
        <v>0</v>
      </c>
      <c r="F138" s="1051">
        <v>0</v>
      </c>
      <c r="G138" s="1051">
        <v>0</v>
      </c>
      <c r="H138" s="1051">
        <v>263</v>
      </c>
      <c r="I138" s="1245">
        <v>280</v>
      </c>
      <c r="J138" s="901"/>
      <c r="K138" s="904"/>
      <c r="L138" s="960"/>
    </row>
    <row r="139" spans="1:12" ht="12" customHeight="1" x14ac:dyDescent="0.25">
      <c r="A139" s="901" t="e">
        <f t="shared" si="9"/>
        <v>#REF!</v>
      </c>
      <c r="B139" s="902" t="s">
        <v>263</v>
      </c>
      <c r="C139" s="922" t="s">
        <v>380</v>
      </c>
      <c r="D139" s="905" t="s">
        <v>575</v>
      </c>
      <c r="E139" s="1051">
        <v>0</v>
      </c>
      <c r="F139" s="1051">
        <v>0</v>
      </c>
      <c r="G139" s="1051">
        <v>0</v>
      </c>
      <c r="H139" s="1051">
        <v>700</v>
      </c>
      <c r="I139" s="1245">
        <v>1000</v>
      </c>
      <c r="J139" s="901"/>
      <c r="K139" s="904"/>
      <c r="L139" s="960"/>
    </row>
    <row r="140" spans="1:12" ht="12" customHeight="1" x14ac:dyDescent="0.25">
      <c r="A140" s="901" t="e">
        <f t="shared" si="9"/>
        <v>#REF!</v>
      </c>
      <c r="B140" s="902" t="s">
        <v>263</v>
      </c>
      <c r="C140" s="922" t="s">
        <v>380</v>
      </c>
      <c r="D140" s="905" t="s">
        <v>621</v>
      </c>
      <c r="E140" s="1051"/>
      <c r="F140" s="1051"/>
      <c r="G140" s="1051"/>
      <c r="H140" s="1051"/>
      <c r="I140" s="1245">
        <v>250</v>
      </c>
      <c r="J140" s="901"/>
      <c r="K140" s="904"/>
      <c r="L140" s="960"/>
    </row>
    <row r="141" spans="1:12" ht="12" customHeight="1" x14ac:dyDescent="0.25">
      <c r="A141" s="901">
        <v>121</v>
      </c>
      <c r="B141" s="902" t="s">
        <v>263</v>
      </c>
      <c r="C141" s="922" t="s">
        <v>380</v>
      </c>
      <c r="D141" s="905" t="s">
        <v>622</v>
      </c>
      <c r="E141" s="1051"/>
      <c r="F141" s="1051"/>
      <c r="G141" s="1051"/>
      <c r="H141" s="1051"/>
      <c r="I141" s="1245">
        <v>130</v>
      </c>
      <c r="J141" s="901"/>
      <c r="K141" s="904"/>
      <c r="L141" s="960"/>
    </row>
    <row r="142" spans="1:12" ht="12" customHeight="1" x14ac:dyDescent="0.25">
      <c r="A142" s="901">
        <v>122</v>
      </c>
      <c r="B142" s="902" t="s">
        <v>263</v>
      </c>
      <c r="C142" s="922" t="s">
        <v>380</v>
      </c>
      <c r="D142" s="905" t="s">
        <v>576</v>
      </c>
      <c r="E142" s="1051">
        <v>0</v>
      </c>
      <c r="F142" s="1051">
        <v>0</v>
      </c>
      <c r="G142" s="1051">
        <v>0</v>
      </c>
      <c r="H142" s="1051">
        <v>650</v>
      </c>
      <c r="I142" s="1245">
        <v>0</v>
      </c>
      <c r="J142" s="901"/>
      <c r="K142" s="904"/>
      <c r="L142" s="960"/>
    </row>
    <row r="143" spans="1:12" ht="12" customHeight="1" thickBot="1" x14ac:dyDescent="0.3">
      <c r="A143" s="924"/>
      <c r="B143" s="925"/>
      <c r="C143" s="926"/>
      <c r="D143" s="927" t="s">
        <v>76</v>
      </c>
      <c r="E143" s="1035">
        <f>SUM(E120:E142)</f>
        <v>39070</v>
      </c>
      <c r="F143" s="1035">
        <v>29700</v>
      </c>
      <c r="G143" s="1035">
        <v>30946</v>
      </c>
      <c r="H143" s="1035">
        <f>SUM(H120:H142)</f>
        <v>33238</v>
      </c>
      <c r="I143" s="936">
        <f>SUM(I120:I142)</f>
        <v>34660</v>
      </c>
      <c r="J143" s="929"/>
      <c r="K143" s="937"/>
      <c r="L143" s="960"/>
    </row>
    <row r="144" spans="1:12" ht="12" hidden="1" customHeight="1" x14ac:dyDescent="0.25">
      <c r="A144" s="901">
        <v>123</v>
      </c>
      <c r="B144" s="902" t="s">
        <v>263</v>
      </c>
      <c r="C144" s="922" t="s">
        <v>382</v>
      </c>
      <c r="D144" s="873" t="s">
        <v>298</v>
      </c>
      <c r="E144" s="1051">
        <v>0</v>
      </c>
      <c r="F144" s="1051">
        <v>0</v>
      </c>
      <c r="G144" s="1051">
        <v>0</v>
      </c>
      <c r="H144" s="1051">
        <v>0</v>
      </c>
      <c r="I144" s="883">
        <v>0</v>
      </c>
      <c r="J144" s="901"/>
      <c r="K144" s="904"/>
      <c r="L144" s="1010"/>
    </row>
    <row r="145" spans="1:12" s="962" customFormat="1" ht="12" hidden="1" customHeight="1" thickBot="1" x14ac:dyDescent="0.3">
      <c r="A145" s="924"/>
      <c r="B145" s="925"/>
      <c r="C145" s="926"/>
      <c r="D145" s="927" t="s">
        <v>299</v>
      </c>
      <c r="E145" s="1035">
        <f>E144</f>
        <v>0</v>
      </c>
      <c r="F145" s="1035">
        <v>0</v>
      </c>
      <c r="G145" s="1035">
        <v>0</v>
      </c>
      <c r="H145" s="1035">
        <f>H144</f>
        <v>0</v>
      </c>
      <c r="I145" s="936">
        <f>I144</f>
        <v>0</v>
      </c>
      <c r="J145" s="929"/>
      <c r="K145" s="937"/>
      <c r="L145" s="1012"/>
    </row>
    <row r="146" spans="1:12" ht="12" customHeight="1" thickBot="1" x14ac:dyDescent="0.3">
      <c r="A146" s="894" t="s">
        <v>373</v>
      </c>
      <c r="B146" s="895" t="s">
        <v>240</v>
      </c>
      <c r="C146" s="896" t="s">
        <v>16</v>
      </c>
      <c r="D146" s="940" t="s">
        <v>439</v>
      </c>
      <c r="E146" s="1036">
        <f>SUM(E147:E157)</f>
        <v>215300</v>
      </c>
      <c r="F146" s="1036">
        <v>238774</v>
      </c>
      <c r="G146" s="1036">
        <v>240601</v>
      </c>
      <c r="H146" s="1036">
        <f>SUM(H147:H157)</f>
        <v>251183</v>
      </c>
      <c r="I146" s="941">
        <f>SUM(I147:I157)</f>
        <v>262087</v>
      </c>
      <c r="J146" s="943"/>
      <c r="K146" s="942"/>
      <c r="L146" s="1020">
        <v>1</v>
      </c>
    </row>
    <row r="147" spans="1:12" ht="12" hidden="1" customHeight="1" x14ac:dyDescent="0.25">
      <c r="A147" s="901">
        <f>A144+1</f>
        <v>124</v>
      </c>
      <c r="B147" s="944" t="s">
        <v>240</v>
      </c>
      <c r="C147" s="945" t="s">
        <v>374</v>
      </c>
      <c r="D147" s="934" t="s">
        <v>513</v>
      </c>
      <c r="E147" s="1058"/>
      <c r="F147" s="1058"/>
      <c r="G147" s="1058"/>
      <c r="H147" s="1058"/>
      <c r="I147" s="946"/>
      <c r="J147" s="947"/>
      <c r="K147" s="875"/>
      <c r="L147" s="1021"/>
    </row>
    <row r="148" spans="1:12" ht="12" hidden="1" customHeight="1" x14ac:dyDescent="0.25">
      <c r="A148" s="948">
        <f>A147+1</f>
        <v>125</v>
      </c>
      <c r="B148" s="944" t="s">
        <v>240</v>
      </c>
      <c r="C148" s="922" t="s">
        <v>383</v>
      </c>
      <c r="D148" s="934" t="s">
        <v>393</v>
      </c>
      <c r="E148" s="1058"/>
      <c r="F148" s="1058"/>
      <c r="G148" s="1058"/>
      <c r="H148" s="1058"/>
      <c r="I148" s="946"/>
      <c r="J148" s="947"/>
      <c r="K148" s="875"/>
      <c r="L148" s="1021"/>
    </row>
    <row r="149" spans="1:12" ht="12" hidden="1" customHeight="1" x14ac:dyDescent="0.25">
      <c r="A149" s="948">
        <f t="shared" ref="A149:A157" si="10">A148+1</f>
        <v>126</v>
      </c>
      <c r="B149" s="944" t="s">
        <v>240</v>
      </c>
      <c r="C149" s="922" t="s">
        <v>375</v>
      </c>
      <c r="D149" s="934" t="s">
        <v>394</v>
      </c>
      <c r="E149" s="1058"/>
      <c r="F149" s="1058"/>
      <c r="G149" s="1058"/>
      <c r="H149" s="1058"/>
      <c r="I149" s="946"/>
      <c r="J149" s="947"/>
      <c r="K149" s="875"/>
      <c r="L149" s="1021"/>
    </row>
    <row r="150" spans="1:12" ht="12" hidden="1" customHeight="1" x14ac:dyDescent="0.25">
      <c r="A150" s="948">
        <f t="shared" si="10"/>
        <v>127</v>
      </c>
      <c r="B150" s="949" t="s">
        <v>240</v>
      </c>
      <c r="C150" s="938" t="s">
        <v>384</v>
      </c>
      <c r="D150" s="905" t="s">
        <v>395</v>
      </c>
      <c r="E150" s="1050"/>
      <c r="F150" s="1050"/>
      <c r="G150" s="1050"/>
      <c r="H150" s="1050"/>
      <c r="I150" s="950"/>
      <c r="J150" s="951"/>
      <c r="K150" s="875"/>
      <c r="L150" s="1021"/>
    </row>
    <row r="151" spans="1:12" ht="12" customHeight="1" x14ac:dyDescent="0.25">
      <c r="A151" s="948">
        <f t="shared" si="10"/>
        <v>128</v>
      </c>
      <c r="B151" s="949" t="s">
        <v>240</v>
      </c>
      <c r="C151" s="952" t="s">
        <v>376</v>
      </c>
      <c r="D151" s="905" t="s">
        <v>392</v>
      </c>
      <c r="E151" s="1050">
        <v>4559</v>
      </c>
      <c r="F151" s="1050">
        <v>6500</v>
      </c>
      <c r="G151" s="1050">
        <v>6000</v>
      </c>
      <c r="H151" s="1050">
        <v>6500</v>
      </c>
      <c r="I151" s="1245">
        <v>6500</v>
      </c>
      <c r="J151" s="953"/>
      <c r="K151" s="875"/>
      <c r="L151" s="1020" t="e">
        <f>#REF!/#REF!-1</f>
        <v>#REF!</v>
      </c>
    </row>
    <row r="152" spans="1:12" ht="12" customHeight="1" x14ac:dyDescent="0.25">
      <c r="A152" s="948">
        <f t="shared" si="10"/>
        <v>129</v>
      </c>
      <c r="B152" s="949" t="s">
        <v>240</v>
      </c>
      <c r="C152" s="922" t="s">
        <v>377</v>
      </c>
      <c r="D152" s="905" t="s">
        <v>396</v>
      </c>
      <c r="E152" s="1050">
        <v>3000</v>
      </c>
      <c r="F152" s="1050">
        <v>3000</v>
      </c>
      <c r="G152" s="1050">
        <v>1000</v>
      </c>
      <c r="H152" s="1050">
        <v>0</v>
      </c>
      <c r="I152" s="1250">
        <v>1000</v>
      </c>
      <c r="J152" s="953"/>
      <c r="K152" s="875"/>
      <c r="L152" s="1020" t="e">
        <f>#REF!/#REF!-1</f>
        <v>#REF!</v>
      </c>
    </row>
    <row r="153" spans="1:12" ht="12" hidden="1" customHeight="1" x14ac:dyDescent="0.25">
      <c r="A153" s="948">
        <f t="shared" si="10"/>
        <v>130</v>
      </c>
      <c r="B153" s="949" t="s">
        <v>240</v>
      </c>
      <c r="C153" s="952" t="s">
        <v>378</v>
      </c>
      <c r="D153" s="905" t="s">
        <v>397</v>
      </c>
      <c r="E153" s="1050"/>
      <c r="F153" s="1050"/>
      <c r="G153" s="1050"/>
      <c r="H153" s="1050"/>
      <c r="I153" s="1244"/>
      <c r="J153" s="951"/>
      <c r="K153" s="875"/>
      <c r="L153" s="1021"/>
    </row>
    <row r="154" spans="1:12" ht="12" customHeight="1" x14ac:dyDescent="0.25">
      <c r="A154" s="948">
        <f t="shared" si="10"/>
        <v>131</v>
      </c>
      <c r="B154" s="949" t="s">
        <v>240</v>
      </c>
      <c r="C154" s="952" t="s">
        <v>379</v>
      </c>
      <c r="D154" s="905" t="s">
        <v>398</v>
      </c>
      <c r="E154" s="1050">
        <v>7724</v>
      </c>
      <c r="F154" s="1050">
        <v>8000</v>
      </c>
      <c r="G154" s="1050">
        <v>7900</v>
      </c>
      <c r="H154" s="1050">
        <v>7900</v>
      </c>
      <c r="I154" s="1245">
        <v>7900</v>
      </c>
      <c r="J154" s="951"/>
      <c r="K154" s="875"/>
      <c r="L154" s="1020" t="e">
        <f>#REF!/#REF!-1</f>
        <v>#REF!</v>
      </c>
    </row>
    <row r="155" spans="1:12" ht="12" customHeight="1" x14ac:dyDescent="0.25">
      <c r="A155" s="948">
        <f t="shared" si="10"/>
        <v>132</v>
      </c>
      <c r="B155" s="949" t="s">
        <v>240</v>
      </c>
      <c r="C155" s="922" t="s">
        <v>380</v>
      </c>
      <c r="D155" s="905" t="s">
        <v>399</v>
      </c>
      <c r="E155" s="1050">
        <v>96197</v>
      </c>
      <c r="F155" s="1050">
        <v>105817</v>
      </c>
      <c r="G155" s="1050">
        <v>110050</v>
      </c>
      <c r="H155" s="1050">
        <v>112952</v>
      </c>
      <c r="I155" s="1245">
        <v>112952</v>
      </c>
      <c r="J155" s="951"/>
      <c r="K155" s="875"/>
      <c r="L155" s="1020" t="e">
        <f>#REF!/#REF!-1</f>
        <v>#REF!</v>
      </c>
    </row>
    <row r="156" spans="1:12" ht="12" customHeight="1" x14ac:dyDescent="0.25">
      <c r="A156" s="948" t="e">
        <f>#REF!+1</f>
        <v>#REF!</v>
      </c>
      <c r="B156" s="949" t="s">
        <v>240</v>
      </c>
      <c r="C156" s="922" t="s">
        <v>382</v>
      </c>
      <c r="D156" s="905" t="s">
        <v>400</v>
      </c>
      <c r="E156" s="1050">
        <v>9450</v>
      </c>
      <c r="F156" s="1050">
        <v>11650</v>
      </c>
      <c r="G156" s="1050">
        <v>11650</v>
      </c>
      <c r="H156" s="1050">
        <v>12150</v>
      </c>
      <c r="I156" s="1245">
        <v>13200</v>
      </c>
      <c r="J156" s="953"/>
      <c r="K156" s="875"/>
      <c r="L156" s="1020" t="e">
        <f>#REF!/#REF!-1</f>
        <v>#REF!</v>
      </c>
    </row>
    <row r="157" spans="1:12" ht="12" customHeight="1" thickBot="1" x14ac:dyDescent="0.3">
      <c r="A157" s="948" t="e">
        <f t="shared" si="10"/>
        <v>#REF!</v>
      </c>
      <c r="B157" s="955" t="s">
        <v>240</v>
      </c>
      <c r="C157" s="956" t="s">
        <v>372</v>
      </c>
      <c r="D157" s="957" t="s">
        <v>401</v>
      </c>
      <c r="E157" s="1053">
        <v>94370</v>
      </c>
      <c r="F157" s="1052">
        <v>103807.00000000001</v>
      </c>
      <c r="G157" s="1052">
        <v>104001</v>
      </c>
      <c r="H157" s="1052">
        <v>111681</v>
      </c>
      <c r="I157" s="1250">
        <v>120535</v>
      </c>
      <c r="J157" s="959"/>
      <c r="K157" s="958"/>
      <c r="L157" s="1020" t="e">
        <f>#REF!/#REF!-1</f>
        <v>#REF!</v>
      </c>
    </row>
    <row r="158" spans="1:12" ht="12" customHeight="1" thickBot="1" x14ac:dyDescent="0.3">
      <c r="A158" s="964"/>
      <c r="B158" s="964"/>
      <c r="C158" s="965"/>
      <c r="D158" s="966"/>
      <c r="E158" s="967"/>
      <c r="F158" s="967"/>
      <c r="G158" s="967"/>
      <c r="H158" s="967"/>
      <c r="I158" s="967"/>
      <c r="J158" s="968"/>
      <c r="K158" s="969"/>
      <c r="L158" s="954"/>
    </row>
    <row r="159" spans="1:12" ht="12" customHeight="1" thickBot="1" x14ac:dyDescent="0.35">
      <c r="A159" s="1014"/>
      <c r="B159" s="1015"/>
      <c r="C159" s="1016" t="s">
        <v>16</v>
      </c>
      <c r="D159" s="1016" t="s">
        <v>427</v>
      </c>
      <c r="E159" s="1004">
        <f>E21+E6</f>
        <v>293158</v>
      </c>
      <c r="F159" s="1039">
        <f>F21+F6</f>
        <v>334062.25</v>
      </c>
      <c r="G159" s="1039">
        <f>G21+G6</f>
        <v>326233</v>
      </c>
      <c r="H159" s="1039">
        <f>H21+H6</f>
        <v>340876</v>
      </c>
      <c r="I159" s="1039">
        <f>I21+I6</f>
        <v>357903</v>
      </c>
      <c r="J159" s="970"/>
      <c r="K159" s="829"/>
      <c r="L159" s="829"/>
    </row>
    <row r="160" spans="1:12" ht="12" customHeight="1" thickBot="1" x14ac:dyDescent="0.3">
      <c r="A160" s="972"/>
      <c r="B160" s="972"/>
      <c r="C160" s="973"/>
      <c r="D160" s="974"/>
      <c r="E160" s="975"/>
      <c r="F160" s="975"/>
      <c r="G160" s="975"/>
      <c r="H160" s="975"/>
      <c r="I160" s="975"/>
      <c r="J160" s="970"/>
      <c r="K160" s="829"/>
      <c r="L160" s="829"/>
    </row>
    <row r="161" spans="1:12" ht="12" customHeight="1" thickBot="1" x14ac:dyDescent="0.35">
      <c r="A161" s="1014"/>
      <c r="B161" s="1015"/>
      <c r="C161" s="1016" t="s">
        <v>16</v>
      </c>
      <c r="D161" s="1016" t="s">
        <v>167</v>
      </c>
      <c r="E161" s="1004">
        <f>E146+E21</f>
        <v>417126</v>
      </c>
      <c r="F161" s="1039">
        <f>F146+F21</f>
        <v>449006.25</v>
      </c>
      <c r="G161" s="1039">
        <f>G146+G21</f>
        <v>452704</v>
      </c>
      <c r="H161" s="1039">
        <f>H146+H21</f>
        <v>477839</v>
      </c>
      <c r="I161" s="1039">
        <f>I146+I21</f>
        <v>499250</v>
      </c>
      <c r="J161" s="970"/>
      <c r="K161" s="829"/>
      <c r="L161" s="829"/>
    </row>
    <row r="162" spans="1:12" ht="12" customHeight="1" thickBot="1" x14ac:dyDescent="0.3">
      <c r="A162" s="972"/>
      <c r="B162" s="972"/>
      <c r="C162" s="973"/>
      <c r="D162" s="974"/>
      <c r="E162" s="975"/>
      <c r="F162" s="975"/>
      <c r="G162" s="975"/>
      <c r="H162" s="975"/>
      <c r="I162" s="975"/>
      <c r="J162" s="970"/>
      <c r="K162" s="829"/>
      <c r="L162" s="829"/>
    </row>
    <row r="163" spans="1:12" ht="12" customHeight="1" thickBot="1" x14ac:dyDescent="0.35">
      <c r="A163" s="1014"/>
      <c r="B163" s="1015"/>
      <c r="C163" s="1016" t="s">
        <v>16</v>
      </c>
      <c r="D163" s="1016" t="s">
        <v>168</v>
      </c>
      <c r="E163" s="1004">
        <f>E6+E21+E146</f>
        <v>508458</v>
      </c>
      <c r="F163" s="1039">
        <f>F6+F21+F146</f>
        <v>572836.25</v>
      </c>
      <c r="G163" s="1039">
        <f>G6+G21+G146</f>
        <v>566834</v>
      </c>
      <c r="H163" s="1039">
        <f>H6+H21+H146</f>
        <v>592059</v>
      </c>
      <c r="I163" s="1039">
        <f>I6+I21+I146</f>
        <v>619990</v>
      </c>
      <c r="J163" s="970"/>
      <c r="K163" s="829"/>
      <c r="L163" s="829"/>
    </row>
    <row r="164" spans="1:12" ht="12" customHeight="1" x14ac:dyDescent="0.25">
      <c r="A164" s="976"/>
      <c r="B164" s="976"/>
      <c r="C164" s="977"/>
      <c r="D164" s="978" t="s">
        <v>369</v>
      </c>
      <c r="E164" s="979"/>
      <c r="F164" s="1251">
        <f t="shared" ref="F164:I164" si="11">F163/E163-100%</f>
        <v>0.12661468597209602</v>
      </c>
      <c r="G164" s="1251">
        <f t="shared" si="11"/>
        <v>-1.0478125293223006E-2</v>
      </c>
      <c r="H164" s="1251">
        <f t="shared" si="11"/>
        <v>4.4501564832031937E-2</v>
      </c>
      <c r="I164" s="1251">
        <f t="shared" si="11"/>
        <v>4.7176041576937333E-2</v>
      </c>
      <c r="J164" s="970"/>
      <c r="K164" s="971"/>
    </row>
    <row r="165" spans="1:12" s="842" customFormat="1" ht="12" customHeight="1" x14ac:dyDescent="0.25">
      <c r="A165" s="976"/>
      <c r="B165" s="976"/>
      <c r="C165" s="977"/>
      <c r="D165" s="981"/>
      <c r="E165" s="982"/>
      <c r="F165" s="982">
        <f t="shared" ref="F165:I165" si="12">F163-E163</f>
        <v>64378.25</v>
      </c>
      <c r="G165" s="982">
        <f t="shared" si="12"/>
        <v>-6002.25</v>
      </c>
      <c r="H165" s="982">
        <f t="shared" si="12"/>
        <v>25225</v>
      </c>
      <c r="I165" s="982">
        <f t="shared" si="12"/>
        <v>27931</v>
      </c>
      <c r="J165" s="976"/>
      <c r="K165" s="983"/>
      <c r="L165" s="834"/>
    </row>
    <row r="166" spans="1:12" ht="12" customHeight="1" thickBot="1" x14ac:dyDescent="0.3">
      <c r="A166" s="976"/>
      <c r="B166" s="984" t="s">
        <v>417</v>
      </c>
      <c r="C166" s="977"/>
      <c r="D166" s="985"/>
      <c r="E166" s="975"/>
      <c r="F166" s="975"/>
      <c r="G166" s="975"/>
      <c r="H166" s="975"/>
      <c r="I166" s="975"/>
      <c r="J166" s="976"/>
      <c r="K166" s="983"/>
    </row>
    <row r="167" spans="1:12" ht="12" customHeight="1" thickBot="1" x14ac:dyDescent="0.3">
      <c r="A167" s="986"/>
      <c r="B167" s="987"/>
      <c r="C167" s="988"/>
      <c r="D167" s="989" t="s">
        <v>404</v>
      </c>
      <c r="E167" s="1040">
        <f>SUBTOTAL(9,E8:E11,E12,E14:E19)</f>
        <v>91332</v>
      </c>
      <c r="F167" s="990">
        <f>SUBTOTAL(9,F8:F11,F12,F14:F19)</f>
        <v>123830</v>
      </c>
      <c r="G167" s="990">
        <f>SUBTOTAL(9,G8:G11,G12,G14:G19)</f>
        <v>114130</v>
      </c>
      <c r="H167" s="990">
        <f>SUBTOTAL(9,H8:H11,H12,H14:H19)</f>
        <v>114220</v>
      </c>
      <c r="I167" s="990">
        <f>SUBTOTAL(9,I8:I11,I12,I14:I19)</f>
        <v>120740</v>
      </c>
      <c r="J167" s="970"/>
      <c r="K167" s="971"/>
      <c r="L167" s="954"/>
    </row>
    <row r="168" spans="1:12" ht="12" customHeight="1" thickBot="1" x14ac:dyDescent="0.3">
      <c r="A168" s="986"/>
      <c r="B168" s="987"/>
      <c r="C168" s="988"/>
      <c r="D168" s="989" t="s">
        <v>402</v>
      </c>
      <c r="E168" s="1049">
        <f>SUBTOTAL(9,E22:E84,E88:E90,E92:E92,E94:E95,E97:E97,E99:E101,E103,E105:E105,E107:E107,E109,E111:E112,E114,E116,E118,E120:E136,E144)</f>
        <v>201826</v>
      </c>
      <c r="F168" s="990">
        <f>SUBTOTAL(9,F22:F84,F88:F90,F92:F92,F94:F95,F97:F97,F99:F101,F103,F105:F105,F107:F107,F109,F111:F112,F114,F116,F118,F120:F136,F144)</f>
        <v>210232.25</v>
      </c>
      <c r="G168" s="990">
        <f>SUBTOTAL(9,G22:G84,G88:G90,G92:G92,G94:G95,G97:G97,G99:G101,G103,G105:G105,G107:G107,G109,G111:G112,G114,G116,G118,G120:G136,G144)</f>
        <v>212103</v>
      </c>
      <c r="H168" s="990">
        <f>SUBTOTAL(9,H22:H84,H88:H90,H92:H92,H94:H95,H97:H97,H99:H101,H103,H105:H105,H107:H107,H109,H111:H112,H114,H116,H118,H120:H142,H144)</f>
        <v>226656</v>
      </c>
      <c r="I168" s="990">
        <f>SUBTOTAL(9,I22:I84,I86,I88:I90,I92:I92,I94:I95,I97:I97,I99:I101,I103,I105:I105,I107:I107,I109,I111:I112,I114,I116,I118,I120:I142,I144)</f>
        <v>237163</v>
      </c>
      <c r="J168" s="970"/>
      <c r="K168" s="971"/>
      <c r="L168" s="954"/>
    </row>
    <row r="169" spans="1:12" ht="12" customHeight="1" thickBot="1" x14ac:dyDescent="0.3">
      <c r="A169" s="986"/>
      <c r="B169" s="987"/>
      <c r="C169" s="988"/>
      <c r="D169" s="989" t="s">
        <v>403</v>
      </c>
      <c r="E169" s="1040">
        <f>SUBTOTAL(9,E147:E157)</f>
        <v>215300</v>
      </c>
      <c r="F169" s="990">
        <f>SUBTOTAL(9,F147:F157)</f>
        <v>238774</v>
      </c>
      <c r="G169" s="990">
        <f>SUBTOTAL(9,G147:G157)</f>
        <v>240601</v>
      </c>
      <c r="H169" s="990">
        <f>SUBTOTAL(9,H147:H157)</f>
        <v>251183</v>
      </c>
      <c r="I169" s="990">
        <f>SUBTOTAL(9,I147:I157)</f>
        <v>262087</v>
      </c>
      <c r="J169" s="970"/>
      <c r="K169" s="971"/>
      <c r="L169" s="954"/>
    </row>
    <row r="170" spans="1:12" ht="12" customHeight="1" thickBot="1" x14ac:dyDescent="0.3">
      <c r="A170" s="991"/>
      <c r="B170" s="992"/>
      <c r="C170" s="993"/>
      <c r="D170" s="994" t="s">
        <v>416</v>
      </c>
      <c r="E170" s="1041">
        <f>E167+E168+E169</f>
        <v>508458</v>
      </c>
      <c r="F170" s="995">
        <f t="shared" ref="F170:G170" si="13">F167+F168+F169</f>
        <v>572836.25</v>
      </c>
      <c r="G170" s="995">
        <f t="shared" si="13"/>
        <v>566834</v>
      </c>
      <c r="H170" s="995">
        <f>H167+H168+H169</f>
        <v>592059</v>
      </c>
      <c r="I170" s="995">
        <f>I167+I168+I169</f>
        <v>619990</v>
      </c>
      <c r="J170" s="976"/>
      <c r="K170" s="983"/>
    </row>
    <row r="171" spans="1:12" ht="12" customHeight="1" x14ac:dyDescent="0.25">
      <c r="A171" s="976"/>
      <c r="B171" s="976"/>
      <c r="C171" s="977"/>
      <c r="E171" s="975"/>
      <c r="F171" s="975"/>
      <c r="G171" s="975"/>
      <c r="H171" s="975"/>
      <c r="I171" s="975"/>
      <c r="J171" s="976"/>
      <c r="K171" s="983"/>
    </row>
    <row r="172" spans="1:12" ht="12" customHeight="1" x14ac:dyDescent="0.25">
      <c r="A172" s="976"/>
      <c r="B172" s="976"/>
      <c r="C172" s="977"/>
      <c r="E172" s="975"/>
      <c r="F172" s="975"/>
      <c r="G172" s="975"/>
      <c r="H172" s="975"/>
      <c r="I172" s="975"/>
      <c r="J172" s="976"/>
      <c r="K172" s="983"/>
    </row>
    <row r="173" spans="1:12" ht="12" customHeight="1" x14ac:dyDescent="0.25">
      <c r="A173" s="976"/>
      <c r="B173" s="976"/>
      <c r="C173" s="977"/>
      <c r="D173" s="985"/>
      <c r="E173" s="975"/>
      <c r="F173" s="975"/>
      <c r="G173" s="975"/>
      <c r="H173" s="975"/>
      <c r="I173" s="975"/>
      <c r="J173" s="976"/>
      <c r="K173" s="983"/>
    </row>
    <row r="174" spans="1:12" ht="12" customHeight="1" x14ac:dyDescent="0.25">
      <c r="A174" s="976"/>
      <c r="B174" s="976"/>
      <c r="C174" s="977"/>
      <c r="D174" s="997"/>
      <c r="E174" s="975"/>
      <c r="F174" s="975"/>
      <c r="G174" s="975"/>
      <c r="H174" s="975"/>
      <c r="I174" s="975"/>
      <c r="J174" s="976"/>
      <c r="K174" s="983"/>
    </row>
    <row r="175" spans="1:12" ht="12" customHeight="1" x14ac:dyDescent="0.25">
      <c r="A175" s="976"/>
      <c r="B175" s="976"/>
      <c r="C175" s="977"/>
      <c r="D175" s="985"/>
      <c r="E175" s="996"/>
      <c r="F175" s="996"/>
      <c r="G175" s="996"/>
      <c r="H175" s="996"/>
      <c r="I175" s="996"/>
      <c r="J175" s="976"/>
      <c r="K175" s="983"/>
    </row>
    <row r="176" spans="1:12" ht="12" customHeight="1" x14ac:dyDescent="0.25">
      <c r="A176" s="997"/>
      <c r="B176" s="997"/>
      <c r="C176" s="998"/>
      <c r="D176" s="999"/>
      <c r="E176" s="996"/>
      <c r="F176" s="996"/>
      <c r="G176" s="996"/>
      <c r="H176" s="996"/>
      <c r="I176" s="996"/>
      <c r="J176" s="976"/>
      <c r="K176" s="1000"/>
    </row>
    <row r="177" spans="1:12" ht="12" customHeight="1" x14ac:dyDescent="0.25">
      <c r="A177" s="976"/>
      <c r="B177" s="976"/>
      <c r="C177" s="977"/>
      <c r="D177" s="985"/>
      <c r="E177" s="996"/>
      <c r="F177" s="996"/>
      <c r="G177" s="996"/>
      <c r="H177" s="996"/>
      <c r="I177" s="996"/>
      <c r="J177" s="976"/>
      <c r="K177" s="983"/>
    </row>
    <row r="178" spans="1:12" ht="12" customHeight="1" x14ac:dyDescent="0.25">
      <c r="A178" s="976"/>
      <c r="B178" s="976"/>
      <c r="C178" s="977"/>
      <c r="D178" s="985"/>
      <c r="E178" s="996"/>
      <c r="F178" s="996"/>
      <c r="G178" s="996"/>
      <c r="H178" s="996"/>
      <c r="I178" s="996"/>
      <c r="J178" s="976"/>
      <c r="K178" s="983"/>
    </row>
    <row r="179" spans="1:12" ht="12" customHeight="1" x14ac:dyDescent="0.25">
      <c r="A179" s="976"/>
      <c r="B179" s="976"/>
      <c r="C179" s="977"/>
      <c r="D179" s="985"/>
      <c r="E179" s="996"/>
      <c r="F179" s="996"/>
      <c r="G179" s="996"/>
      <c r="H179" s="996"/>
      <c r="I179" s="996"/>
      <c r="J179" s="976"/>
      <c r="K179" s="983"/>
      <c r="L179" s="1001"/>
    </row>
    <row r="180" spans="1:12" ht="12" customHeight="1" x14ac:dyDescent="0.25">
      <c r="A180" s="976"/>
      <c r="B180" s="976"/>
      <c r="C180" s="977"/>
      <c r="D180" s="985"/>
      <c r="E180" s="996"/>
      <c r="F180" s="996"/>
      <c r="G180" s="996"/>
      <c r="H180" s="996"/>
      <c r="I180" s="996"/>
      <c r="J180" s="976"/>
      <c r="K180" s="983"/>
      <c r="L180" s="1001"/>
    </row>
    <row r="181" spans="1:12" ht="12" customHeight="1" x14ac:dyDescent="0.25">
      <c r="E181" s="1002"/>
      <c r="F181" s="1002"/>
      <c r="G181" s="1002"/>
      <c r="H181" s="1002"/>
      <c r="I181" s="1002"/>
      <c r="L181" s="1001"/>
    </row>
    <row r="182" spans="1:12" ht="12" customHeight="1" x14ac:dyDescent="0.25">
      <c r="E182" s="1002"/>
      <c r="F182" s="1002"/>
      <c r="G182" s="1002"/>
      <c r="H182" s="1002"/>
      <c r="I182" s="1002"/>
      <c r="L182" s="1001"/>
    </row>
    <row r="183" spans="1:12" ht="12" customHeight="1" x14ac:dyDescent="0.25">
      <c r="E183" s="1002"/>
      <c r="F183" s="1002"/>
      <c r="G183" s="1002"/>
      <c r="H183" s="1002"/>
      <c r="I183" s="1002"/>
      <c r="L183" s="1001"/>
    </row>
    <row r="184" spans="1:12" s="842" customFormat="1" ht="12" customHeight="1" x14ac:dyDescent="0.25">
      <c r="A184" s="840"/>
      <c r="B184" s="840"/>
      <c r="C184" s="841"/>
      <c r="D184" s="829"/>
      <c r="E184" s="1002"/>
      <c r="F184" s="1002"/>
      <c r="G184" s="1002"/>
      <c r="H184" s="1002"/>
      <c r="I184" s="1002"/>
      <c r="J184" s="840"/>
      <c r="K184" s="1003"/>
      <c r="L184" s="1001"/>
    </row>
    <row r="185" spans="1:12" ht="12" customHeight="1" x14ac:dyDescent="0.25">
      <c r="L185" s="1001"/>
    </row>
    <row r="186" spans="1:12" ht="12" customHeight="1" x14ac:dyDescent="0.25">
      <c r="A186" s="829"/>
      <c r="B186" s="829"/>
      <c r="C186" s="829"/>
      <c r="E186" s="829"/>
      <c r="F186" s="829"/>
      <c r="G186" s="829"/>
      <c r="H186" s="829"/>
      <c r="I186" s="829"/>
      <c r="J186" s="829"/>
      <c r="K186" s="829"/>
      <c r="L186" s="1001"/>
    </row>
    <row r="187" spans="1:12" ht="12" customHeight="1" x14ac:dyDescent="0.25">
      <c r="A187" s="829"/>
      <c r="B187" s="829"/>
      <c r="C187" s="829"/>
      <c r="E187" s="829"/>
      <c r="F187" s="829"/>
      <c r="G187" s="829"/>
      <c r="H187" s="829"/>
      <c r="I187" s="829"/>
      <c r="J187" s="829"/>
      <c r="K187" s="829"/>
      <c r="L187" s="1001"/>
    </row>
    <row r="188" spans="1:12" ht="12" customHeight="1" x14ac:dyDescent="0.25">
      <c r="A188" s="829"/>
      <c r="B188" s="829"/>
      <c r="C188" s="829"/>
      <c r="E188" s="829"/>
      <c r="F188" s="829"/>
      <c r="G188" s="829"/>
      <c r="H188" s="829"/>
      <c r="I188" s="829"/>
      <c r="J188" s="829"/>
      <c r="K188" s="829"/>
      <c r="L188" s="1001"/>
    </row>
  </sheetData>
  <autoFilter ref="A5:K157"/>
  <dataConsolidate link="1"/>
  <phoneticPr fontId="8" type="noConversion"/>
  <printOptions horizontalCentered="1"/>
  <pageMargins left="0.39370078740157483" right="0.27559055118110237" top="0.31496062992125984" bottom="0.23622047244094491" header="0.19685039370078741" footer="0.11811023622047245"/>
  <pageSetup paperSize="8" scale="80" orientation="portrait" r:id="rId1"/>
  <headerFooter alignWithMargins="0">
    <oddFooter>&amp;A&amp;RStránka &amp;P</oddFooter>
  </headerFooter>
  <rowBreaks count="1" manualBreakCount="1">
    <brk id="110" max="1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zoomScale="65" zoomScaleNormal="65" workbookViewId="0"/>
  </sheetViews>
  <sheetFormatPr defaultColWidth="9.109375" defaultRowHeight="13.2" outlineLevelRow="1" outlineLevelCol="1" x14ac:dyDescent="0.25"/>
  <cols>
    <col min="1" max="1" width="7.5546875" style="1195" customWidth="1"/>
    <col min="2" max="2" width="13.109375" style="1146" customWidth="1"/>
    <col min="3" max="3" width="45" style="1147" customWidth="1"/>
    <col min="4" max="4" width="16.88671875" style="1141" customWidth="1" outlineLevel="1"/>
    <col min="5" max="5" width="38.109375" style="1148" customWidth="1" outlineLevel="1"/>
    <col min="6" max="6" width="37.33203125" style="1148" customWidth="1" outlineLevel="1"/>
    <col min="7" max="7" width="26.109375" style="1148" customWidth="1" outlineLevel="1"/>
    <col min="8" max="8" width="22.6640625" style="1148" customWidth="1" outlineLevel="1"/>
    <col min="9" max="9" width="26" style="1148" customWidth="1" outlineLevel="1"/>
    <col min="10" max="10" width="22.109375" style="1145" hidden="1" customWidth="1"/>
    <col min="11" max="11" width="18.109375" style="1141" customWidth="1"/>
    <col min="12" max="256" width="9.109375" style="1141"/>
    <col min="257" max="257" width="7.5546875" style="1141" customWidth="1"/>
    <col min="258" max="258" width="13.109375" style="1141" customWidth="1"/>
    <col min="259" max="259" width="45" style="1141" customWidth="1"/>
    <col min="260" max="260" width="16.88671875" style="1141" customWidth="1"/>
    <col min="261" max="261" width="38.109375" style="1141" customWidth="1"/>
    <col min="262" max="262" width="37.33203125" style="1141" customWidth="1"/>
    <col min="263" max="263" width="26.109375" style="1141" customWidth="1"/>
    <col min="264" max="264" width="22.6640625" style="1141" customWidth="1"/>
    <col min="265" max="265" width="26" style="1141" customWidth="1"/>
    <col min="266" max="266" width="0" style="1141" hidden="1" customWidth="1"/>
    <col min="267" max="267" width="18.109375" style="1141" customWidth="1"/>
    <col min="268" max="512" width="9.109375" style="1141"/>
    <col min="513" max="513" width="7.5546875" style="1141" customWidth="1"/>
    <col min="514" max="514" width="13.109375" style="1141" customWidth="1"/>
    <col min="515" max="515" width="45" style="1141" customWidth="1"/>
    <col min="516" max="516" width="16.88671875" style="1141" customWidth="1"/>
    <col min="517" max="517" width="38.109375" style="1141" customWidth="1"/>
    <col min="518" max="518" width="37.33203125" style="1141" customWidth="1"/>
    <col min="519" max="519" width="26.109375" style="1141" customWidth="1"/>
    <col min="520" max="520" width="22.6640625" style="1141" customWidth="1"/>
    <col min="521" max="521" width="26" style="1141" customWidth="1"/>
    <col min="522" max="522" width="0" style="1141" hidden="1" customWidth="1"/>
    <col min="523" max="523" width="18.109375" style="1141" customWidth="1"/>
    <col min="524" max="768" width="9.109375" style="1141"/>
    <col min="769" max="769" width="7.5546875" style="1141" customWidth="1"/>
    <col min="770" max="770" width="13.109375" style="1141" customWidth="1"/>
    <col min="771" max="771" width="45" style="1141" customWidth="1"/>
    <col min="772" max="772" width="16.88671875" style="1141" customWidth="1"/>
    <col min="773" max="773" width="38.109375" style="1141" customWidth="1"/>
    <col min="774" max="774" width="37.33203125" style="1141" customWidth="1"/>
    <col min="775" max="775" width="26.109375" style="1141" customWidth="1"/>
    <col min="776" max="776" width="22.6640625" style="1141" customWidth="1"/>
    <col min="777" max="777" width="26" style="1141" customWidth="1"/>
    <col min="778" max="778" width="0" style="1141" hidden="1" customWidth="1"/>
    <col min="779" max="779" width="18.109375" style="1141" customWidth="1"/>
    <col min="780" max="1024" width="9.109375" style="1141"/>
    <col min="1025" max="1025" width="7.5546875" style="1141" customWidth="1"/>
    <col min="1026" max="1026" width="13.109375" style="1141" customWidth="1"/>
    <col min="1027" max="1027" width="45" style="1141" customWidth="1"/>
    <col min="1028" max="1028" width="16.88671875" style="1141" customWidth="1"/>
    <col min="1029" max="1029" width="38.109375" style="1141" customWidth="1"/>
    <col min="1030" max="1030" width="37.33203125" style="1141" customWidth="1"/>
    <col min="1031" max="1031" width="26.109375" style="1141" customWidth="1"/>
    <col min="1032" max="1032" width="22.6640625" style="1141" customWidth="1"/>
    <col min="1033" max="1033" width="26" style="1141" customWidth="1"/>
    <col min="1034" max="1034" width="0" style="1141" hidden="1" customWidth="1"/>
    <col min="1035" max="1035" width="18.109375" style="1141" customWidth="1"/>
    <col min="1036" max="1280" width="9.109375" style="1141"/>
    <col min="1281" max="1281" width="7.5546875" style="1141" customWidth="1"/>
    <col min="1282" max="1282" width="13.109375" style="1141" customWidth="1"/>
    <col min="1283" max="1283" width="45" style="1141" customWidth="1"/>
    <col min="1284" max="1284" width="16.88671875" style="1141" customWidth="1"/>
    <col min="1285" max="1285" width="38.109375" style="1141" customWidth="1"/>
    <col min="1286" max="1286" width="37.33203125" style="1141" customWidth="1"/>
    <col min="1287" max="1287" width="26.109375" style="1141" customWidth="1"/>
    <col min="1288" max="1288" width="22.6640625" style="1141" customWidth="1"/>
    <col min="1289" max="1289" width="26" style="1141" customWidth="1"/>
    <col min="1290" max="1290" width="0" style="1141" hidden="1" customWidth="1"/>
    <col min="1291" max="1291" width="18.109375" style="1141" customWidth="1"/>
    <col min="1292" max="1536" width="9.109375" style="1141"/>
    <col min="1537" max="1537" width="7.5546875" style="1141" customWidth="1"/>
    <col min="1538" max="1538" width="13.109375" style="1141" customWidth="1"/>
    <col min="1539" max="1539" width="45" style="1141" customWidth="1"/>
    <col min="1540" max="1540" width="16.88671875" style="1141" customWidth="1"/>
    <col min="1541" max="1541" width="38.109375" style="1141" customWidth="1"/>
    <col min="1542" max="1542" width="37.33203125" style="1141" customWidth="1"/>
    <col min="1543" max="1543" width="26.109375" style="1141" customWidth="1"/>
    <col min="1544" max="1544" width="22.6640625" style="1141" customWidth="1"/>
    <col min="1545" max="1545" width="26" style="1141" customWidth="1"/>
    <col min="1546" max="1546" width="0" style="1141" hidden="1" customWidth="1"/>
    <col min="1547" max="1547" width="18.109375" style="1141" customWidth="1"/>
    <col min="1548" max="1792" width="9.109375" style="1141"/>
    <col min="1793" max="1793" width="7.5546875" style="1141" customWidth="1"/>
    <col min="1794" max="1794" width="13.109375" style="1141" customWidth="1"/>
    <col min="1795" max="1795" width="45" style="1141" customWidth="1"/>
    <col min="1796" max="1796" width="16.88671875" style="1141" customWidth="1"/>
    <col min="1797" max="1797" width="38.109375" style="1141" customWidth="1"/>
    <col min="1798" max="1798" width="37.33203125" style="1141" customWidth="1"/>
    <col min="1799" max="1799" width="26.109375" style="1141" customWidth="1"/>
    <col min="1800" max="1800" width="22.6640625" style="1141" customWidth="1"/>
    <col min="1801" max="1801" width="26" style="1141" customWidth="1"/>
    <col min="1802" max="1802" width="0" style="1141" hidden="1" customWidth="1"/>
    <col min="1803" max="1803" width="18.109375" style="1141" customWidth="1"/>
    <col min="1804" max="2048" width="9.109375" style="1141"/>
    <col min="2049" max="2049" width="7.5546875" style="1141" customWidth="1"/>
    <col min="2050" max="2050" width="13.109375" style="1141" customWidth="1"/>
    <col min="2051" max="2051" width="45" style="1141" customWidth="1"/>
    <col min="2052" max="2052" width="16.88671875" style="1141" customWidth="1"/>
    <col min="2053" max="2053" width="38.109375" style="1141" customWidth="1"/>
    <col min="2054" max="2054" width="37.33203125" style="1141" customWidth="1"/>
    <col min="2055" max="2055" width="26.109375" style="1141" customWidth="1"/>
    <col min="2056" max="2056" width="22.6640625" style="1141" customWidth="1"/>
    <col min="2057" max="2057" width="26" style="1141" customWidth="1"/>
    <col min="2058" max="2058" width="0" style="1141" hidden="1" customWidth="1"/>
    <col min="2059" max="2059" width="18.109375" style="1141" customWidth="1"/>
    <col min="2060" max="2304" width="9.109375" style="1141"/>
    <col min="2305" max="2305" width="7.5546875" style="1141" customWidth="1"/>
    <col min="2306" max="2306" width="13.109375" style="1141" customWidth="1"/>
    <col min="2307" max="2307" width="45" style="1141" customWidth="1"/>
    <col min="2308" max="2308" width="16.88671875" style="1141" customWidth="1"/>
    <col min="2309" max="2309" width="38.109375" style="1141" customWidth="1"/>
    <col min="2310" max="2310" width="37.33203125" style="1141" customWidth="1"/>
    <col min="2311" max="2311" width="26.109375" style="1141" customWidth="1"/>
    <col min="2312" max="2312" width="22.6640625" style="1141" customWidth="1"/>
    <col min="2313" max="2313" width="26" style="1141" customWidth="1"/>
    <col min="2314" max="2314" width="0" style="1141" hidden="1" customWidth="1"/>
    <col min="2315" max="2315" width="18.109375" style="1141" customWidth="1"/>
    <col min="2316" max="2560" width="9.109375" style="1141"/>
    <col min="2561" max="2561" width="7.5546875" style="1141" customWidth="1"/>
    <col min="2562" max="2562" width="13.109375" style="1141" customWidth="1"/>
    <col min="2563" max="2563" width="45" style="1141" customWidth="1"/>
    <col min="2564" max="2564" width="16.88671875" style="1141" customWidth="1"/>
    <col min="2565" max="2565" width="38.109375" style="1141" customWidth="1"/>
    <col min="2566" max="2566" width="37.33203125" style="1141" customWidth="1"/>
    <col min="2567" max="2567" width="26.109375" style="1141" customWidth="1"/>
    <col min="2568" max="2568" width="22.6640625" style="1141" customWidth="1"/>
    <col min="2569" max="2569" width="26" style="1141" customWidth="1"/>
    <col min="2570" max="2570" width="0" style="1141" hidden="1" customWidth="1"/>
    <col min="2571" max="2571" width="18.109375" style="1141" customWidth="1"/>
    <col min="2572" max="2816" width="9.109375" style="1141"/>
    <col min="2817" max="2817" width="7.5546875" style="1141" customWidth="1"/>
    <col min="2818" max="2818" width="13.109375" style="1141" customWidth="1"/>
    <col min="2819" max="2819" width="45" style="1141" customWidth="1"/>
    <col min="2820" max="2820" width="16.88671875" style="1141" customWidth="1"/>
    <col min="2821" max="2821" width="38.109375" style="1141" customWidth="1"/>
    <col min="2822" max="2822" width="37.33203125" style="1141" customWidth="1"/>
    <col min="2823" max="2823" width="26.109375" style="1141" customWidth="1"/>
    <col min="2824" max="2824" width="22.6640625" style="1141" customWidth="1"/>
    <col min="2825" max="2825" width="26" style="1141" customWidth="1"/>
    <col min="2826" max="2826" width="0" style="1141" hidden="1" customWidth="1"/>
    <col min="2827" max="2827" width="18.109375" style="1141" customWidth="1"/>
    <col min="2828" max="3072" width="9.109375" style="1141"/>
    <col min="3073" max="3073" width="7.5546875" style="1141" customWidth="1"/>
    <col min="3074" max="3074" width="13.109375" style="1141" customWidth="1"/>
    <col min="3075" max="3075" width="45" style="1141" customWidth="1"/>
    <col min="3076" max="3076" width="16.88671875" style="1141" customWidth="1"/>
    <col min="3077" max="3077" width="38.109375" style="1141" customWidth="1"/>
    <col min="3078" max="3078" width="37.33203125" style="1141" customWidth="1"/>
    <col min="3079" max="3079" width="26.109375" style="1141" customWidth="1"/>
    <col min="3080" max="3080" width="22.6640625" style="1141" customWidth="1"/>
    <col min="3081" max="3081" width="26" style="1141" customWidth="1"/>
    <col min="3082" max="3082" width="0" style="1141" hidden="1" customWidth="1"/>
    <col min="3083" max="3083" width="18.109375" style="1141" customWidth="1"/>
    <col min="3084" max="3328" width="9.109375" style="1141"/>
    <col min="3329" max="3329" width="7.5546875" style="1141" customWidth="1"/>
    <col min="3330" max="3330" width="13.109375" style="1141" customWidth="1"/>
    <col min="3331" max="3331" width="45" style="1141" customWidth="1"/>
    <col min="3332" max="3332" width="16.88671875" style="1141" customWidth="1"/>
    <col min="3333" max="3333" width="38.109375" style="1141" customWidth="1"/>
    <col min="3334" max="3334" width="37.33203125" style="1141" customWidth="1"/>
    <col min="3335" max="3335" width="26.109375" style="1141" customWidth="1"/>
    <col min="3336" max="3336" width="22.6640625" style="1141" customWidth="1"/>
    <col min="3337" max="3337" width="26" style="1141" customWidth="1"/>
    <col min="3338" max="3338" width="0" style="1141" hidden="1" customWidth="1"/>
    <col min="3339" max="3339" width="18.109375" style="1141" customWidth="1"/>
    <col min="3340" max="3584" width="9.109375" style="1141"/>
    <col min="3585" max="3585" width="7.5546875" style="1141" customWidth="1"/>
    <col min="3586" max="3586" width="13.109375" style="1141" customWidth="1"/>
    <col min="3587" max="3587" width="45" style="1141" customWidth="1"/>
    <col min="3588" max="3588" width="16.88671875" style="1141" customWidth="1"/>
    <col min="3589" max="3589" width="38.109375" style="1141" customWidth="1"/>
    <col min="3590" max="3590" width="37.33203125" style="1141" customWidth="1"/>
    <col min="3591" max="3591" width="26.109375" style="1141" customWidth="1"/>
    <col min="3592" max="3592" width="22.6640625" style="1141" customWidth="1"/>
    <col min="3593" max="3593" width="26" style="1141" customWidth="1"/>
    <col min="3594" max="3594" width="0" style="1141" hidden="1" customWidth="1"/>
    <col min="3595" max="3595" width="18.109375" style="1141" customWidth="1"/>
    <col min="3596" max="3840" width="9.109375" style="1141"/>
    <col min="3841" max="3841" width="7.5546875" style="1141" customWidth="1"/>
    <col min="3842" max="3842" width="13.109375" style="1141" customWidth="1"/>
    <col min="3843" max="3843" width="45" style="1141" customWidth="1"/>
    <col min="3844" max="3844" width="16.88671875" style="1141" customWidth="1"/>
    <col min="3845" max="3845" width="38.109375" style="1141" customWidth="1"/>
    <col min="3846" max="3846" width="37.33203125" style="1141" customWidth="1"/>
    <col min="3847" max="3847" width="26.109375" style="1141" customWidth="1"/>
    <col min="3848" max="3848" width="22.6640625" style="1141" customWidth="1"/>
    <col min="3849" max="3849" width="26" style="1141" customWidth="1"/>
    <col min="3850" max="3850" width="0" style="1141" hidden="1" customWidth="1"/>
    <col min="3851" max="3851" width="18.109375" style="1141" customWidth="1"/>
    <col min="3852" max="4096" width="9.109375" style="1141"/>
    <col min="4097" max="4097" width="7.5546875" style="1141" customWidth="1"/>
    <col min="4098" max="4098" width="13.109375" style="1141" customWidth="1"/>
    <col min="4099" max="4099" width="45" style="1141" customWidth="1"/>
    <col min="4100" max="4100" width="16.88671875" style="1141" customWidth="1"/>
    <col min="4101" max="4101" width="38.109375" style="1141" customWidth="1"/>
    <col min="4102" max="4102" width="37.33203125" style="1141" customWidth="1"/>
    <col min="4103" max="4103" width="26.109375" style="1141" customWidth="1"/>
    <col min="4104" max="4104" width="22.6640625" style="1141" customWidth="1"/>
    <col min="4105" max="4105" width="26" style="1141" customWidth="1"/>
    <col min="4106" max="4106" width="0" style="1141" hidden="1" customWidth="1"/>
    <col min="4107" max="4107" width="18.109375" style="1141" customWidth="1"/>
    <col min="4108" max="4352" width="9.109375" style="1141"/>
    <col min="4353" max="4353" width="7.5546875" style="1141" customWidth="1"/>
    <col min="4354" max="4354" width="13.109375" style="1141" customWidth="1"/>
    <col min="4355" max="4355" width="45" style="1141" customWidth="1"/>
    <col min="4356" max="4356" width="16.88671875" style="1141" customWidth="1"/>
    <col min="4357" max="4357" width="38.109375" style="1141" customWidth="1"/>
    <col min="4358" max="4358" width="37.33203125" style="1141" customWidth="1"/>
    <col min="4359" max="4359" width="26.109375" style="1141" customWidth="1"/>
    <col min="4360" max="4360" width="22.6640625" style="1141" customWidth="1"/>
    <col min="4361" max="4361" width="26" style="1141" customWidth="1"/>
    <col min="4362" max="4362" width="0" style="1141" hidden="1" customWidth="1"/>
    <col min="4363" max="4363" width="18.109375" style="1141" customWidth="1"/>
    <col min="4364" max="4608" width="9.109375" style="1141"/>
    <col min="4609" max="4609" width="7.5546875" style="1141" customWidth="1"/>
    <col min="4610" max="4610" width="13.109375" style="1141" customWidth="1"/>
    <col min="4611" max="4611" width="45" style="1141" customWidth="1"/>
    <col min="4612" max="4612" width="16.88671875" style="1141" customWidth="1"/>
    <col min="4613" max="4613" width="38.109375" style="1141" customWidth="1"/>
    <col min="4614" max="4614" width="37.33203125" style="1141" customWidth="1"/>
    <col min="4615" max="4615" width="26.109375" style="1141" customWidth="1"/>
    <col min="4616" max="4616" width="22.6640625" style="1141" customWidth="1"/>
    <col min="4617" max="4617" width="26" style="1141" customWidth="1"/>
    <col min="4618" max="4618" width="0" style="1141" hidden="1" customWidth="1"/>
    <col min="4619" max="4619" width="18.109375" style="1141" customWidth="1"/>
    <col min="4620" max="4864" width="9.109375" style="1141"/>
    <col min="4865" max="4865" width="7.5546875" style="1141" customWidth="1"/>
    <col min="4866" max="4866" width="13.109375" style="1141" customWidth="1"/>
    <col min="4867" max="4867" width="45" style="1141" customWidth="1"/>
    <col min="4868" max="4868" width="16.88671875" style="1141" customWidth="1"/>
    <col min="4869" max="4869" width="38.109375" style="1141" customWidth="1"/>
    <col min="4870" max="4870" width="37.33203125" style="1141" customWidth="1"/>
    <col min="4871" max="4871" width="26.109375" style="1141" customWidth="1"/>
    <col min="4872" max="4872" width="22.6640625" style="1141" customWidth="1"/>
    <col min="4873" max="4873" width="26" style="1141" customWidth="1"/>
    <col min="4874" max="4874" width="0" style="1141" hidden="1" customWidth="1"/>
    <col min="4875" max="4875" width="18.109375" style="1141" customWidth="1"/>
    <col min="4876" max="5120" width="9.109375" style="1141"/>
    <col min="5121" max="5121" width="7.5546875" style="1141" customWidth="1"/>
    <col min="5122" max="5122" width="13.109375" style="1141" customWidth="1"/>
    <col min="5123" max="5123" width="45" style="1141" customWidth="1"/>
    <col min="5124" max="5124" width="16.88671875" style="1141" customWidth="1"/>
    <col min="5125" max="5125" width="38.109375" style="1141" customWidth="1"/>
    <col min="5126" max="5126" width="37.33203125" style="1141" customWidth="1"/>
    <col min="5127" max="5127" width="26.109375" style="1141" customWidth="1"/>
    <col min="5128" max="5128" width="22.6640625" style="1141" customWidth="1"/>
    <col min="5129" max="5129" width="26" style="1141" customWidth="1"/>
    <col min="5130" max="5130" width="0" style="1141" hidden="1" customWidth="1"/>
    <col min="5131" max="5131" width="18.109375" style="1141" customWidth="1"/>
    <col min="5132" max="5376" width="9.109375" style="1141"/>
    <col min="5377" max="5377" width="7.5546875" style="1141" customWidth="1"/>
    <col min="5378" max="5378" width="13.109375" style="1141" customWidth="1"/>
    <col min="5379" max="5379" width="45" style="1141" customWidth="1"/>
    <col min="5380" max="5380" width="16.88671875" style="1141" customWidth="1"/>
    <col min="5381" max="5381" width="38.109375" style="1141" customWidth="1"/>
    <col min="5382" max="5382" width="37.33203125" style="1141" customWidth="1"/>
    <col min="5383" max="5383" width="26.109375" style="1141" customWidth="1"/>
    <col min="5384" max="5384" width="22.6640625" style="1141" customWidth="1"/>
    <col min="5385" max="5385" width="26" style="1141" customWidth="1"/>
    <col min="5386" max="5386" width="0" style="1141" hidden="1" customWidth="1"/>
    <col min="5387" max="5387" width="18.109375" style="1141" customWidth="1"/>
    <col min="5388" max="5632" width="9.109375" style="1141"/>
    <col min="5633" max="5633" width="7.5546875" style="1141" customWidth="1"/>
    <col min="5634" max="5634" width="13.109375" style="1141" customWidth="1"/>
    <col min="5635" max="5635" width="45" style="1141" customWidth="1"/>
    <col min="5636" max="5636" width="16.88671875" style="1141" customWidth="1"/>
    <col min="5637" max="5637" width="38.109375" style="1141" customWidth="1"/>
    <col min="5638" max="5638" width="37.33203125" style="1141" customWidth="1"/>
    <col min="5639" max="5639" width="26.109375" style="1141" customWidth="1"/>
    <col min="5640" max="5640" width="22.6640625" style="1141" customWidth="1"/>
    <col min="5641" max="5641" width="26" style="1141" customWidth="1"/>
    <col min="5642" max="5642" width="0" style="1141" hidden="1" customWidth="1"/>
    <col min="5643" max="5643" width="18.109375" style="1141" customWidth="1"/>
    <col min="5644" max="5888" width="9.109375" style="1141"/>
    <col min="5889" max="5889" width="7.5546875" style="1141" customWidth="1"/>
    <col min="5890" max="5890" width="13.109375" style="1141" customWidth="1"/>
    <col min="5891" max="5891" width="45" style="1141" customWidth="1"/>
    <col min="5892" max="5892" width="16.88671875" style="1141" customWidth="1"/>
    <col min="5893" max="5893" width="38.109375" style="1141" customWidth="1"/>
    <col min="5894" max="5894" width="37.33203125" style="1141" customWidth="1"/>
    <col min="5895" max="5895" width="26.109375" style="1141" customWidth="1"/>
    <col min="5896" max="5896" width="22.6640625" style="1141" customWidth="1"/>
    <col min="5897" max="5897" width="26" style="1141" customWidth="1"/>
    <col min="5898" max="5898" width="0" style="1141" hidden="1" customWidth="1"/>
    <col min="5899" max="5899" width="18.109375" style="1141" customWidth="1"/>
    <col min="5900" max="6144" width="9.109375" style="1141"/>
    <col min="6145" max="6145" width="7.5546875" style="1141" customWidth="1"/>
    <col min="6146" max="6146" width="13.109375" style="1141" customWidth="1"/>
    <col min="6147" max="6147" width="45" style="1141" customWidth="1"/>
    <col min="6148" max="6148" width="16.88671875" style="1141" customWidth="1"/>
    <col min="6149" max="6149" width="38.109375" style="1141" customWidth="1"/>
    <col min="6150" max="6150" width="37.33203125" style="1141" customWidth="1"/>
    <col min="6151" max="6151" width="26.109375" style="1141" customWidth="1"/>
    <col min="6152" max="6152" width="22.6640625" style="1141" customWidth="1"/>
    <col min="6153" max="6153" width="26" style="1141" customWidth="1"/>
    <col min="6154" max="6154" width="0" style="1141" hidden="1" customWidth="1"/>
    <col min="6155" max="6155" width="18.109375" style="1141" customWidth="1"/>
    <col min="6156" max="6400" width="9.109375" style="1141"/>
    <col min="6401" max="6401" width="7.5546875" style="1141" customWidth="1"/>
    <col min="6402" max="6402" width="13.109375" style="1141" customWidth="1"/>
    <col min="6403" max="6403" width="45" style="1141" customWidth="1"/>
    <col min="6404" max="6404" width="16.88671875" style="1141" customWidth="1"/>
    <col min="6405" max="6405" width="38.109375" style="1141" customWidth="1"/>
    <col min="6406" max="6406" width="37.33203125" style="1141" customWidth="1"/>
    <col min="6407" max="6407" width="26.109375" style="1141" customWidth="1"/>
    <col min="6408" max="6408" width="22.6640625" style="1141" customWidth="1"/>
    <col min="6409" max="6409" width="26" style="1141" customWidth="1"/>
    <col min="6410" max="6410" width="0" style="1141" hidden="1" customWidth="1"/>
    <col min="6411" max="6411" width="18.109375" style="1141" customWidth="1"/>
    <col min="6412" max="6656" width="9.109375" style="1141"/>
    <col min="6657" max="6657" width="7.5546875" style="1141" customWidth="1"/>
    <col min="6658" max="6658" width="13.109375" style="1141" customWidth="1"/>
    <col min="6659" max="6659" width="45" style="1141" customWidth="1"/>
    <col min="6660" max="6660" width="16.88671875" style="1141" customWidth="1"/>
    <col min="6661" max="6661" width="38.109375" style="1141" customWidth="1"/>
    <col min="6662" max="6662" width="37.33203125" style="1141" customWidth="1"/>
    <col min="6663" max="6663" width="26.109375" style="1141" customWidth="1"/>
    <col min="6664" max="6664" width="22.6640625" style="1141" customWidth="1"/>
    <col min="6665" max="6665" width="26" style="1141" customWidth="1"/>
    <col min="6666" max="6666" width="0" style="1141" hidden="1" customWidth="1"/>
    <col min="6667" max="6667" width="18.109375" style="1141" customWidth="1"/>
    <col min="6668" max="6912" width="9.109375" style="1141"/>
    <col min="6913" max="6913" width="7.5546875" style="1141" customWidth="1"/>
    <col min="6914" max="6914" width="13.109375" style="1141" customWidth="1"/>
    <col min="6915" max="6915" width="45" style="1141" customWidth="1"/>
    <col min="6916" max="6916" width="16.88671875" style="1141" customWidth="1"/>
    <col min="6917" max="6917" width="38.109375" style="1141" customWidth="1"/>
    <col min="6918" max="6918" width="37.33203125" style="1141" customWidth="1"/>
    <col min="6919" max="6919" width="26.109375" style="1141" customWidth="1"/>
    <col min="6920" max="6920" width="22.6640625" style="1141" customWidth="1"/>
    <col min="6921" max="6921" width="26" style="1141" customWidth="1"/>
    <col min="6922" max="6922" width="0" style="1141" hidden="1" customWidth="1"/>
    <col min="6923" max="6923" width="18.109375" style="1141" customWidth="1"/>
    <col min="6924" max="7168" width="9.109375" style="1141"/>
    <col min="7169" max="7169" width="7.5546875" style="1141" customWidth="1"/>
    <col min="7170" max="7170" width="13.109375" style="1141" customWidth="1"/>
    <col min="7171" max="7171" width="45" style="1141" customWidth="1"/>
    <col min="7172" max="7172" width="16.88671875" style="1141" customWidth="1"/>
    <col min="7173" max="7173" width="38.109375" style="1141" customWidth="1"/>
    <col min="7174" max="7174" width="37.33203125" style="1141" customWidth="1"/>
    <col min="7175" max="7175" width="26.109375" style="1141" customWidth="1"/>
    <col min="7176" max="7176" width="22.6640625" style="1141" customWidth="1"/>
    <col min="7177" max="7177" width="26" style="1141" customWidth="1"/>
    <col min="7178" max="7178" width="0" style="1141" hidden="1" customWidth="1"/>
    <col min="7179" max="7179" width="18.109375" style="1141" customWidth="1"/>
    <col min="7180" max="7424" width="9.109375" style="1141"/>
    <col min="7425" max="7425" width="7.5546875" style="1141" customWidth="1"/>
    <col min="7426" max="7426" width="13.109375" style="1141" customWidth="1"/>
    <col min="7427" max="7427" width="45" style="1141" customWidth="1"/>
    <col min="7428" max="7428" width="16.88671875" style="1141" customWidth="1"/>
    <col min="7429" max="7429" width="38.109375" style="1141" customWidth="1"/>
    <col min="7430" max="7430" width="37.33203125" style="1141" customWidth="1"/>
    <col min="7431" max="7431" width="26.109375" style="1141" customWidth="1"/>
    <col min="7432" max="7432" width="22.6640625" style="1141" customWidth="1"/>
    <col min="7433" max="7433" width="26" style="1141" customWidth="1"/>
    <col min="7434" max="7434" width="0" style="1141" hidden="1" customWidth="1"/>
    <col min="7435" max="7435" width="18.109375" style="1141" customWidth="1"/>
    <col min="7436" max="7680" width="9.109375" style="1141"/>
    <col min="7681" max="7681" width="7.5546875" style="1141" customWidth="1"/>
    <col min="7682" max="7682" width="13.109375" style="1141" customWidth="1"/>
    <col min="7683" max="7683" width="45" style="1141" customWidth="1"/>
    <col min="7684" max="7684" width="16.88671875" style="1141" customWidth="1"/>
    <col min="7685" max="7685" width="38.109375" style="1141" customWidth="1"/>
    <col min="7686" max="7686" width="37.33203125" style="1141" customWidth="1"/>
    <col min="7687" max="7687" width="26.109375" style="1141" customWidth="1"/>
    <col min="7688" max="7688" width="22.6640625" style="1141" customWidth="1"/>
    <col min="7689" max="7689" width="26" style="1141" customWidth="1"/>
    <col min="7690" max="7690" width="0" style="1141" hidden="1" customWidth="1"/>
    <col min="7691" max="7691" width="18.109375" style="1141" customWidth="1"/>
    <col min="7692" max="7936" width="9.109375" style="1141"/>
    <col min="7937" max="7937" width="7.5546875" style="1141" customWidth="1"/>
    <col min="7938" max="7938" width="13.109375" style="1141" customWidth="1"/>
    <col min="7939" max="7939" width="45" style="1141" customWidth="1"/>
    <col min="7940" max="7940" width="16.88671875" style="1141" customWidth="1"/>
    <col min="7941" max="7941" width="38.109375" style="1141" customWidth="1"/>
    <col min="7942" max="7942" width="37.33203125" style="1141" customWidth="1"/>
    <col min="7943" max="7943" width="26.109375" style="1141" customWidth="1"/>
    <col min="7944" max="7944" width="22.6640625" style="1141" customWidth="1"/>
    <col min="7945" max="7945" width="26" style="1141" customWidth="1"/>
    <col min="7946" max="7946" width="0" style="1141" hidden="1" customWidth="1"/>
    <col min="7947" max="7947" width="18.109375" style="1141" customWidth="1"/>
    <col min="7948" max="8192" width="9.109375" style="1141"/>
    <col min="8193" max="8193" width="7.5546875" style="1141" customWidth="1"/>
    <col min="8194" max="8194" width="13.109375" style="1141" customWidth="1"/>
    <col min="8195" max="8195" width="45" style="1141" customWidth="1"/>
    <col min="8196" max="8196" width="16.88671875" style="1141" customWidth="1"/>
    <col min="8197" max="8197" width="38.109375" style="1141" customWidth="1"/>
    <col min="8198" max="8198" width="37.33203125" style="1141" customWidth="1"/>
    <col min="8199" max="8199" width="26.109375" style="1141" customWidth="1"/>
    <col min="8200" max="8200" width="22.6640625" style="1141" customWidth="1"/>
    <col min="8201" max="8201" width="26" style="1141" customWidth="1"/>
    <col min="8202" max="8202" width="0" style="1141" hidden="1" customWidth="1"/>
    <col min="8203" max="8203" width="18.109375" style="1141" customWidth="1"/>
    <col min="8204" max="8448" width="9.109375" style="1141"/>
    <col min="8449" max="8449" width="7.5546875" style="1141" customWidth="1"/>
    <col min="8450" max="8450" width="13.109375" style="1141" customWidth="1"/>
    <col min="8451" max="8451" width="45" style="1141" customWidth="1"/>
    <col min="8452" max="8452" width="16.88671875" style="1141" customWidth="1"/>
    <col min="8453" max="8453" width="38.109375" style="1141" customWidth="1"/>
    <col min="8454" max="8454" width="37.33203125" style="1141" customWidth="1"/>
    <col min="8455" max="8455" width="26.109375" style="1141" customWidth="1"/>
    <col min="8456" max="8456" width="22.6640625" style="1141" customWidth="1"/>
    <col min="8457" max="8457" width="26" style="1141" customWidth="1"/>
    <col min="8458" max="8458" width="0" style="1141" hidden="1" customWidth="1"/>
    <col min="8459" max="8459" width="18.109375" style="1141" customWidth="1"/>
    <col min="8460" max="8704" width="9.109375" style="1141"/>
    <col min="8705" max="8705" width="7.5546875" style="1141" customWidth="1"/>
    <col min="8706" max="8706" width="13.109375" style="1141" customWidth="1"/>
    <col min="8707" max="8707" width="45" style="1141" customWidth="1"/>
    <col min="8708" max="8708" width="16.88671875" style="1141" customWidth="1"/>
    <col min="8709" max="8709" width="38.109375" style="1141" customWidth="1"/>
    <col min="8710" max="8710" width="37.33203125" style="1141" customWidth="1"/>
    <col min="8711" max="8711" width="26.109375" style="1141" customWidth="1"/>
    <col min="8712" max="8712" width="22.6640625" style="1141" customWidth="1"/>
    <col min="8713" max="8713" width="26" style="1141" customWidth="1"/>
    <col min="8714" max="8714" width="0" style="1141" hidden="1" customWidth="1"/>
    <col min="8715" max="8715" width="18.109375" style="1141" customWidth="1"/>
    <col min="8716" max="8960" width="9.109375" style="1141"/>
    <col min="8961" max="8961" width="7.5546875" style="1141" customWidth="1"/>
    <col min="8962" max="8962" width="13.109375" style="1141" customWidth="1"/>
    <col min="8963" max="8963" width="45" style="1141" customWidth="1"/>
    <col min="8964" max="8964" width="16.88671875" style="1141" customWidth="1"/>
    <col min="8965" max="8965" width="38.109375" style="1141" customWidth="1"/>
    <col min="8966" max="8966" width="37.33203125" style="1141" customWidth="1"/>
    <col min="8967" max="8967" width="26.109375" style="1141" customWidth="1"/>
    <col min="8968" max="8968" width="22.6640625" style="1141" customWidth="1"/>
    <col min="8969" max="8969" width="26" style="1141" customWidth="1"/>
    <col min="8970" max="8970" width="0" style="1141" hidden="1" customWidth="1"/>
    <col min="8971" max="8971" width="18.109375" style="1141" customWidth="1"/>
    <col min="8972" max="9216" width="9.109375" style="1141"/>
    <col min="9217" max="9217" width="7.5546875" style="1141" customWidth="1"/>
    <col min="9218" max="9218" width="13.109375" style="1141" customWidth="1"/>
    <col min="9219" max="9219" width="45" style="1141" customWidth="1"/>
    <col min="9220" max="9220" width="16.88671875" style="1141" customWidth="1"/>
    <col min="9221" max="9221" width="38.109375" style="1141" customWidth="1"/>
    <col min="9222" max="9222" width="37.33203125" style="1141" customWidth="1"/>
    <col min="9223" max="9223" width="26.109375" style="1141" customWidth="1"/>
    <col min="9224" max="9224" width="22.6640625" style="1141" customWidth="1"/>
    <col min="9225" max="9225" width="26" style="1141" customWidth="1"/>
    <col min="9226" max="9226" width="0" style="1141" hidden="1" customWidth="1"/>
    <col min="9227" max="9227" width="18.109375" style="1141" customWidth="1"/>
    <col min="9228" max="9472" width="9.109375" style="1141"/>
    <col min="9473" max="9473" width="7.5546875" style="1141" customWidth="1"/>
    <col min="9474" max="9474" width="13.109375" style="1141" customWidth="1"/>
    <col min="9475" max="9475" width="45" style="1141" customWidth="1"/>
    <col min="9476" max="9476" width="16.88671875" style="1141" customWidth="1"/>
    <col min="9477" max="9477" width="38.109375" style="1141" customWidth="1"/>
    <col min="9478" max="9478" width="37.33203125" style="1141" customWidth="1"/>
    <col min="9479" max="9479" width="26.109375" style="1141" customWidth="1"/>
    <col min="9480" max="9480" width="22.6640625" style="1141" customWidth="1"/>
    <col min="9481" max="9481" width="26" style="1141" customWidth="1"/>
    <col min="9482" max="9482" width="0" style="1141" hidden="1" customWidth="1"/>
    <col min="9483" max="9483" width="18.109375" style="1141" customWidth="1"/>
    <col min="9484" max="9728" width="9.109375" style="1141"/>
    <col min="9729" max="9729" width="7.5546875" style="1141" customWidth="1"/>
    <col min="9730" max="9730" width="13.109375" style="1141" customWidth="1"/>
    <col min="9731" max="9731" width="45" style="1141" customWidth="1"/>
    <col min="9732" max="9732" width="16.88671875" style="1141" customWidth="1"/>
    <col min="9733" max="9733" width="38.109375" style="1141" customWidth="1"/>
    <col min="9734" max="9734" width="37.33203125" style="1141" customWidth="1"/>
    <col min="9735" max="9735" width="26.109375" style="1141" customWidth="1"/>
    <col min="9736" max="9736" width="22.6640625" style="1141" customWidth="1"/>
    <col min="9737" max="9737" width="26" style="1141" customWidth="1"/>
    <col min="9738" max="9738" width="0" style="1141" hidden="1" customWidth="1"/>
    <col min="9739" max="9739" width="18.109375" style="1141" customWidth="1"/>
    <col min="9740" max="9984" width="9.109375" style="1141"/>
    <col min="9985" max="9985" width="7.5546875" style="1141" customWidth="1"/>
    <col min="9986" max="9986" width="13.109375" style="1141" customWidth="1"/>
    <col min="9987" max="9987" width="45" style="1141" customWidth="1"/>
    <col min="9988" max="9988" width="16.88671875" style="1141" customWidth="1"/>
    <col min="9989" max="9989" width="38.109375" style="1141" customWidth="1"/>
    <col min="9990" max="9990" width="37.33203125" style="1141" customWidth="1"/>
    <col min="9991" max="9991" width="26.109375" style="1141" customWidth="1"/>
    <col min="9992" max="9992" width="22.6640625" style="1141" customWidth="1"/>
    <col min="9993" max="9993" width="26" style="1141" customWidth="1"/>
    <col min="9994" max="9994" width="0" style="1141" hidden="1" customWidth="1"/>
    <col min="9995" max="9995" width="18.109375" style="1141" customWidth="1"/>
    <col min="9996" max="10240" width="9.109375" style="1141"/>
    <col min="10241" max="10241" width="7.5546875" style="1141" customWidth="1"/>
    <col min="10242" max="10242" width="13.109375" style="1141" customWidth="1"/>
    <col min="10243" max="10243" width="45" style="1141" customWidth="1"/>
    <col min="10244" max="10244" width="16.88671875" style="1141" customWidth="1"/>
    <col min="10245" max="10245" width="38.109375" style="1141" customWidth="1"/>
    <col min="10246" max="10246" width="37.33203125" style="1141" customWidth="1"/>
    <col min="10247" max="10247" width="26.109375" style="1141" customWidth="1"/>
    <col min="10248" max="10248" width="22.6640625" style="1141" customWidth="1"/>
    <col min="10249" max="10249" width="26" style="1141" customWidth="1"/>
    <col min="10250" max="10250" width="0" style="1141" hidden="1" customWidth="1"/>
    <col min="10251" max="10251" width="18.109375" style="1141" customWidth="1"/>
    <col min="10252" max="10496" width="9.109375" style="1141"/>
    <col min="10497" max="10497" width="7.5546875" style="1141" customWidth="1"/>
    <col min="10498" max="10498" width="13.109375" style="1141" customWidth="1"/>
    <col min="10499" max="10499" width="45" style="1141" customWidth="1"/>
    <col min="10500" max="10500" width="16.88671875" style="1141" customWidth="1"/>
    <col min="10501" max="10501" width="38.109375" style="1141" customWidth="1"/>
    <col min="10502" max="10502" width="37.33203125" style="1141" customWidth="1"/>
    <col min="10503" max="10503" width="26.109375" style="1141" customWidth="1"/>
    <col min="10504" max="10504" width="22.6640625" style="1141" customWidth="1"/>
    <col min="10505" max="10505" width="26" style="1141" customWidth="1"/>
    <col min="10506" max="10506" width="0" style="1141" hidden="1" customWidth="1"/>
    <col min="10507" max="10507" width="18.109375" style="1141" customWidth="1"/>
    <col min="10508" max="10752" width="9.109375" style="1141"/>
    <col min="10753" max="10753" width="7.5546875" style="1141" customWidth="1"/>
    <col min="10754" max="10754" width="13.109375" style="1141" customWidth="1"/>
    <col min="10755" max="10755" width="45" style="1141" customWidth="1"/>
    <col min="10756" max="10756" width="16.88671875" style="1141" customWidth="1"/>
    <col min="10757" max="10757" width="38.109375" style="1141" customWidth="1"/>
    <col min="10758" max="10758" width="37.33203125" style="1141" customWidth="1"/>
    <col min="10759" max="10759" width="26.109375" style="1141" customWidth="1"/>
    <col min="10760" max="10760" width="22.6640625" style="1141" customWidth="1"/>
    <col min="10761" max="10761" width="26" style="1141" customWidth="1"/>
    <col min="10762" max="10762" width="0" style="1141" hidden="1" customWidth="1"/>
    <col min="10763" max="10763" width="18.109375" style="1141" customWidth="1"/>
    <col min="10764" max="11008" width="9.109375" style="1141"/>
    <col min="11009" max="11009" width="7.5546875" style="1141" customWidth="1"/>
    <col min="11010" max="11010" width="13.109375" style="1141" customWidth="1"/>
    <col min="11011" max="11011" width="45" style="1141" customWidth="1"/>
    <col min="11012" max="11012" width="16.88671875" style="1141" customWidth="1"/>
    <col min="11013" max="11013" width="38.109375" style="1141" customWidth="1"/>
    <col min="11014" max="11014" width="37.33203125" style="1141" customWidth="1"/>
    <col min="11015" max="11015" width="26.109375" style="1141" customWidth="1"/>
    <col min="11016" max="11016" width="22.6640625" style="1141" customWidth="1"/>
    <col min="11017" max="11017" width="26" style="1141" customWidth="1"/>
    <col min="11018" max="11018" width="0" style="1141" hidden="1" customWidth="1"/>
    <col min="11019" max="11019" width="18.109375" style="1141" customWidth="1"/>
    <col min="11020" max="11264" width="9.109375" style="1141"/>
    <col min="11265" max="11265" width="7.5546875" style="1141" customWidth="1"/>
    <col min="11266" max="11266" width="13.109375" style="1141" customWidth="1"/>
    <col min="11267" max="11267" width="45" style="1141" customWidth="1"/>
    <col min="11268" max="11268" width="16.88671875" style="1141" customWidth="1"/>
    <col min="11269" max="11269" width="38.109375" style="1141" customWidth="1"/>
    <col min="11270" max="11270" width="37.33203125" style="1141" customWidth="1"/>
    <col min="11271" max="11271" width="26.109375" style="1141" customWidth="1"/>
    <col min="11272" max="11272" width="22.6640625" style="1141" customWidth="1"/>
    <col min="11273" max="11273" width="26" style="1141" customWidth="1"/>
    <col min="11274" max="11274" width="0" style="1141" hidden="1" customWidth="1"/>
    <col min="11275" max="11275" width="18.109375" style="1141" customWidth="1"/>
    <col min="11276" max="11520" width="9.109375" style="1141"/>
    <col min="11521" max="11521" width="7.5546875" style="1141" customWidth="1"/>
    <col min="11522" max="11522" width="13.109375" style="1141" customWidth="1"/>
    <col min="11523" max="11523" width="45" style="1141" customWidth="1"/>
    <col min="11524" max="11524" width="16.88671875" style="1141" customWidth="1"/>
    <col min="11525" max="11525" width="38.109375" style="1141" customWidth="1"/>
    <col min="11526" max="11526" width="37.33203125" style="1141" customWidth="1"/>
    <col min="11527" max="11527" width="26.109375" style="1141" customWidth="1"/>
    <col min="11528" max="11528" width="22.6640625" style="1141" customWidth="1"/>
    <col min="11529" max="11529" width="26" style="1141" customWidth="1"/>
    <col min="11530" max="11530" width="0" style="1141" hidden="1" customWidth="1"/>
    <col min="11531" max="11531" width="18.109375" style="1141" customWidth="1"/>
    <col min="11532" max="11776" width="9.109375" style="1141"/>
    <col min="11777" max="11777" width="7.5546875" style="1141" customWidth="1"/>
    <col min="11778" max="11778" width="13.109375" style="1141" customWidth="1"/>
    <col min="11779" max="11779" width="45" style="1141" customWidth="1"/>
    <col min="11780" max="11780" width="16.88671875" style="1141" customWidth="1"/>
    <col min="11781" max="11781" width="38.109375" style="1141" customWidth="1"/>
    <col min="11782" max="11782" width="37.33203125" style="1141" customWidth="1"/>
    <col min="11783" max="11783" width="26.109375" style="1141" customWidth="1"/>
    <col min="11784" max="11784" width="22.6640625" style="1141" customWidth="1"/>
    <col min="11785" max="11785" width="26" style="1141" customWidth="1"/>
    <col min="11786" max="11786" width="0" style="1141" hidden="1" customWidth="1"/>
    <col min="11787" max="11787" width="18.109375" style="1141" customWidth="1"/>
    <col min="11788" max="12032" width="9.109375" style="1141"/>
    <col min="12033" max="12033" width="7.5546875" style="1141" customWidth="1"/>
    <col min="12034" max="12034" width="13.109375" style="1141" customWidth="1"/>
    <col min="12035" max="12035" width="45" style="1141" customWidth="1"/>
    <col min="12036" max="12036" width="16.88671875" style="1141" customWidth="1"/>
    <col min="12037" max="12037" width="38.109375" style="1141" customWidth="1"/>
    <col min="12038" max="12038" width="37.33203125" style="1141" customWidth="1"/>
    <col min="12039" max="12039" width="26.109375" style="1141" customWidth="1"/>
    <col min="12040" max="12040" width="22.6640625" style="1141" customWidth="1"/>
    <col min="12041" max="12041" width="26" style="1141" customWidth="1"/>
    <col min="12042" max="12042" width="0" style="1141" hidden="1" customWidth="1"/>
    <col min="12043" max="12043" width="18.109375" style="1141" customWidth="1"/>
    <col min="12044" max="12288" width="9.109375" style="1141"/>
    <col min="12289" max="12289" width="7.5546875" style="1141" customWidth="1"/>
    <col min="12290" max="12290" width="13.109375" style="1141" customWidth="1"/>
    <col min="12291" max="12291" width="45" style="1141" customWidth="1"/>
    <col min="12292" max="12292" width="16.88671875" style="1141" customWidth="1"/>
    <col min="12293" max="12293" width="38.109375" style="1141" customWidth="1"/>
    <col min="12294" max="12294" width="37.33203125" style="1141" customWidth="1"/>
    <col min="12295" max="12295" width="26.109375" style="1141" customWidth="1"/>
    <col min="12296" max="12296" width="22.6640625" style="1141" customWidth="1"/>
    <col min="12297" max="12297" width="26" style="1141" customWidth="1"/>
    <col min="12298" max="12298" width="0" style="1141" hidden="1" customWidth="1"/>
    <col min="12299" max="12299" width="18.109375" style="1141" customWidth="1"/>
    <col min="12300" max="12544" width="9.109375" style="1141"/>
    <col min="12545" max="12545" width="7.5546875" style="1141" customWidth="1"/>
    <col min="12546" max="12546" width="13.109375" style="1141" customWidth="1"/>
    <col min="12547" max="12547" width="45" style="1141" customWidth="1"/>
    <col min="12548" max="12548" width="16.88671875" style="1141" customWidth="1"/>
    <col min="12549" max="12549" width="38.109375" style="1141" customWidth="1"/>
    <col min="12550" max="12550" width="37.33203125" style="1141" customWidth="1"/>
    <col min="12551" max="12551" width="26.109375" style="1141" customWidth="1"/>
    <col min="12552" max="12552" width="22.6640625" style="1141" customWidth="1"/>
    <col min="12553" max="12553" width="26" style="1141" customWidth="1"/>
    <col min="12554" max="12554" width="0" style="1141" hidden="1" customWidth="1"/>
    <col min="12555" max="12555" width="18.109375" style="1141" customWidth="1"/>
    <col min="12556" max="12800" width="9.109375" style="1141"/>
    <col min="12801" max="12801" width="7.5546875" style="1141" customWidth="1"/>
    <col min="12802" max="12802" width="13.109375" style="1141" customWidth="1"/>
    <col min="12803" max="12803" width="45" style="1141" customWidth="1"/>
    <col min="12804" max="12804" width="16.88671875" style="1141" customWidth="1"/>
    <col min="12805" max="12805" width="38.109375" style="1141" customWidth="1"/>
    <col min="12806" max="12806" width="37.33203125" style="1141" customWidth="1"/>
    <col min="12807" max="12807" width="26.109375" style="1141" customWidth="1"/>
    <col min="12808" max="12808" width="22.6640625" style="1141" customWidth="1"/>
    <col min="12809" max="12809" width="26" style="1141" customWidth="1"/>
    <col min="12810" max="12810" width="0" style="1141" hidden="1" customWidth="1"/>
    <col min="12811" max="12811" width="18.109375" style="1141" customWidth="1"/>
    <col min="12812" max="13056" width="9.109375" style="1141"/>
    <col min="13057" max="13057" width="7.5546875" style="1141" customWidth="1"/>
    <col min="13058" max="13058" width="13.109375" style="1141" customWidth="1"/>
    <col min="13059" max="13059" width="45" style="1141" customWidth="1"/>
    <col min="13060" max="13060" width="16.88671875" style="1141" customWidth="1"/>
    <col min="13061" max="13061" width="38.109375" style="1141" customWidth="1"/>
    <col min="13062" max="13062" width="37.33203125" style="1141" customWidth="1"/>
    <col min="13063" max="13063" width="26.109375" style="1141" customWidth="1"/>
    <col min="13064" max="13064" width="22.6640625" style="1141" customWidth="1"/>
    <col min="13065" max="13065" width="26" style="1141" customWidth="1"/>
    <col min="13066" max="13066" width="0" style="1141" hidden="1" customWidth="1"/>
    <col min="13067" max="13067" width="18.109375" style="1141" customWidth="1"/>
    <col min="13068" max="13312" width="9.109375" style="1141"/>
    <col min="13313" max="13313" width="7.5546875" style="1141" customWidth="1"/>
    <col min="13314" max="13314" width="13.109375" style="1141" customWidth="1"/>
    <col min="13315" max="13315" width="45" style="1141" customWidth="1"/>
    <col min="13316" max="13316" width="16.88671875" style="1141" customWidth="1"/>
    <col min="13317" max="13317" width="38.109375" style="1141" customWidth="1"/>
    <col min="13318" max="13318" width="37.33203125" style="1141" customWidth="1"/>
    <col min="13319" max="13319" width="26.109375" style="1141" customWidth="1"/>
    <col min="13320" max="13320" width="22.6640625" style="1141" customWidth="1"/>
    <col min="13321" max="13321" width="26" style="1141" customWidth="1"/>
    <col min="13322" max="13322" width="0" style="1141" hidden="1" customWidth="1"/>
    <col min="13323" max="13323" width="18.109375" style="1141" customWidth="1"/>
    <col min="13324" max="13568" width="9.109375" style="1141"/>
    <col min="13569" max="13569" width="7.5546875" style="1141" customWidth="1"/>
    <col min="13570" max="13570" width="13.109375" style="1141" customWidth="1"/>
    <col min="13571" max="13571" width="45" style="1141" customWidth="1"/>
    <col min="13572" max="13572" width="16.88671875" style="1141" customWidth="1"/>
    <col min="13573" max="13573" width="38.109375" style="1141" customWidth="1"/>
    <col min="13574" max="13574" width="37.33203125" style="1141" customWidth="1"/>
    <col min="13575" max="13575" width="26.109375" style="1141" customWidth="1"/>
    <col min="13576" max="13576" width="22.6640625" style="1141" customWidth="1"/>
    <col min="13577" max="13577" width="26" style="1141" customWidth="1"/>
    <col min="13578" max="13578" width="0" style="1141" hidden="1" customWidth="1"/>
    <col min="13579" max="13579" width="18.109375" style="1141" customWidth="1"/>
    <col min="13580" max="13824" width="9.109375" style="1141"/>
    <col min="13825" max="13825" width="7.5546875" style="1141" customWidth="1"/>
    <col min="13826" max="13826" width="13.109375" style="1141" customWidth="1"/>
    <col min="13827" max="13827" width="45" style="1141" customWidth="1"/>
    <col min="13828" max="13828" width="16.88671875" style="1141" customWidth="1"/>
    <col min="13829" max="13829" width="38.109375" style="1141" customWidth="1"/>
    <col min="13830" max="13830" width="37.33203125" style="1141" customWidth="1"/>
    <col min="13831" max="13831" width="26.109375" style="1141" customWidth="1"/>
    <col min="13832" max="13832" width="22.6640625" style="1141" customWidth="1"/>
    <col min="13833" max="13833" width="26" style="1141" customWidth="1"/>
    <col min="13834" max="13834" width="0" style="1141" hidden="1" customWidth="1"/>
    <col min="13835" max="13835" width="18.109375" style="1141" customWidth="1"/>
    <col min="13836" max="14080" width="9.109375" style="1141"/>
    <col min="14081" max="14081" width="7.5546875" style="1141" customWidth="1"/>
    <col min="14082" max="14082" width="13.109375" style="1141" customWidth="1"/>
    <col min="14083" max="14083" width="45" style="1141" customWidth="1"/>
    <col min="14084" max="14084" width="16.88671875" style="1141" customWidth="1"/>
    <col min="14085" max="14085" width="38.109375" style="1141" customWidth="1"/>
    <col min="14086" max="14086" width="37.33203125" style="1141" customWidth="1"/>
    <col min="14087" max="14087" width="26.109375" style="1141" customWidth="1"/>
    <col min="14088" max="14088" width="22.6640625" style="1141" customWidth="1"/>
    <col min="14089" max="14089" width="26" style="1141" customWidth="1"/>
    <col min="14090" max="14090" width="0" style="1141" hidden="1" customWidth="1"/>
    <col min="14091" max="14091" width="18.109375" style="1141" customWidth="1"/>
    <col min="14092" max="14336" width="9.109375" style="1141"/>
    <col min="14337" max="14337" width="7.5546875" style="1141" customWidth="1"/>
    <col min="14338" max="14338" width="13.109375" style="1141" customWidth="1"/>
    <col min="14339" max="14339" width="45" style="1141" customWidth="1"/>
    <col min="14340" max="14340" width="16.88671875" style="1141" customWidth="1"/>
    <col min="14341" max="14341" width="38.109375" style="1141" customWidth="1"/>
    <col min="14342" max="14342" width="37.33203125" style="1141" customWidth="1"/>
    <col min="14343" max="14343" width="26.109375" style="1141" customWidth="1"/>
    <col min="14344" max="14344" width="22.6640625" style="1141" customWidth="1"/>
    <col min="14345" max="14345" width="26" style="1141" customWidth="1"/>
    <col min="14346" max="14346" width="0" style="1141" hidden="1" customWidth="1"/>
    <col min="14347" max="14347" width="18.109375" style="1141" customWidth="1"/>
    <col min="14348" max="14592" width="9.109375" style="1141"/>
    <col min="14593" max="14593" width="7.5546875" style="1141" customWidth="1"/>
    <col min="14594" max="14594" width="13.109375" style="1141" customWidth="1"/>
    <col min="14595" max="14595" width="45" style="1141" customWidth="1"/>
    <col min="14596" max="14596" width="16.88671875" style="1141" customWidth="1"/>
    <col min="14597" max="14597" width="38.109375" style="1141" customWidth="1"/>
    <col min="14598" max="14598" width="37.33203125" style="1141" customWidth="1"/>
    <col min="14599" max="14599" width="26.109375" style="1141" customWidth="1"/>
    <col min="14600" max="14600" width="22.6640625" style="1141" customWidth="1"/>
    <col min="14601" max="14601" width="26" style="1141" customWidth="1"/>
    <col min="14602" max="14602" width="0" style="1141" hidden="1" customWidth="1"/>
    <col min="14603" max="14603" width="18.109375" style="1141" customWidth="1"/>
    <col min="14604" max="14848" width="9.109375" style="1141"/>
    <col min="14849" max="14849" width="7.5546875" style="1141" customWidth="1"/>
    <col min="14850" max="14850" width="13.109375" style="1141" customWidth="1"/>
    <col min="14851" max="14851" width="45" style="1141" customWidth="1"/>
    <col min="14852" max="14852" width="16.88671875" style="1141" customWidth="1"/>
    <col min="14853" max="14853" width="38.109375" style="1141" customWidth="1"/>
    <col min="14854" max="14854" width="37.33203125" style="1141" customWidth="1"/>
    <col min="14855" max="14855" width="26.109375" style="1141" customWidth="1"/>
    <col min="14856" max="14856" width="22.6640625" style="1141" customWidth="1"/>
    <col min="14857" max="14857" width="26" style="1141" customWidth="1"/>
    <col min="14858" max="14858" width="0" style="1141" hidden="1" customWidth="1"/>
    <col min="14859" max="14859" width="18.109375" style="1141" customWidth="1"/>
    <col min="14860" max="15104" width="9.109375" style="1141"/>
    <col min="15105" max="15105" width="7.5546875" style="1141" customWidth="1"/>
    <col min="15106" max="15106" width="13.109375" style="1141" customWidth="1"/>
    <col min="15107" max="15107" width="45" style="1141" customWidth="1"/>
    <col min="15108" max="15108" width="16.88671875" style="1141" customWidth="1"/>
    <col min="15109" max="15109" width="38.109375" style="1141" customWidth="1"/>
    <col min="15110" max="15110" width="37.33203125" style="1141" customWidth="1"/>
    <col min="15111" max="15111" width="26.109375" style="1141" customWidth="1"/>
    <col min="15112" max="15112" width="22.6640625" style="1141" customWidth="1"/>
    <col min="15113" max="15113" width="26" style="1141" customWidth="1"/>
    <col min="15114" max="15114" width="0" style="1141" hidden="1" customWidth="1"/>
    <col min="15115" max="15115" width="18.109375" style="1141" customWidth="1"/>
    <col min="15116" max="15360" width="9.109375" style="1141"/>
    <col min="15361" max="15361" width="7.5546875" style="1141" customWidth="1"/>
    <col min="15362" max="15362" width="13.109375" style="1141" customWidth="1"/>
    <col min="15363" max="15363" width="45" style="1141" customWidth="1"/>
    <col min="15364" max="15364" width="16.88671875" style="1141" customWidth="1"/>
    <col min="15365" max="15365" width="38.109375" style="1141" customWidth="1"/>
    <col min="15366" max="15366" width="37.33203125" style="1141" customWidth="1"/>
    <col min="15367" max="15367" width="26.109375" style="1141" customWidth="1"/>
    <col min="15368" max="15368" width="22.6640625" style="1141" customWidth="1"/>
    <col min="15369" max="15369" width="26" style="1141" customWidth="1"/>
    <col min="15370" max="15370" width="0" style="1141" hidden="1" customWidth="1"/>
    <col min="15371" max="15371" width="18.109375" style="1141" customWidth="1"/>
    <col min="15372" max="15616" width="9.109375" style="1141"/>
    <col min="15617" max="15617" width="7.5546875" style="1141" customWidth="1"/>
    <col min="15618" max="15618" width="13.109375" style="1141" customWidth="1"/>
    <col min="15619" max="15619" width="45" style="1141" customWidth="1"/>
    <col min="15620" max="15620" width="16.88671875" style="1141" customWidth="1"/>
    <col min="15621" max="15621" width="38.109375" style="1141" customWidth="1"/>
    <col min="15622" max="15622" width="37.33203125" style="1141" customWidth="1"/>
    <col min="15623" max="15623" width="26.109375" style="1141" customWidth="1"/>
    <col min="15624" max="15624" width="22.6640625" style="1141" customWidth="1"/>
    <col min="15625" max="15625" width="26" style="1141" customWidth="1"/>
    <col min="15626" max="15626" width="0" style="1141" hidden="1" customWidth="1"/>
    <col min="15627" max="15627" width="18.109375" style="1141" customWidth="1"/>
    <col min="15628" max="15872" width="9.109375" style="1141"/>
    <col min="15873" max="15873" width="7.5546875" style="1141" customWidth="1"/>
    <col min="15874" max="15874" width="13.109375" style="1141" customWidth="1"/>
    <col min="15875" max="15875" width="45" style="1141" customWidth="1"/>
    <col min="15876" max="15876" width="16.88671875" style="1141" customWidth="1"/>
    <col min="15877" max="15877" width="38.109375" style="1141" customWidth="1"/>
    <col min="15878" max="15878" width="37.33203125" style="1141" customWidth="1"/>
    <col min="15879" max="15879" width="26.109375" style="1141" customWidth="1"/>
    <col min="15880" max="15880" width="22.6640625" style="1141" customWidth="1"/>
    <col min="15881" max="15881" width="26" style="1141" customWidth="1"/>
    <col min="15882" max="15882" width="0" style="1141" hidden="1" customWidth="1"/>
    <col min="15883" max="15883" width="18.109375" style="1141" customWidth="1"/>
    <col min="15884" max="16128" width="9.109375" style="1141"/>
    <col min="16129" max="16129" width="7.5546875" style="1141" customWidth="1"/>
    <col min="16130" max="16130" width="13.109375" style="1141" customWidth="1"/>
    <col min="16131" max="16131" width="45" style="1141" customWidth="1"/>
    <col min="16132" max="16132" width="16.88671875" style="1141" customWidth="1"/>
    <col min="16133" max="16133" width="38.109375" style="1141" customWidth="1"/>
    <col min="16134" max="16134" width="37.33203125" style="1141" customWidth="1"/>
    <col min="16135" max="16135" width="26.109375" style="1141" customWidth="1"/>
    <col min="16136" max="16136" width="22.6640625" style="1141" customWidth="1"/>
    <col min="16137" max="16137" width="26" style="1141" customWidth="1"/>
    <col min="16138" max="16138" width="0" style="1141" hidden="1" customWidth="1"/>
    <col min="16139" max="16139" width="18.109375" style="1141" customWidth="1"/>
    <col min="16140" max="16384" width="9.109375" style="1141"/>
  </cols>
  <sheetData>
    <row r="1" spans="1:11" s="1139" customFormat="1" ht="51.75" customHeight="1" outlineLevel="1" x14ac:dyDescent="0.3">
      <c r="A1" s="1365" t="s">
        <v>836</v>
      </c>
      <c r="B1" s="1366"/>
      <c r="C1" s="1367"/>
      <c r="D1" s="1365"/>
      <c r="E1" s="1368"/>
      <c r="F1" s="1369"/>
      <c r="G1" s="1370"/>
      <c r="H1" s="1371"/>
      <c r="I1" s="1371"/>
      <c r="J1" s="1372"/>
    </row>
    <row r="2" spans="1:11" s="1140" customFormat="1" ht="17.25" customHeight="1" outlineLevel="1" thickBot="1" x14ac:dyDescent="0.4">
      <c r="A2" s="1373"/>
      <c r="B2" s="1374"/>
      <c r="C2" s="1375"/>
      <c r="D2" s="1376"/>
      <c r="E2" s="1377"/>
      <c r="F2" s="1378"/>
      <c r="G2" s="1378"/>
      <c r="H2" s="1378"/>
      <c r="I2" s="1378"/>
      <c r="J2" s="1379"/>
    </row>
    <row r="3" spans="1:11" ht="28.5" customHeight="1" x14ac:dyDescent="0.3">
      <c r="A3" s="1685" t="s">
        <v>6</v>
      </c>
      <c r="B3" s="1380" t="s">
        <v>538</v>
      </c>
      <c r="C3" s="1381"/>
      <c r="D3" s="1382"/>
      <c r="E3" s="1383"/>
      <c r="F3" s="1384"/>
      <c r="G3" s="1688" t="s">
        <v>564</v>
      </c>
      <c r="H3" s="1689"/>
      <c r="I3" s="1690"/>
      <c r="J3" s="1385" t="s">
        <v>547</v>
      </c>
    </row>
    <row r="4" spans="1:11" s="1142" customFormat="1" ht="29.25" customHeight="1" x14ac:dyDescent="0.3">
      <c r="A4" s="1686"/>
      <c r="B4" s="1386"/>
      <c r="C4" s="1387"/>
      <c r="D4" s="1388"/>
      <c r="E4" s="1389"/>
      <c r="F4" s="1390" t="s">
        <v>34</v>
      </c>
      <c r="G4" s="1391" t="s">
        <v>837</v>
      </c>
      <c r="H4" s="1391" t="s">
        <v>837</v>
      </c>
      <c r="I4" s="1392">
        <v>4746</v>
      </c>
      <c r="J4" s="1393"/>
    </row>
    <row r="5" spans="1:11" s="1143" customFormat="1" ht="63" customHeight="1" thickBot="1" x14ac:dyDescent="0.35">
      <c r="A5" s="1687"/>
      <c r="B5" s="1394" t="s">
        <v>539</v>
      </c>
      <c r="C5" s="1395" t="s">
        <v>540</v>
      </c>
      <c r="D5" s="1396" t="s">
        <v>541</v>
      </c>
      <c r="E5" s="1397" t="s">
        <v>565</v>
      </c>
      <c r="F5" s="1398" t="s">
        <v>542</v>
      </c>
      <c r="G5" s="1399" t="s">
        <v>543</v>
      </c>
      <c r="H5" s="1400" t="s">
        <v>544</v>
      </c>
      <c r="I5" s="1401" t="s">
        <v>566</v>
      </c>
      <c r="J5" s="1402"/>
    </row>
    <row r="6" spans="1:11" s="1144" customFormat="1" ht="13.5" customHeight="1" thickBot="1" x14ac:dyDescent="0.35">
      <c r="A6" s="1691"/>
      <c r="B6" s="1691"/>
      <c r="C6" s="1691"/>
      <c r="D6" s="1691"/>
      <c r="E6" s="1691"/>
      <c r="F6" s="1691"/>
      <c r="G6" s="1691"/>
      <c r="H6" s="1691"/>
      <c r="I6" s="1691"/>
      <c r="J6" s="1403"/>
    </row>
    <row r="7" spans="1:11" s="1190" customFormat="1" ht="18.75" customHeight="1" x14ac:dyDescent="0.25">
      <c r="A7" s="1692" t="s">
        <v>13</v>
      </c>
      <c r="B7" s="1404"/>
      <c r="C7" s="1405" t="s">
        <v>838</v>
      </c>
      <c r="D7" s="1406" t="s">
        <v>839</v>
      </c>
      <c r="E7" s="1407">
        <v>130000</v>
      </c>
      <c r="F7" s="1408">
        <f>E7</f>
        <v>130000</v>
      </c>
      <c r="G7" s="1409">
        <f>F7</f>
        <v>130000</v>
      </c>
      <c r="H7" s="1410"/>
      <c r="I7" s="1411"/>
      <c r="J7" s="1412"/>
    </row>
    <row r="8" spans="1:11" s="1190" customFormat="1" ht="20.25" customHeight="1" x14ac:dyDescent="0.3">
      <c r="A8" s="1693"/>
      <c r="B8" s="1413"/>
      <c r="C8" s="1414"/>
      <c r="D8" s="1415"/>
      <c r="E8" s="1416">
        <f>SUM(E7:E7)</f>
        <v>130000</v>
      </c>
      <c r="F8" s="1417">
        <f>SUM(F7:F7)</f>
        <v>130000</v>
      </c>
      <c r="G8" s="1418">
        <f>SUM(G7:G7)</f>
        <v>130000</v>
      </c>
      <c r="H8" s="1419">
        <f>SUM(H7:H7)</f>
        <v>0</v>
      </c>
      <c r="I8" s="1420">
        <f>SUM(I7:I7)</f>
        <v>0</v>
      </c>
      <c r="J8" s="1421"/>
    </row>
    <row r="9" spans="1:11" s="1190" customFormat="1" ht="9" customHeight="1" x14ac:dyDescent="0.25">
      <c r="A9" s="1422"/>
      <c r="B9" s="1423"/>
      <c r="C9" s="1424"/>
      <c r="D9" s="1425"/>
      <c r="E9" s="1426"/>
      <c r="F9" s="1427"/>
      <c r="G9" s="1428"/>
      <c r="H9" s="1429"/>
      <c r="I9" s="1430"/>
      <c r="J9" s="1431"/>
    </row>
    <row r="10" spans="1:11" s="1191" customFormat="1" ht="36" customHeight="1" x14ac:dyDescent="0.25">
      <c r="A10" s="1694" t="s">
        <v>11</v>
      </c>
      <c r="B10" s="1432"/>
      <c r="C10" s="1433" t="s">
        <v>840</v>
      </c>
      <c r="D10" s="1434" t="s">
        <v>546</v>
      </c>
      <c r="E10" s="1435">
        <v>450000</v>
      </c>
      <c r="F10" s="1436">
        <f>E10</f>
        <v>450000</v>
      </c>
      <c r="G10" s="1437">
        <f>F10</f>
        <v>450000</v>
      </c>
      <c r="H10" s="1438"/>
      <c r="I10" s="1439"/>
      <c r="J10" s="1412"/>
    </row>
    <row r="11" spans="1:11" s="1191" customFormat="1" ht="15" x14ac:dyDescent="0.25">
      <c r="A11" s="1693"/>
      <c r="B11" s="1440"/>
      <c r="C11" s="1441" t="s">
        <v>841</v>
      </c>
      <c r="D11" s="1442" t="s">
        <v>842</v>
      </c>
      <c r="E11" s="1443">
        <v>300000</v>
      </c>
      <c r="F11" s="1444">
        <f>E11</f>
        <v>300000</v>
      </c>
      <c r="G11" s="1445"/>
      <c r="H11" s="1445">
        <f>F11</f>
        <v>300000</v>
      </c>
      <c r="I11" s="1446"/>
      <c r="J11" s="1412"/>
    </row>
    <row r="12" spans="1:11" s="1191" customFormat="1" ht="15" x14ac:dyDescent="0.25">
      <c r="A12" s="1693"/>
      <c r="B12" s="1440"/>
      <c r="C12" s="1441"/>
      <c r="D12" s="1442"/>
      <c r="E12" s="1443"/>
      <c r="F12" s="1444"/>
      <c r="G12" s="1445"/>
      <c r="H12" s="1447"/>
      <c r="I12" s="1446"/>
      <c r="J12" s="1412"/>
    </row>
    <row r="13" spans="1:11" s="1191" customFormat="1" ht="24" customHeight="1" x14ac:dyDescent="0.3">
      <c r="A13" s="1693"/>
      <c r="B13" s="1413"/>
      <c r="C13" s="1414"/>
      <c r="D13" s="1415"/>
      <c r="E13" s="1416">
        <f>E10+E11+E12</f>
        <v>750000</v>
      </c>
      <c r="F13" s="1448">
        <f>F10+F11+F12</f>
        <v>750000</v>
      </c>
      <c r="G13" s="1449">
        <f>G10+G11+G12</f>
        <v>450000</v>
      </c>
      <c r="H13" s="1416">
        <f>H10+H11+H12</f>
        <v>300000</v>
      </c>
      <c r="I13" s="1450">
        <f>I10+I11+I12</f>
        <v>0</v>
      </c>
      <c r="J13" s="1421"/>
    </row>
    <row r="14" spans="1:11" s="1191" customFormat="1" ht="8.25" customHeight="1" x14ac:dyDescent="0.25">
      <c r="A14" s="1422"/>
      <c r="B14" s="1423"/>
      <c r="C14" s="1424"/>
      <c r="D14" s="1425"/>
      <c r="E14" s="1426"/>
      <c r="F14" s="1451"/>
      <c r="G14" s="1428"/>
      <c r="H14" s="1429"/>
      <c r="I14" s="1430"/>
      <c r="J14" s="1431"/>
    </row>
    <row r="15" spans="1:11" s="1190" customFormat="1" ht="21.75" customHeight="1" x14ac:dyDescent="0.25">
      <c r="A15" s="1695" t="s">
        <v>18</v>
      </c>
      <c r="B15" s="1452"/>
      <c r="C15" s="1453" t="s">
        <v>843</v>
      </c>
      <c r="D15" s="1454" t="s">
        <v>844</v>
      </c>
      <c r="E15" s="1435">
        <v>1600000</v>
      </c>
      <c r="F15" s="1455">
        <f>E15</f>
        <v>1600000</v>
      </c>
      <c r="G15" s="1456">
        <f>F15</f>
        <v>1600000</v>
      </c>
      <c r="H15" s="1438"/>
      <c r="I15" s="1439"/>
      <c r="J15" s="1412"/>
    </row>
    <row r="16" spans="1:11" s="1190" customFormat="1" ht="21.75" customHeight="1" x14ac:dyDescent="0.25">
      <c r="A16" s="1696"/>
      <c r="B16" s="1457"/>
      <c r="C16" s="1458" t="s">
        <v>845</v>
      </c>
      <c r="D16" s="1459"/>
      <c r="E16" s="1443">
        <v>800000</v>
      </c>
      <c r="F16" s="1444">
        <f>E16</f>
        <v>800000</v>
      </c>
      <c r="G16" s="1445">
        <f>F16</f>
        <v>800000</v>
      </c>
      <c r="H16" s="1460"/>
      <c r="I16" s="1446"/>
      <c r="J16" s="1412"/>
      <c r="K16" s="1412"/>
    </row>
    <row r="17" spans="1:24" s="1190" customFormat="1" ht="24.75" customHeight="1" x14ac:dyDescent="0.3">
      <c r="A17" s="1697"/>
      <c r="B17" s="1413"/>
      <c r="C17" s="1461"/>
      <c r="D17" s="1415"/>
      <c r="E17" s="1416">
        <f>SUM(E15:E16)</f>
        <v>2400000</v>
      </c>
      <c r="F17" s="1417">
        <f>SUM(F15:F16)</f>
        <v>2400000</v>
      </c>
      <c r="G17" s="1418">
        <f>SUM(G15:G16)</f>
        <v>2400000</v>
      </c>
      <c r="H17" s="1419">
        <f>SUM(H15:H16)</f>
        <v>0</v>
      </c>
      <c r="I17" s="1420">
        <f>SUM(I15:I16)</f>
        <v>0</v>
      </c>
      <c r="J17" s="1421"/>
    </row>
    <row r="18" spans="1:24" s="1190" customFormat="1" ht="9" customHeight="1" x14ac:dyDescent="0.25">
      <c r="A18" s="1422"/>
      <c r="B18" s="1423"/>
      <c r="C18" s="1424"/>
      <c r="D18" s="1425"/>
      <c r="E18" s="1426"/>
      <c r="F18" s="1427"/>
      <c r="G18" s="1428"/>
      <c r="H18" s="1429"/>
      <c r="I18" s="1430"/>
      <c r="J18" s="1431"/>
    </row>
    <row r="19" spans="1:24" s="1190" customFormat="1" ht="22.5" customHeight="1" x14ac:dyDescent="0.25">
      <c r="A19" s="1694" t="s">
        <v>15</v>
      </c>
      <c r="B19" s="1462"/>
      <c r="C19" s="1433" t="s">
        <v>846</v>
      </c>
      <c r="D19" s="1454" t="s">
        <v>847</v>
      </c>
      <c r="E19" s="1435">
        <v>1500000</v>
      </c>
      <c r="F19" s="1436">
        <f>E19</f>
        <v>1500000</v>
      </c>
      <c r="G19" s="1437">
        <v>750000</v>
      </c>
      <c r="H19" s="1438">
        <v>750000</v>
      </c>
      <c r="I19" s="1439"/>
      <c r="J19" s="1412"/>
    </row>
    <row r="20" spans="1:24" s="1190" customFormat="1" ht="15.75" customHeight="1" x14ac:dyDescent="0.25">
      <c r="A20" s="1693"/>
      <c r="B20" s="1463"/>
      <c r="C20" s="1441"/>
      <c r="D20" s="1464"/>
      <c r="E20" s="1443"/>
      <c r="F20" s="1444"/>
      <c r="G20" s="1445"/>
      <c r="H20" s="1447"/>
      <c r="I20" s="1446"/>
      <c r="J20" s="1412"/>
    </row>
    <row r="21" spans="1:24" s="1192" customFormat="1" ht="27" customHeight="1" x14ac:dyDescent="0.3">
      <c r="A21" s="1693"/>
      <c r="B21" s="1465"/>
      <c r="C21" s="1466"/>
      <c r="D21" s="1467"/>
      <c r="E21" s="1468">
        <f>E19+E20</f>
        <v>1500000</v>
      </c>
      <c r="F21" s="1417">
        <f>F19+F20</f>
        <v>1500000</v>
      </c>
      <c r="G21" s="1418">
        <f>SUM(G19:G20)</f>
        <v>750000</v>
      </c>
      <c r="H21" s="1418">
        <f>SUM(H19:H20)</f>
        <v>750000</v>
      </c>
      <c r="I21" s="1469">
        <f>SUM(I19:I20)</f>
        <v>0</v>
      </c>
      <c r="J21" s="1470"/>
    </row>
    <row r="22" spans="1:24" s="1190" customFormat="1" ht="9.75" customHeight="1" x14ac:dyDescent="0.25">
      <c r="A22" s="1471"/>
      <c r="B22" s="1472"/>
      <c r="C22" s="1473"/>
      <c r="D22" s="1474"/>
      <c r="E22" s="1475"/>
      <c r="F22" s="1427"/>
      <c r="G22" s="1476"/>
      <c r="H22" s="1477"/>
      <c r="I22" s="1478"/>
      <c r="J22" s="1412"/>
    </row>
    <row r="23" spans="1:24" s="1190" customFormat="1" ht="15.75" customHeight="1" x14ac:dyDescent="0.25">
      <c r="A23" s="1694" t="s">
        <v>1</v>
      </c>
      <c r="B23" s="1462"/>
      <c r="C23" s="1433" t="s">
        <v>567</v>
      </c>
      <c r="D23" s="1454" t="s">
        <v>546</v>
      </c>
      <c r="E23" s="1435">
        <v>800000</v>
      </c>
      <c r="F23" s="1436">
        <f>E23</f>
        <v>800000</v>
      </c>
      <c r="G23" s="1437">
        <f>F23</f>
        <v>800000</v>
      </c>
      <c r="H23" s="1438"/>
      <c r="I23" s="1439"/>
      <c r="J23" s="1412"/>
    </row>
    <row r="24" spans="1:24" s="1190" customFormat="1" ht="15" x14ac:dyDescent="0.25">
      <c r="A24" s="1693"/>
      <c r="B24" s="1440"/>
      <c r="C24" s="1441"/>
      <c r="D24" s="1464"/>
      <c r="E24" s="1443"/>
      <c r="F24" s="1444"/>
      <c r="G24" s="1445"/>
      <c r="H24" s="1447"/>
      <c r="I24" s="1446"/>
      <c r="J24" s="1412"/>
    </row>
    <row r="25" spans="1:24" s="1190" customFormat="1" ht="24" customHeight="1" x14ac:dyDescent="0.3">
      <c r="A25" s="1693"/>
      <c r="B25" s="1413"/>
      <c r="C25" s="1414"/>
      <c r="D25" s="1415"/>
      <c r="E25" s="1416">
        <f>E23+E24</f>
        <v>800000</v>
      </c>
      <c r="F25" s="1417">
        <f>SUM(F23:F24)</f>
        <v>800000</v>
      </c>
      <c r="G25" s="1418">
        <f>SUM(G23:G24)</f>
        <v>800000</v>
      </c>
      <c r="H25" s="1419"/>
      <c r="I25" s="1420">
        <f>SUM(I19:I24)</f>
        <v>0</v>
      </c>
      <c r="J25" s="1421"/>
    </row>
    <row r="26" spans="1:24" s="1191" customFormat="1" ht="8.25" customHeight="1" x14ac:dyDescent="0.25">
      <c r="A26" s="1422"/>
      <c r="B26" s="1423"/>
      <c r="C26" s="1479"/>
      <c r="D26" s="1425"/>
      <c r="E26" s="1426"/>
      <c r="F26" s="1427"/>
      <c r="G26" s="1428"/>
      <c r="H26" s="1429"/>
      <c r="I26" s="1430"/>
      <c r="J26" s="1431"/>
    </row>
    <row r="27" spans="1:24" s="1191" customFormat="1" ht="20.25" customHeight="1" x14ac:dyDescent="0.25">
      <c r="A27" s="1694" t="s">
        <v>68</v>
      </c>
      <c r="B27" s="1452"/>
      <c r="C27" s="1433" t="s">
        <v>848</v>
      </c>
      <c r="D27" s="1434" t="s">
        <v>545</v>
      </c>
      <c r="E27" s="1435">
        <v>2300000</v>
      </c>
      <c r="F27" s="1436">
        <f>E27</f>
        <v>2300000</v>
      </c>
      <c r="G27" s="1437"/>
      <c r="H27" s="1438"/>
      <c r="I27" s="1439">
        <f>F27</f>
        <v>2300000</v>
      </c>
      <c r="J27" s="1412"/>
    </row>
    <row r="28" spans="1:24" s="1191" customFormat="1" ht="19.5" customHeight="1" x14ac:dyDescent="0.25">
      <c r="A28" s="1693"/>
      <c r="B28" s="1440"/>
      <c r="C28" s="1441" t="s">
        <v>849</v>
      </c>
      <c r="D28" s="1480" t="s">
        <v>545</v>
      </c>
      <c r="E28" s="1443">
        <v>7381200</v>
      </c>
      <c r="F28" s="1444">
        <v>900000</v>
      </c>
      <c r="G28" s="1445"/>
      <c r="H28" s="1447"/>
      <c r="I28" s="1446">
        <f>F28</f>
        <v>900000</v>
      </c>
      <c r="J28" s="1412"/>
    </row>
    <row r="29" spans="1:24" s="1191" customFormat="1" ht="15" x14ac:dyDescent="0.25">
      <c r="A29" s="1693"/>
      <c r="B29" s="1440"/>
      <c r="C29" s="1481" t="s">
        <v>850</v>
      </c>
      <c r="D29" s="1482" t="s">
        <v>851</v>
      </c>
      <c r="E29" s="1483">
        <v>450000</v>
      </c>
      <c r="F29" s="1484">
        <f>E29</f>
        <v>450000</v>
      </c>
      <c r="G29" s="1485"/>
      <c r="H29" s="1486"/>
      <c r="I29" s="1487">
        <f>F29</f>
        <v>450000</v>
      </c>
      <c r="J29" s="1412"/>
      <c r="K29" s="1193"/>
    </row>
    <row r="30" spans="1:24" s="1495" customFormat="1" ht="25.5" customHeight="1" thickBot="1" x14ac:dyDescent="0.35">
      <c r="A30" s="1698"/>
      <c r="B30" s="1488"/>
      <c r="C30" s="1489"/>
      <c r="D30" s="1490"/>
      <c r="E30" s="1491">
        <f>SUM(E27:E29)</f>
        <v>10131200</v>
      </c>
      <c r="F30" s="1492">
        <f>SUM(F27:F29)</f>
        <v>3650000</v>
      </c>
      <c r="G30" s="1493">
        <f>SUM(G27:G29)</f>
        <v>0</v>
      </c>
      <c r="H30" s="1492">
        <f>SUM(H27:H29)</f>
        <v>0</v>
      </c>
      <c r="I30" s="1492">
        <f>SUM(I27:I29)</f>
        <v>3650000</v>
      </c>
      <c r="J30" s="1494"/>
    </row>
    <row r="31" spans="1:24" s="1191" customFormat="1" ht="0.75" hidden="1" customHeight="1" x14ac:dyDescent="0.25">
      <c r="A31" s="1496"/>
      <c r="B31" s="1497"/>
      <c r="C31" s="1498"/>
      <c r="D31" s="1499"/>
      <c r="E31" s="1500"/>
      <c r="F31" s="1501"/>
      <c r="G31" s="1502"/>
      <c r="H31" s="1503"/>
      <c r="I31" s="1504"/>
      <c r="J31" s="1431"/>
    </row>
    <row r="32" spans="1:24" s="1513" customFormat="1" ht="33" customHeight="1" thickBot="1" x14ac:dyDescent="0.35">
      <c r="A32" s="1699"/>
      <c r="B32" s="1700"/>
      <c r="C32" s="1505" t="s">
        <v>568</v>
      </c>
      <c r="D32" s="1506"/>
      <c r="E32" s="1507">
        <v>0</v>
      </c>
      <c r="F32" s="1508">
        <v>1000000</v>
      </c>
      <c r="G32" s="1509">
        <v>1000000</v>
      </c>
      <c r="H32" s="1510"/>
      <c r="I32" s="1511"/>
      <c r="J32" s="1512"/>
      <c r="X32" s="1514"/>
    </row>
    <row r="33" spans="1:10" s="1194" customFormat="1" ht="45" customHeight="1" thickBot="1" x14ac:dyDescent="0.4">
      <c r="A33" s="1701"/>
      <c r="B33" s="1702"/>
      <c r="C33" s="1515" t="s">
        <v>70</v>
      </c>
      <c r="D33" s="1516"/>
      <c r="E33" s="1517">
        <f>E8+E13+E17+E21+E25+E30</f>
        <v>15711200</v>
      </c>
      <c r="F33" s="1518">
        <f>F8+F13+F17+F21+F25+F30+F32</f>
        <v>10230000</v>
      </c>
      <c r="G33" s="1517">
        <f>G8+G13+G17+G21+G25+G30+G32</f>
        <v>5530000</v>
      </c>
      <c r="H33" s="1517">
        <f>H8+H13+H17+H21+H25+H30</f>
        <v>1050000</v>
      </c>
      <c r="I33" s="1518">
        <f>I8+I13+I17+I21+I25+I30</f>
        <v>3650000</v>
      </c>
      <c r="J33" s="1519"/>
    </row>
    <row r="34" spans="1:10" ht="36.9" customHeight="1" x14ac:dyDescent="0.3">
      <c r="A34" s="1684" t="s">
        <v>852</v>
      </c>
      <c r="B34" s="1684"/>
      <c r="C34" s="1684"/>
      <c r="D34" s="1520"/>
      <c r="E34" s="1521"/>
      <c r="F34" s="1522"/>
      <c r="G34" s="1521"/>
      <c r="H34" s="1521"/>
      <c r="I34" s="1521"/>
      <c r="J34" s="1523"/>
    </row>
    <row r="35" spans="1:10" x14ac:dyDescent="0.25">
      <c r="D35" s="1524"/>
    </row>
    <row r="36" spans="1:10" x14ac:dyDescent="0.25">
      <c r="D36" s="1524"/>
    </row>
    <row r="37" spans="1:10" x14ac:dyDescent="0.25">
      <c r="C37" s="1149"/>
    </row>
  </sheetData>
  <mergeCells count="12">
    <mergeCell ref="A34:C34"/>
    <mergeCell ref="A3:A5"/>
    <mergeCell ref="G3:I3"/>
    <mergeCell ref="A6:I6"/>
    <mergeCell ref="A7:A8"/>
    <mergeCell ref="A10:A13"/>
    <mergeCell ref="A15:A17"/>
    <mergeCell ref="A19:A21"/>
    <mergeCell ref="A23:A25"/>
    <mergeCell ref="A27:A30"/>
    <mergeCell ref="A32:B32"/>
    <mergeCell ref="A33:B33"/>
  </mergeCells>
  <pageMargins left="0.25" right="0.25" top="0.75" bottom="0.75" header="0.3" footer="0.3"/>
  <pageSetup paperSize="9" scale="4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3</vt:i4>
      </vt:variant>
    </vt:vector>
  </HeadingPairs>
  <TitlesOfParts>
    <vt:vector size="17" baseType="lpstr">
      <vt:lpstr>str1</vt:lpstr>
      <vt:lpstr>str2</vt:lpstr>
      <vt:lpstr>str3</vt:lpstr>
      <vt:lpstr>str4</vt:lpstr>
      <vt:lpstr>str5</vt:lpstr>
      <vt:lpstr>rozpis pro rozpocet</vt:lpstr>
      <vt:lpstr> rozpis pro HS</vt:lpstr>
      <vt:lpstr>příl.1 - cp 2021</vt:lpstr>
      <vt:lpstr>příl.2 - Velké opravy 2021</vt:lpstr>
      <vt:lpstr>příl.3 - Osnova NEI rozpočtu</vt:lpstr>
      <vt:lpstr>Rozdělení IP</vt:lpstr>
      <vt:lpstr>Přehled interních projektů</vt:lpstr>
      <vt:lpstr>pom - Přerozdělení DKRVO</vt:lpstr>
      <vt:lpstr>Plánované náklady z DKRVO</vt:lpstr>
      <vt:lpstr>'příl.1 - cp 2021'!Názvy_tisku</vt:lpstr>
      <vt:lpstr>'příl.1 - cp 2021'!Oblast_tisku</vt:lpstr>
      <vt:lpstr>'příl.2 - Velké opravy 2021'!Oblast_tisku</vt:lpstr>
    </vt:vector>
  </TitlesOfParts>
  <Company>RMU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J.Tomanova</dc:creator>
  <cp:lastModifiedBy>Hewlett-Packard Company</cp:lastModifiedBy>
  <cp:lastPrinted>2019-02-25T13:13:33Z</cp:lastPrinted>
  <dcterms:created xsi:type="dcterms:W3CDTF">2002-02-05T08:08:05Z</dcterms:created>
  <dcterms:modified xsi:type="dcterms:W3CDTF">2021-04-01T08:35:50Z</dcterms:modified>
</cp:coreProperties>
</file>