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tabRatio="851" activeTab="0"/>
  </bookViews>
  <sheets>
    <sheet name="Kalkulace 2023" sheetId="1" r:id="rId1"/>
    <sheet name="pro tisk" sheetId="2" state="hidden" r:id="rId2"/>
  </sheets>
  <definedNames>
    <definedName name="_xlnm.Print_Area" localSheetId="0">'Kalkulace 2023'!$B$1:$I$48</definedName>
    <definedName name="_xlnm.Print_Area" localSheetId="1">'pro tisk'!$B$2:$P$112</definedName>
  </definedNames>
  <calcPr fullCalcOnLoad="1"/>
</workbook>
</file>

<file path=xl/comments2.xml><?xml version="1.0" encoding="utf-8"?>
<comments xmlns="http://schemas.openxmlformats.org/spreadsheetml/2006/main">
  <authors>
    <author>Janicek</author>
  </authors>
  <commentList>
    <comment ref="H57" authorId="0">
      <text>
        <r>
          <rPr>
            <sz val="8"/>
            <rFont val="Tahoma"/>
            <family val="2"/>
          </rPr>
          <t>uveďte cenu za jednotku v Kč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57" authorId="0">
      <text>
        <r>
          <rPr>
            <sz val="8"/>
            <rFont val="Tahoma"/>
            <family val="2"/>
          </rPr>
          <t xml:space="preserve">uveďte jednotku ve formátu </t>
        </r>
        <r>
          <rPr>
            <b/>
            <sz val="8"/>
            <rFont val="Tahoma"/>
            <family val="2"/>
          </rPr>
          <t xml:space="preserve">Kč </t>
        </r>
        <r>
          <rPr>
            <sz val="8"/>
            <rFont val="Tahoma"/>
            <family val="2"/>
          </rPr>
          <t xml:space="preserve">resp. </t>
        </r>
        <r>
          <rPr>
            <b/>
            <sz val="8"/>
            <rFont val="Tahoma"/>
            <family val="2"/>
          </rPr>
          <t xml:space="preserve">Kč/km </t>
        </r>
        <r>
          <rPr>
            <sz val="8"/>
            <rFont val="Tahoma"/>
            <family val="2"/>
          </rPr>
          <t xml:space="preserve">resp. </t>
        </r>
        <r>
          <rPr>
            <b/>
            <sz val="8"/>
            <rFont val="Tahoma"/>
            <family val="2"/>
          </rPr>
          <t xml:space="preserve">Kč/ks </t>
        </r>
        <r>
          <rPr>
            <sz val="8"/>
            <rFont val="Tahoma"/>
            <family val="2"/>
          </rPr>
          <t>resp.</t>
        </r>
        <r>
          <rPr>
            <b/>
            <sz val="8"/>
            <rFont val="Tahoma"/>
            <family val="2"/>
          </rPr>
          <t xml:space="preserve"> Kč/st</t>
        </r>
        <r>
          <rPr>
            <sz val="8"/>
            <rFont val="Tahoma"/>
            <family val="2"/>
          </rPr>
          <t>(udenta) apod.</t>
        </r>
      </text>
    </comment>
    <comment ref="J57" authorId="0">
      <text>
        <r>
          <rPr>
            <sz val="8"/>
            <rFont val="Tahoma"/>
            <family val="2"/>
          </rPr>
          <t>uveďte počet jednotek</t>
        </r>
        <r>
          <rPr>
            <sz val="8"/>
            <rFont val="Tahoma"/>
            <family val="2"/>
          </rPr>
          <t xml:space="preserve">
</t>
        </r>
      </text>
    </comment>
    <comment ref="K57" authorId="0">
      <text>
        <r>
          <rPr>
            <sz val="8"/>
            <rFont val="Tahoma"/>
            <family val="2"/>
          </rPr>
          <t xml:space="preserve">uveďte násobek počtu jednotek
</t>
        </r>
      </text>
    </comment>
    <comment ref="L57" authorId="0">
      <text>
        <r>
          <rPr>
            <sz val="8"/>
            <rFont val="Tahoma"/>
            <family val="2"/>
          </rPr>
          <t>uveďte jednotku násobku: např. km, ks,  st(udentů), apod.</t>
        </r>
      </text>
    </comment>
    <comment ref="N57" authorId="0">
      <text>
        <r>
          <rPr>
            <sz val="8"/>
            <rFont val="Tahoma"/>
            <family val="2"/>
          </rPr>
          <t>uveďte jednotku násobku: např. km, ks,  st(udentů), apod.</t>
        </r>
      </text>
    </comment>
    <comment ref="P57" authorId="0">
      <text>
        <r>
          <rPr>
            <sz val="8"/>
            <rFont val="Tahoma"/>
            <family val="2"/>
          </rPr>
          <t>uveďte jednotku násobku: např. km, ks,  st(udentů), apod.</t>
        </r>
      </text>
    </comment>
    <comment ref="M57" authorId="0">
      <text>
        <r>
          <rPr>
            <sz val="8"/>
            <rFont val="Tahoma"/>
            <family val="2"/>
          </rPr>
          <t xml:space="preserve">uveďte násobek počtu jednotek
</t>
        </r>
      </text>
    </comment>
    <comment ref="O57" authorId="0">
      <text>
        <r>
          <rPr>
            <sz val="8"/>
            <rFont val="Tahoma"/>
            <family val="2"/>
          </rPr>
          <t xml:space="preserve">uveďte násobek počtu jednotek
</t>
        </r>
      </text>
    </comment>
    <comment ref="G64" authorId="0">
      <text>
        <r>
          <rPr>
            <sz val="8"/>
            <rFont val="Tahoma"/>
            <family val="2"/>
          </rPr>
          <t>mzdy a odměny zaměstanců s pracovním poměrem na pracovní smlouvu nebo dohodu o pracovní činnosti</t>
        </r>
        <r>
          <rPr>
            <sz val="8"/>
            <rFont val="Tahoma"/>
            <family val="2"/>
          </rPr>
          <t xml:space="preserve">
</t>
        </r>
      </text>
    </comment>
    <comment ref="G105" authorId="0">
      <text>
        <r>
          <rPr>
            <sz val="8"/>
            <rFont val="Tahoma"/>
            <family val="2"/>
          </rPr>
          <t>mzdy a odměny správních a režijních zaměstanců s pracovním poměrem na pracovní smlouvu nebo dohodu o pracovní činnosti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uveďte cenu za jednotku v Kč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sz val="8"/>
            <rFont val="Tahoma"/>
            <family val="2"/>
          </rPr>
          <t xml:space="preserve">uveďte jednotku ve formátu </t>
        </r>
        <r>
          <rPr>
            <b/>
            <sz val="8"/>
            <rFont val="Tahoma"/>
            <family val="2"/>
          </rPr>
          <t xml:space="preserve">Kč </t>
        </r>
        <r>
          <rPr>
            <sz val="8"/>
            <rFont val="Tahoma"/>
            <family val="2"/>
          </rPr>
          <t xml:space="preserve">resp. </t>
        </r>
        <r>
          <rPr>
            <b/>
            <sz val="8"/>
            <rFont val="Tahoma"/>
            <family val="2"/>
          </rPr>
          <t xml:space="preserve">Kč/km </t>
        </r>
        <r>
          <rPr>
            <sz val="8"/>
            <rFont val="Tahoma"/>
            <family val="2"/>
          </rPr>
          <t xml:space="preserve">resp. </t>
        </r>
        <r>
          <rPr>
            <b/>
            <sz val="8"/>
            <rFont val="Tahoma"/>
            <family val="2"/>
          </rPr>
          <t xml:space="preserve">Kč/ks </t>
        </r>
        <r>
          <rPr>
            <sz val="8"/>
            <rFont val="Tahoma"/>
            <family val="2"/>
          </rPr>
          <t>resp.</t>
        </r>
        <r>
          <rPr>
            <b/>
            <sz val="8"/>
            <rFont val="Tahoma"/>
            <family val="2"/>
          </rPr>
          <t xml:space="preserve"> Kč/st</t>
        </r>
        <r>
          <rPr>
            <sz val="8"/>
            <rFont val="Tahoma"/>
            <family val="2"/>
          </rPr>
          <t>(udenta) apod.</t>
        </r>
      </text>
    </comment>
  </commentList>
</comments>
</file>

<file path=xl/sharedStrings.xml><?xml version="1.0" encoding="utf-8"?>
<sst xmlns="http://schemas.openxmlformats.org/spreadsheetml/2006/main" count="360" uniqueCount="229">
  <si>
    <t xml:space="preserve"> </t>
  </si>
  <si>
    <t>ze kterých</t>
  </si>
  <si>
    <t>% zaměstnancům správním</t>
  </si>
  <si>
    <t>x</t>
  </si>
  <si>
    <t>Kč/st.</t>
  </si>
  <si>
    <t>Kč/km</t>
  </si>
  <si>
    <t>dny</t>
  </si>
  <si>
    <t>cena za jedn.</t>
  </si>
  <si>
    <t>jedn.</t>
  </si>
  <si>
    <t>počet jedn.</t>
  </si>
  <si>
    <t>Kč/x</t>
  </si>
  <si>
    <t>sazba dph</t>
  </si>
  <si>
    <t>dph</t>
  </si>
  <si>
    <t>1</t>
  </si>
  <si>
    <t>11</t>
  </si>
  <si>
    <t>12</t>
  </si>
  <si>
    <t>13</t>
  </si>
  <si>
    <t>2</t>
  </si>
  <si>
    <t>21</t>
  </si>
  <si>
    <t>211</t>
  </si>
  <si>
    <t>212</t>
  </si>
  <si>
    <t>213</t>
  </si>
  <si>
    <t>přímé mzdy</t>
  </si>
  <si>
    <t>přímý materiál</t>
  </si>
  <si>
    <t>22</t>
  </si>
  <si>
    <t>221</t>
  </si>
  <si>
    <t>222</t>
  </si>
  <si>
    <t>223</t>
  </si>
  <si>
    <t>mzdy placené na dohody o provedení práce</t>
  </si>
  <si>
    <t>mzdy režijní</t>
  </si>
  <si>
    <t>mzdy správní</t>
  </si>
  <si>
    <t>4</t>
  </si>
  <si>
    <t>ostatní náklady</t>
  </si>
  <si>
    <t>41</t>
  </si>
  <si>
    <t>cestovné</t>
  </si>
  <si>
    <t>411</t>
  </si>
  <si>
    <t>412</t>
  </si>
  <si>
    <t>telekomunikace</t>
  </si>
  <si>
    <t>poštovné</t>
  </si>
  <si>
    <t>pronájmy</t>
  </si>
  <si>
    <t>opravy a údržba</t>
  </si>
  <si>
    <t>42</t>
  </si>
  <si>
    <t>421</t>
  </si>
  <si>
    <t>422</t>
  </si>
  <si>
    <t>43</t>
  </si>
  <si>
    <t>44</t>
  </si>
  <si>
    <t>kancelářské potřeby</t>
  </si>
  <si>
    <t>45</t>
  </si>
  <si>
    <t>46</t>
  </si>
  <si>
    <t>5</t>
  </si>
  <si>
    <t>nedaňové náklady</t>
  </si>
  <si>
    <t>51</t>
  </si>
  <si>
    <t>52</t>
  </si>
  <si>
    <t>náklady         bez dph</t>
  </si>
  <si>
    <t>431</t>
  </si>
  <si>
    <t>432</t>
  </si>
  <si>
    <t>inzerce</t>
  </si>
  <si>
    <t>propagace</t>
  </si>
  <si>
    <t>441</t>
  </si>
  <si>
    <t>kooperace</t>
  </si>
  <si>
    <t>442</t>
  </si>
  <si>
    <t>subdodávky</t>
  </si>
  <si>
    <t>451</t>
  </si>
  <si>
    <t>ostatní</t>
  </si>
  <si>
    <t>náklady            s dph</t>
  </si>
  <si>
    <t>číslo projektu:</t>
  </si>
  <si>
    <t>datum:</t>
  </si>
  <si>
    <t xml:space="preserve">ostatní </t>
  </si>
  <si>
    <t>mzdy interní</t>
  </si>
  <si>
    <t>zákonné odvody</t>
  </si>
  <si>
    <t>zdravotní pojištění</t>
  </si>
  <si>
    <t>sociální pojištění</t>
  </si>
  <si>
    <t>celkové náklady</t>
  </si>
  <si>
    <t>zisk</t>
  </si>
  <si>
    <t>9</t>
  </si>
  <si>
    <t>cena</t>
  </si>
  <si>
    <t>jednotková cena</t>
  </si>
  <si>
    <t>10</t>
  </si>
  <si>
    <t>počet jednotek</t>
  </si>
  <si>
    <t>nákladový zisk</t>
  </si>
  <si>
    <t>% z ceny bez dph</t>
  </si>
  <si>
    <t>dtto</t>
  </si>
  <si>
    <t>r/n</t>
  </si>
  <si>
    <t>popis</t>
  </si>
  <si>
    <t>sazba      %</t>
  </si>
  <si>
    <t>KALKULACE CENY</t>
  </si>
  <si>
    <t>odvod</t>
  </si>
  <si>
    <t>společný zisk</t>
  </si>
  <si>
    <t>vlastní zisk</t>
  </si>
  <si>
    <t>plánovaný zisk z toho</t>
  </si>
  <si>
    <t>y</t>
  </si>
  <si>
    <t>přímé odpisy</t>
  </si>
  <si>
    <t>461</t>
  </si>
  <si>
    <t>48</t>
  </si>
  <si>
    <t>481</t>
  </si>
  <si>
    <t>nepřímé mzdy</t>
  </si>
  <si>
    <t>přímé náklady</t>
  </si>
  <si>
    <t>nepřímé náklady</t>
  </si>
  <si>
    <t>provozní a správní režie</t>
  </si>
  <si>
    <t>ostatní přímé náklady</t>
  </si>
  <si>
    <t>14</t>
  </si>
  <si>
    <t>6</t>
  </si>
  <si>
    <t xml:space="preserve">mzdová režie </t>
  </si>
  <si>
    <t>611</t>
  </si>
  <si>
    <t>612</t>
  </si>
  <si>
    <t>6121</t>
  </si>
  <si>
    <t>% z mezd interních 21</t>
  </si>
  <si>
    <t>ostatní pojištění</t>
  </si>
  <si>
    <t>náhrady mezd</t>
  </si>
  <si>
    <t>% z mezd nepřímých 61</t>
  </si>
  <si>
    <t>učební texty</t>
  </si>
  <si>
    <t>Kč/ks</t>
  </si>
  <si>
    <t>studentů</t>
  </si>
  <si>
    <t>lektor</t>
  </si>
  <si>
    <t>jedn/rok</t>
  </si>
  <si>
    <t>členů</t>
  </si>
  <si>
    <t>214</t>
  </si>
  <si>
    <t>215</t>
  </si>
  <si>
    <t>216</t>
  </si>
  <si>
    <t>administrátor - 1/2 úvazku</t>
  </si>
  <si>
    <t>Kč/měsíc</t>
  </si>
  <si>
    <t>Kč/cesta</t>
  </si>
  <si>
    <t>Kč/noc</t>
  </si>
  <si>
    <t>osoby</t>
  </si>
  <si>
    <t>Kč/den</t>
  </si>
  <si>
    <t>Kč/inzerát</t>
  </si>
  <si>
    <t>inzerce/rok</t>
  </si>
  <si>
    <t>Kč/brožura</t>
  </si>
  <si>
    <t>poplatky NTU</t>
  </si>
  <si>
    <t>443</t>
  </si>
  <si>
    <t>GBP/rok</t>
  </si>
  <si>
    <t>Kalkulace nákladů zakázky</t>
  </si>
  <si>
    <t>skupiny</t>
  </si>
  <si>
    <t>projektor</t>
  </si>
  <si>
    <t>výuka - hlavní lektor</t>
  </si>
  <si>
    <t>výuka - druhý lektor</t>
  </si>
  <si>
    <t xml:space="preserve">administrátor </t>
  </si>
  <si>
    <t>Kč/hod</t>
  </si>
  <si>
    <t>jednání zkušební komise</t>
  </si>
  <si>
    <t>vedoucí projektu</t>
  </si>
  <si>
    <t>Kč/kurz</t>
  </si>
  <si>
    <t>mzdy a odměny zam.MU</t>
  </si>
  <si>
    <t>ostatní  náklady</t>
  </si>
  <si>
    <t>Kč/os.</t>
  </si>
  <si>
    <t>ubytování hostů</t>
  </si>
  <si>
    <t>občerstvení (raut)</t>
  </si>
  <si>
    <t xml:space="preserve">dopravné </t>
  </si>
  <si>
    <t>482</t>
  </si>
  <si>
    <t>ostatní služby</t>
  </si>
  <si>
    <t>přefakturace vnitroslužeb vydav.</t>
  </si>
  <si>
    <t>ubytování studentů</t>
  </si>
  <si>
    <t>stravování studentů</t>
  </si>
  <si>
    <t>skupin</t>
  </si>
  <si>
    <t>cestovní náhrady zam. - dom.</t>
  </si>
  <si>
    <t>cestovní náhrady zam.- zahr.</t>
  </si>
  <si>
    <t>cestovné zam.</t>
  </si>
  <si>
    <t>xx.xx.2005</t>
  </si>
  <si>
    <t>xxxx/2005</t>
  </si>
  <si>
    <t>název zakázky:</t>
  </si>
  <si>
    <t>název - zakázky</t>
  </si>
  <si>
    <t>433</t>
  </si>
  <si>
    <t>444</t>
  </si>
  <si>
    <t>445</t>
  </si>
  <si>
    <t>446</t>
  </si>
  <si>
    <t>účastníků, odběratelů</t>
  </si>
  <si>
    <t>režie správní v kalkulaci = ř.73</t>
  </si>
  <si>
    <t>provozní režie vč.neupl.DPH</t>
  </si>
  <si>
    <t>správní režie vč.eupl.DPH</t>
  </si>
  <si>
    <t>cena zakázky a DPH</t>
  </si>
  <si>
    <t>rozdělení plánov.zisku (odvod)</t>
  </si>
  <si>
    <t>dtto (na společné provozní náklady hospodářského střediska)</t>
  </si>
  <si>
    <t>dtto (do společného hospodářského výsledku hospodářského střediska)</t>
  </si>
  <si>
    <t>dtto (do společných výnosů hospodářského střediska)</t>
  </si>
  <si>
    <t>nás.1</t>
  </si>
  <si>
    <t>nás.2</t>
  </si>
  <si>
    <t>nás.3</t>
  </si>
  <si>
    <t>% z přímých mezd ř.21 a placených na dohody ř.22 a mezd režijních 611</t>
  </si>
  <si>
    <t>% z přímých mezd ř.21 a placených na dohody ř.22</t>
  </si>
  <si>
    <t>% z celkových nákladů bez dph</t>
  </si>
  <si>
    <t>dtto (HV pracoviště)</t>
  </si>
  <si>
    <t>% dle Pokynu vedoucího HS</t>
  </si>
  <si>
    <t>% z přímých nákladů bez DPH (dle Pokynu vedoucího HS)</t>
  </si>
  <si>
    <t>% z celkových nákladů bez DPH (dle Pokynu vedoucího HS)</t>
  </si>
  <si>
    <t>% z celkových nákladů (dle Pokynu vedoucího pracoviště)</t>
  </si>
  <si>
    <t>% z mezd přímých ř. 2 (dle Pokynu vedoucího HS)</t>
  </si>
  <si>
    <t>% z přímých nákladů</t>
  </si>
  <si>
    <t>zákonné pojištění odpovědnosti</t>
  </si>
  <si>
    <t>přímý materiál PM</t>
  </si>
  <si>
    <t>přímé mzdy MN1</t>
  </si>
  <si>
    <t>zákonné odvody MN2</t>
  </si>
  <si>
    <t>ostatní přímé náklady OPN</t>
  </si>
  <si>
    <t>podpis</t>
  </si>
  <si>
    <t>datum</t>
  </si>
  <si>
    <t>jméno</t>
  </si>
  <si>
    <t>Správce rozpočtu</t>
  </si>
  <si>
    <t>Příkazce operace</t>
  </si>
  <si>
    <t>Minimální cena =</t>
  </si>
  <si>
    <t>cena zakázky C</t>
  </si>
  <si>
    <t>sazba DPH</t>
  </si>
  <si>
    <t>% z ceny bez DPH</t>
  </si>
  <si>
    <t>sociální fond</t>
  </si>
  <si>
    <t>č. ř.</t>
  </si>
  <si>
    <t>datum ukončení:</t>
  </si>
  <si>
    <t>datum zahájení:</t>
  </si>
  <si>
    <t>číslo zakázky:</t>
  </si>
  <si>
    <t>dohody o provedení práce do 10 tis. Kč / měsíc</t>
  </si>
  <si>
    <t>% z mezd na ř. 2</t>
  </si>
  <si>
    <t>dohody o pracovní činnosti a provedení práce</t>
  </si>
  <si>
    <t>přímé odpisy nedotační</t>
  </si>
  <si>
    <t>mzdy a odměny zaměstnanců MU (interní)</t>
  </si>
  <si>
    <t>nepřímé náklady (správní režie) NN</t>
  </si>
  <si>
    <t>celkové náklady CN=PN+NN</t>
  </si>
  <si>
    <t>daňově neuznatelné náklady DNN</t>
  </si>
  <si>
    <t>% z mezd na ř. 2 a 3</t>
  </si>
  <si>
    <t>vypočtený zisk po zdanění VZ=Z-VD</t>
  </si>
  <si>
    <t>daň z příjmu vypočtená VD =Z*19%</t>
  </si>
  <si>
    <t>přímé náklady PN=MN1+MN2+PM+OPN</t>
  </si>
  <si>
    <t>daň z příjmu z plánovaného zisku</t>
  </si>
  <si>
    <t>vypočtený zisk před zdaněním Z=C-CN+DNN</t>
  </si>
  <si>
    <t>přímé odpisy dotační OD</t>
  </si>
  <si>
    <t>měna:</t>
  </si>
  <si>
    <t>cena bez DPH</t>
  </si>
  <si>
    <t>cena vč. DPH</t>
  </si>
  <si>
    <t>plánovaný zisk PZ=C*5%</t>
  </si>
  <si>
    <t>KALKULACE CENY ZAKÁZKY</t>
  </si>
  <si>
    <t>celkové
náklady</t>
  </si>
  <si>
    <t>Ceny bez DPH, bude-li uplatňován
 odpočet DPH na vstupu</t>
  </si>
  <si>
    <r>
      <t xml:space="preserve">Na fakultu bude převeden příspěvek na správní režii (ř. 20), plánovaný zisk (ř. 26) a příspěvek na úhradu daně z příjmu (ř. 25), tj. celkem </t>
    </r>
    <r>
      <rPr>
        <b/>
        <sz val="9"/>
        <rFont val="Verdana"/>
        <family val="2"/>
      </rPr>
      <t>22,31 %</t>
    </r>
    <r>
      <rPr>
        <sz val="9"/>
        <rFont val="Verdana"/>
        <family val="2"/>
      </rPr>
      <t xml:space="preserve"> z ceny bez DPH.</t>
    </r>
  </si>
  <si>
    <t>Vedoucí HS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</si>
</sst>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è&quot;_-;\-* #,##0\ &quot;Kè&quot;_-;_-* &quot;-&quot;\ &quot;Kè&quot;_-;_-@_-"/>
    <numFmt numFmtId="167" formatCode="_-* #,##0\ _K_è_-;\-* #,##0\ _K_è_-;_-* &quot;-&quot;\ _K_è_-;_-@_-"/>
    <numFmt numFmtId="168" formatCode="_-* #,##0.00\ &quot;Kè&quot;_-;\-* #,##0.00\ &quot;Kè&quot;_-;_-* &quot;-&quot;??\ &quot;Kè&quot;_-;_-@_-"/>
    <numFmt numFmtId="169" formatCode="_-* #,##0.00\ _K_è_-;\-* #,##0.00\ _K_è_-;_-* &quot;-&quot;??\ _K_è_-;_-@_-"/>
    <numFmt numFmtId="170" formatCode="#,##0.0"/>
    <numFmt numFmtId="171" formatCode="dd/mm/yy;@"/>
    <numFmt numFmtId="172" formatCode="[&lt;&gt;0]#,##0.00;\-#,##0.00;#"/>
    <numFmt numFmtId="173" formatCode="[&lt;&gt;0]#,##0.0;\-#,##0.0;#"/>
    <numFmt numFmtId="174" formatCode="[&lt;&gt;0]#,##0.00;\-#,##0.00;#.0"/>
    <numFmt numFmtId="175" formatCode="#,##0\ &quot;Kč&quot;"/>
    <numFmt numFmtId="176" formatCode="#,##0.00.\-"/>
    <numFmt numFmtId="177" formatCode="[&lt;&gt;0]#,##0.000;\-#,##0.000;#.0"/>
    <numFmt numFmtId="178" formatCode="[&lt;&gt;0]#,##0.0000;\-#,##0.0000;#.00"/>
    <numFmt numFmtId="179" formatCode="#,##0.00_ ;\-#,##0.00\ "/>
    <numFmt numFmtId="180" formatCode="#,##0.\-\ &quot;Kč&quot;"/>
    <numFmt numFmtId="181" formatCode="#,##0.0.\-\ &quot;Kč&quot;"/>
    <numFmt numFmtId="182" formatCode="#,##0.00.\-\ &quot;Kč&quot;"/>
    <numFmt numFmtId="183" formatCode="#,##0.000.\-\ &quot;Kč&quot;"/>
    <numFmt numFmtId="184" formatCode="[$-405]d\.\ mmmm\ yyyy"/>
    <numFmt numFmtId="185" formatCode="#,##0.0\ &quot;Kč&quot;"/>
    <numFmt numFmtId="186" formatCode="#,##0.00\ &quot;Kč&quot;"/>
    <numFmt numFmtId="187" formatCode="#,##0.000\ &quot;Kč&quot;"/>
  </numFmts>
  <fonts count="62">
    <font>
      <sz val="10"/>
      <name val="NimbusSans"/>
      <family val="0"/>
    </font>
    <font>
      <b/>
      <sz val="10"/>
      <name val="NimbusSans"/>
      <family val="0"/>
    </font>
    <font>
      <i/>
      <sz val="10"/>
      <name val="NimbusSans"/>
      <family val="0"/>
    </font>
    <font>
      <b/>
      <i/>
      <sz val="10"/>
      <name val="NimbusSans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.2"/>
      <color indexed="12"/>
      <name val="NimbusSans"/>
      <family val="0"/>
    </font>
    <font>
      <u val="single"/>
      <sz val="8.2"/>
      <color indexed="36"/>
      <name val="NimbusSan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NimbusSans"/>
      <family val="0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9"/>
      <color indexed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color indexed="9"/>
      <name val="Verdana"/>
      <family val="2"/>
    </font>
    <font>
      <b/>
      <sz val="9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NimbusSan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20" borderId="2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170" fontId="8" fillId="0" borderId="0" xfId="0" applyNumberFormat="1" applyFont="1" applyFill="1" applyAlignment="1">
      <alignment/>
    </xf>
    <xf numFmtId="2" fontId="17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horizontal="right"/>
    </xf>
    <xf numFmtId="170" fontId="17" fillId="0" borderId="10" xfId="0" applyNumberFormat="1" applyFont="1" applyFill="1" applyBorder="1" applyAlignment="1">
      <alignment horizontal="right"/>
    </xf>
    <xf numFmtId="1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17" fillId="0" borderId="14" xfId="0" applyNumberFormat="1" applyFont="1" applyFill="1" applyBorder="1" applyAlignment="1">
      <alignment/>
    </xf>
    <xf numFmtId="4" fontId="17" fillId="0" borderId="14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0" fontId="17" fillId="0" borderId="14" xfId="0" applyNumberFormat="1" applyFont="1" applyFill="1" applyBorder="1" applyAlignment="1">
      <alignment/>
    </xf>
    <xf numFmtId="49" fontId="17" fillId="0" borderId="14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/>
    </xf>
    <xf numFmtId="170" fontId="13" fillId="0" borderId="10" xfId="0" applyNumberFormat="1" applyFont="1" applyFill="1" applyBorder="1" applyAlignment="1">
      <alignment horizontal="right"/>
    </xf>
    <xf numFmtId="1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 horizontal="right"/>
    </xf>
    <xf numFmtId="170" fontId="13" fillId="0" borderId="14" xfId="0" applyNumberFormat="1" applyFont="1" applyFill="1" applyBorder="1" applyAlignment="1">
      <alignment horizontal="right"/>
    </xf>
    <xf numFmtId="1" fontId="13" fillId="0" borderId="14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170" fontId="8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/>
    </xf>
    <xf numFmtId="170" fontId="9" fillId="0" borderId="14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/>
    </xf>
    <xf numFmtId="170" fontId="14" fillId="0" borderId="10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170" fontId="9" fillId="0" borderId="14" xfId="0" applyNumberFormat="1" applyFont="1" applyFill="1" applyBorder="1" applyAlignment="1">
      <alignment horizontal="right"/>
    </xf>
    <xf numFmtId="1" fontId="9" fillId="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/>
    </xf>
    <xf numFmtId="170" fontId="8" fillId="0" borderId="14" xfId="0" applyNumberFormat="1" applyFont="1" applyFill="1" applyBorder="1" applyAlignment="1">
      <alignment horizontal="right"/>
    </xf>
    <xf numFmtId="170" fontId="9" fillId="0" borderId="1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15" fillId="0" borderId="14" xfId="0" applyNumberFormat="1" applyFont="1" applyFill="1" applyBorder="1" applyAlignment="1">
      <alignment horizontal="right"/>
    </xf>
    <xf numFmtId="170" fontId="15" fillId="0" borderId="14" xfId="0" applyNumberFormat="1" applyFont="1" applyFill="1" applyBorder="1" applyAlignment="1">
      <alignment horizontal="right"/>
    </xf>
    <xf numFmtId="1" fontId="15" fillId="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/>
    </xf>
    <xf numFmtId="170" fontId="13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/>
    </xf>
    <xf numFmtId="1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 horizontal="right"/>
    </xf>
    <xf numFmtId="4" fontId="15" fillId="0" borderId="11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17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170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170" fontId="9" fillId="0" borderId="15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170" fontId="8" fillId="0" borderId="1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71" fontId="19" fillId="0" borderId="16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 vertical="center"/>
    </xf>
    <xf numFmtId="171" fontId="19" fillId="0" borderId="18" xfId="0" applyNumberFormat="1" applyFont="1" applyFill="1" applyBorder="1" applyAlignment="1" applyProtection="1">
      <alignment horizontal="center"/>
      <protection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172" fontId="24" fillId="34" borderId="16" xfId="0" applyNumberFormat="1" applyFont="1" applyFill="1" applyBorder="1" applyAlignment="1" applyProtection="1">
      <alignment vertical="center"/>
      <protection/>
    </xf>
    <xf numFmtId="1" fontId="24" fillId="34" borderId="21" xfId="0" applyNumberFormat="1" applyFont="1" applyFill="1" applyBorder="1" applyAlignment="1" applyProtection="1">
      <alignment vertical="center"/>
      <protection/>
    </xf>
    <xf numFmtId="172" fontId="24" fillId="0" borderId="22" xfId="0" applyNumberFormat="1" applyFont="1" applyFill="1" applyBorder="1" applyAlignment="1" applyProtection="1">
      <alignment vertical="center"/>
      <protection locked="0"/>
    </xf>
    <xf numFmtId="2" fontId="20" fillId="35" borderId="23" xfId="0" applyNumberFormat="1" applyFont="1" applyFill="1" applyBorder="1" applyAlignment="1" applyProtection="1">
      <alignment horizontal="left" vertical="center" wrapText="1"/>
      <protection/>
    </xf>
    <xf numFmtId="2" fontId="20" fillId="35" borderId="24" xfId="0" applyNumberFormat="1" applyFont="1" applyFill="1" applyBorder="1" applyAlignment="1" applyProtection="1">
      <alignment horizontal="left" vertical="center" wrapText="1"/>
      <protection/>
    </xf>
    <xf numFmtId="1" fontId="19" fillId="35" borderId="25" xfId="0" applyNumberFormat="1" applyFont="1" applyFill="1" applyBorder="1" applyAlignment="1" applyProtection="1">
      <alignment vertical="center"/>
      <protection/>
    </xf>
    <xf numFmtId="172" fontId="20" fillId="35" borderId="26" xfId="0" applyNumberFormat="1" applyFont="1" applyFill="1" applyBorder="1" applyAlignment="1" applyProtection="1">
      <alignment vertical="center"/>
      <protection/>
    </xf>
    <xf numFmtId="2" fontId="20" fillId="35" borderId="27" xfId="0" applyNumberFormat="1" applyFont="1" applyFill="1" applyBorder="1" applyAlignment="1" applyProtection="1">
      <alignment horizontal="left" vertical="center" wrapText="1"/>
      <protection/>
    </xf>
    <xf numFmtId="172" fontId="20" fillId="35" borderId="28" xfId="0" applyNumberFormat="1" applyFont="1" applyFill="1" applyBorder="1" applyAlignment="1" applyProtection="1">
      <alignment horizontal="right" vertical="center"/>
      <protection/>
    </xf>
    <xf numFmtId="1" fontId="19" fillId="35" borderId="28" xfId="0" applyNumberFormat="1" applyFont="1" applyFill="1" applyBorder="1" applyAlignment="1" applyProtection="1">
      <alignment horizontal="right" vertical="center"/>
      <protection/>
    </xf>
    <xf numFmtId="172" fontId="20" fillId="35" borderId="29" xfId="0" applyNumberFormat="1" applyFont="1" applyFill="1" applyBorder="1" applyAlignment="1" applyProtection="1">
      <alignment horizontal="right" vertical="center"/>
      <protection/>
    </xf>
    <xf numFmtId="4" fontId="19" fillId="34" borderId="18" xfId="0" applyNumberFormat="1" applyFont="1" applyFill="1" applyBorder="1" applyAlignment="1" applyProtection="1">
      <alignment horizontal="left" vertical="center" wrapText="1"/>
      <protection/>
    </xf>
    <xf numFmtId="173" fontId="19" fillId="34" borderId="30" xfId="0" applyNumberFormat="1" applyFont="1" applyFill="1" applyBorder="1" applyAlignment="1" applyProtection="1">
      <alignment horizontal="right" vertical="center"/>
      <protection/>
    </xf>
    <xf numFmtId="1" fontId="19" fillId="34" borderId="30" xfId="0" applyNumberFormat="1" applyFont="1" applyFill="1" applyBorder="1" applyAlignment="1" applyProtection="1">
      <alignment vertical="center"/>
      <protection/>
    </xf>
    <xf numFmtId="172" fontId="19" fillId="0" borderId="31" xfId="0" applyNumberFormat="1" applyFont="1" applyFill="1" applyBorder="1" applyAlignment="1" applyProtection="1">
      <alignment vertical="center"/>
      <protection locked="0"/>
    </xf>
    <xf numFmtId="4" fontId="19" fillId="34" borderId="24" xfId="0" applyNumberFormat="1" applyFont="1" applyFill="1" applyBorder="1" applyAlignment="1" applyProtection="1">
      <alignment horizontal="left" vertical="center" wrapText="1"/>
      <protection/>
    </xf>
    <xf numFmtId="173" fontId="19" fillId="34" borderId="25" xfId="0" applyNumberFormat="1" applyFont="1" applyFill="1" applyBorder="1" applyAlignment="1" applyProtection="1">
      <alignment horizontal="right" vertical="center"/>
      <protection/>
    </xf>
    <xf numFmtId="1" fontId="19" fillId="34" borderId="25" xfId="0" applyNumberFormat="1" applyFont="1" applyFill="1" applyBorder="1" applyAlignment="1" applyProtection="1">
      <alignment vertical="center"/>
      <protection/>
    </xf>
    <xf numFmtId="172" fontId="19" fillId="0" borderId="26" xfId="0" applyNumberFormat="1" applyFont="1" applyFill="1" applyBorder="1" applyAlignment="1" applyProtection="1">
      <alignment vertical="center"/>
      <protection locked="0"/>
    </xf>
    <xf numFmtId="4" fontId="19" fillId="34" borderId="27" xfId="0" applyNumberFormat="1" applyFont="1" applyFill="1" applyBorder="1" applyAlignment="1" applyProtection="1">
      <alignment horizontal="left" vertical="center" wrapText="1"/>
      <protection/>
    </xf>
    <xf numFmtId="173" fontId="19" fillId="34" borderId="28" xfId="0" applyNumberFormat="1" applyFont="1" applyFill="1" applyBorder="1" applyAlignment="1" applyProtection="1">
      <alignment horizontal="right" vertical="center"/>
      <protection/>
    </xf>
    <xf numFmtId="1" fontId="19" fillId="34" borderId="28" xfId="0" applyNumberFormat="1" applyFont="1" applyFill="1" applyBorder="1" applyAlignment="1" applyProtection="1">
      <alignment vertical="center"/>
      <protection/>
    </xf>
    <xf numFmtId="172" fontId="19" fillId="0" borderId="29" xfId="0" applyNumberFormat="1" applyFont="1" applyFill="1" applyBorder="1" applyAlignment="1" applyProtection="1">
      <alignment vertical="center"/>
      <protection locked="0"/>
    </xf>
    <xf numFmtId="2" fontId="20" fillId="35" borderId="32" xfId="0" applyNumberFormat="1" applyFont="1" applyFill="1" applyBorder="1" applyAlignment="1" applyProtection="1">
      <alignment horizontal="left" vertical="center" wrapText="1"/>
      <protection/>
    </xf>
    <xf numFmtId="173" fontId="20" fillId="35" borderId="33" xfId="0" applyNumberFormat="1" applyFont="1" applyFill="1" applyBorder="1" applyAlignment="1" applyProtection="1">
      <alignment horizontal="right" vertical="center"/>
      <protection/>
    </xf>
    <xf numFmtId="1" fontId="19" fillId="35" borderId="33" xfId="0" applyNumberFormat="1" applyFont="1" applyFill="1" applyBorder="1" applyAlignment="1" applyProtection="1">
      <alignment horizontal="right" vertical="center"/>
      <protection/>
    </xf>
    <xf numFmtId="172" fontId="20" fillId="35" borderId="34" xfId="0" applyNumberFormat="1" applyFont="1" applyFill="1" applyBorder="1" applyAlignment="1" applyProtection="1">
      <alignment horizontal="right" vertical="center"/>
      <protection/>
    </xf>
    <xf numFmtId="173" fontId="19" fillId="34" borderId="35" xfId="0" applyNumberFormat="1" applyFont="1" applyFill="1" applyBorder="1" applyAlignment="1" applyProtection="1">
      <alignment vertical="center"/>
      <protection/>
    </xf>
    <xf numFmtId="1" fontId="19" fillId="34" borderId="35" xfId="0" applyNumberFormat="1" applyFont="1" applyFill="1" applyBorder="1" applyAlignment="1" applyProtection="1">
      <alignment horizontal="right" vertical="center"/>
      <protection/>
    </xf>
    <xf numFmtId="173" fontId="19" fillId="34" borderId="25" xfId="0" applyNumberFormat="1" applyFont="1" applyFill="1" applyBorder="1" applyAlignment="1" applyProtection="1">
      <alignment vertical="center"/>
      <protection/>
    </xf>
    <xf numFmtId="1" fontId="19" fillId="34" borderId="25" xfId="0" applyNumberFormat="1" applyFont="1" applyFill="1" applyBorder="1" applyAlignment="1" applyProtection="1">
      <alignment horizontal="right" vertical="center"/>
      <protection/>
    </xf>
    <xf numFmtId="173" fontId="19" fillId="34" borderId="28" xfId="0" applyNumberFormat="1" applyFont="1" applyFill="1" applyBorder="1" applyAlignment="1" applyProtection="1">
      <alignment vertical="center"/>
      <protection/>
    </xf>
    <xf numFmtId="1" fontId="19" fillId="34" borderId="28" xfId="0" applyNumberFormat="1" applyFont="1" applyFill="1" applyBorder="1" applyAlignment="1" applyProtection="1">
      <alignment horizontal="right" vertical="center"/>
      <protection/>
    </xf>
    <xf numFmtId="2" fontId="20" fillId="35" borderId="36" xfId="0" applyNumberFormat="1" applyFont="1" applyFill="1" applyBorder="1" applyAlignment="1" applyProtection="1">
      <alignment horizontal="left" vertical="center" wrapText="1"/>
      <protection/>
    </xf>
    <xf numFmtId="173" fontId="20" fillId="35" borderId="37" xfId="0" applyNumberFormat="1" applyFont="1" applyFill="1" applyBorder="1" applyAlignment="1" applyProtection="1">
      <alignment horizontal="right" vertical="center"/>
      <protection/>
    </xf>
    <xf numFmtId="1" fontId="19" fillId="35" borderId="37" xfId="0" applyNumberFormat="1" applyFont="1" applyFill="1" applyBorder="1" applyAlignment="1" applyProtection="1">
      <alignment horizontal="right" vertical="center"/>
      <protection/>
    </xf>
    <xf numFmtId="172" fontId="20" fillId="35" borderId="38" xfId="0" applyNumberFormat="1" applyFont="1" applyFill="1" applyBorder="1" applyAlignment="1" applyProtection="1">
      <alignment horizontal="right" vertical="center"/>
      <protection/>
    </xf>
    <xf numFmtId="2" fontId="19" fillId="34" borderId="24" xfId="0" applyNumberFormat="1" applyFont="1" applyFill="1" applyBorder="1" applyAlignment="1" applyProtection="1">
      <alignment horizontal="left" vertical="center" wrapText="1"/>
      <protection/>
    </xf>
    <xf numFmtId="172" fontId="19" fillId="0" borderId="26" xfId="0" applyNumberFormat="1" applyFont="1" applyFill="1" applyBorder="1" applyAlignment="1" applyProtection="1">
      <alignment horizontal="right" vertical="center"/>
      <protection locked="0"/>
    </xf>
    <xf numFmtId="2" fontId="19" fillId="34" borderId="27" xfId="0" applyNumberFormat="1" applyFont="1" applyFill="1" applyBorder="1" applyAlignment="1" applyProtection="1">
      <alignment horizontal="left" vertical="center" wrapText="1"/>
      <protection/>
    </xf>
    <xf numFmtId="172" fontId="19" fillId="0" borderId="29" xfId="0" applyNumberFormat="1" applyFont="1" applyFill="1" applyBorder="1" applyAlignment="1" applyProtection="1">
      <alignment horizontal="right" vertical="center"/>
      <protection locked="0"/>
    </xf>
    <xf numFmtId="4" fontId="25" fillId="36" borderId="39" xfId="0" applyNumberFormat="1" applyFont="1" applyFill="1" applyBorder="1" applyAlignment="1" applyProtection="1">
      <alignment horizontal="center" vertical="center" wrapText="1"/>
      <protection/>
    </xf>
    <xf numFmtId="4" fontId="25" fillId="36" borderId="40" xfId="0" applyNumberFormat="1" applyFont="1" applyFill="1" applyBorder="1" applyAlignment="1" applyProtection="1">
      <alignment horizontal="center" vertical="center" wrapText="1"/>
      <protection/>
    </xf>
    <xf numFmtId="0" fontId="25" fillId="36" borderId="41" xfId="0" applyFont="1" applyFill="1" applyBorder="1" applyAlignment="1" applyProtection="1">
      <alignment horizontal="center" vertical="center" wrapText="1"/>
      <protection/>
    </xf>
    <xf numFmtId="0" fontId="25" fillId="36" borderId="42" xfId="0" applyFont="1" applyFill="1" applyBorder="1" applyAlignment="1" applyProtection="1">
      <alignment horizontal="center" vertical="center" wrapText="1"/>
      <protection/>
    </xf>
    <xf numFmtId="0" fontId="25" fillId="36" borderId="43" xfId="0" applyFont="1" applyFill="1" applyBorder="1" applyAlignment="1" applyProtection="1">
      <alignment horizontal="center" vertical="center" wrapText="1"/>
      <protection/>
    </xf>
    <xf numFmtId="4" fontId="25" fillId="36" borderId="44" xfId="0" applyNumberFormat="1" applyFont="1" applyFill="1" applyBorder="1" applyAlignment="1" applyProtection="1">
      <alignment horizontal="center" vertical="center" wrapText="1"/>
      <protection/>
    </xf>
    <xf numFmtId="174" fontId="19" fillId="34" borderId="25" xfId="0" applyNumberFormat="1" applyFont="1" applyFill="1" applyBorder="1" applyAlignment="1" applyProtection="1">
      <alignment horizontal="right" vertical="center"/>
      <protection/>
    </xf>
    <xf numFmtId="4" fontId="19" fillId="33" borderId="45" xfId="0" applyNumberFormat="1" applyFont="1" applyFill="1" applyBorder="1" applyAlignment="1" applyProtection="1">
      <alignment vertical="center" wrapText="1"/>
      <protection/>
    </xf>
    <xf numFmtId="4" fontId="19" fillId="33" borderId="27" xfId="0" applyNumberFormat="1" applyFont="1" applyFill="1" applyBorder="1" applyAlignment="1" applyProtection="1">
      <alignment vertical="center" wrapText="1"/>
      <protection/>
    </xf>
    <xf numFmtId="4" fontId="19" fillId="33" borderId="24" xfId="0" applyNumberFormat="1" applyFont="1" applyFill="1" applyBorder="1" applyAlignment="1" applyProtection="1">
      <alignment vertical="center" wrapText="1"/>
      <protection/>
    </xf>
    <xf numFmtId="4" fontId="19" fillId="33" borderId="24" xfId="0" applyNumberFormat="1" applyFont="1" applyFill="1" applyBorder="1" applyAlignment="1" applyProtection="1">
      <alignment horizontal="left" vertical="center" wrapText="1"/>
      <protection/>
    </xf>
    <xf numFmtId="172" fontId="20" fillId="0" borderId="34" xfId="0" applyNumberFormat="1" applyFont="1" applyFill="1" applyBorder="1" applyAlignment="1" applyProtection="1">
      <alignment horizontal="right" vertical="center"/>
      <protection locked="0"/>
    </xf>
    <xf numFmtId="172" fontId="20" fillId="35" borderId="31" xfId="0" applyNumberFormat="1" applyFont="1" applyFill="1" applyBorder="1" applyAlignment="1" applyProtection="1">
      <alignment vertical="center"/>
      <protection/>
    </xf>
    <xf numFmtId="1" fontId="19" fillId="35" borderId="30" xfId="0" applyNumberFormat="1" applyFont="1" applyFill="1" applyBorder="1" applyAlignment="1" applyProtection="1">
      <alignment vertical="center"/>
      <protection/>
    </xf>
    <xf numFmtId="172" fontId="20" fillId="35" borderId="30" xfId="0" applyNumberFormat="1" applyFont="1" applyFill="1" applyBorder="1" applyAlignment="1" applyProtection="1">
      <alignment horizontal="right" vertical="center"/>
      <protection/>
    </xf>
    <xf numFmtId="2" fontId="20" fillId="35" borderId="18" xfId="0" applyNumberFormat="1" applyFont="1" applyFill="1" applyBorder="1" applyAlignment="1" applyProtection="1">
      <alignment horizontal="left" vertical="center" wrapText="1"/>
      <protection/>
    </xf>
    <xf numFmtId="1" fontId="19" fillId="35" borderId="28" xfId="0" applyNumberFormat="1" applyFont="1" applyFill="1" applyBorder="1" applyAlignment="1" applyProtection="1">
      <alignment vertical="center"/>
      <protection/>
    </xf>
    <xf numFmtId="172" fontId="19" fillId="33" borderId="29" xfId="0" applyNumberFormat="1" applyFont="1" applyFill="1" applyBorder="1" applyAlignment="1" applyProtection="1">
      <alignment horizontal="right" vertical="center"/>
      <protection/>
    </xf>
    <xf numFmtId="172" fontId="19" fillId="33" borderId="26" xfId="0" applyNumberFormat="1" applyFont="1" applyFill="1" applyBorder="1" applyAlignment="1" applyProtection="1">
      <alignment horizontal="right" vertical="center"/>
      <protection/>
    </xf>
    <xf numFmtId="172" fontId="19" fillId="33" borderId="46" xfId="0" applyNumberFormat="1" applyFont="1" applyFill="1" applyBorder="1" applyAlignment="1" applyProtection="1">
      <alignment horizontal="right" vertical="center"/>
      <protection/>
    </xf>
    <xf numFmtId="172" fontId="19" fillId="33" borderId="26" xfId="0" applyNumberFormat="1" applyFont="1" applyFill="1" applyBorder="1" applyAlignment="1" applyProtection="1">
      <alignment vertical="center"/>
      <protection/>
    </xf>
    <xf numFmtId="172" fontId="19" fillId="0" borderId="31" xfId="0" applyNumberFormat="1" applyFont="1" applyFill="1" applyBorder="1" applyAlignment="1" applyProtection="1">
      <alignment horizontal="right" vertical="center"/>
      <protection locked="0"/>
    </xf>
    <xf numFmtId="1" fontId="19" fillId="34" borderId="30" xfId="0" applyNumberFormat="1" applyFont="1" applyFill="1" applyBorder="1" applyAlignment="1" applyProtection="1">
      <alignment horizontal="right" vertical="center"/>
      <protection/>
    </xf>
    <xf numFmtId="170" fontId="24" fillId="33" borderId="21" xfId="0" applyNumberFormat="1" applyFont="1" applyFill="1" applyBorder="1" applyAlignment="1" applyProtection="1">
      <alignment vertical="center"/>
      <protection locked="0"/>
    </xf>
    <xf numFmtId="2" fontId="19" fillId="34" borderId="18" xfId="0" applyNumberFormat="1" applyFont="1" applyFill="1" applyBorder="1" applyAlignment="1" applyProtection="1">
      <alignment horizontal="left" vertical="center" wrapText="1"/>
      <protection/>
    </xf>
    <xf numFmtId="172" fontId="19" fillId="35" borderId="28" xfId="0" applyNumberFormat="1" applyFont="1" applyFill="1" applyBorder="1" applyAlignment="1" applyProtection="1">
      <alignment horizontal="right" vertical="center"/>
      <protection/>
    </xf>
    <xf numFmtId="2" fontId="19" fillId="35" borderId="27" xfId="0" applyNumberFormat="1" applyFont="1" applyFill="1" applyBorder="1" applyAlignment="1" applyProtection="1">
      <alignment horizontal="left" vertical="center" wrapText="1"/>
      <protection/>
    </xf>
    <xf numFmtId="2" fontId="19" fillId="35" borderId="17" xfId="0" applyNumberFormat="1" applyFont="1" applyFill="1" applyBorder="1" applyAlignment="1" applyProtection="1">
      <alignment horizontal="left" vertical="center" wrapText="1"/>
      <protection/>
    </xf>
    <xf numFmtId="172" fontId="19" fillId="35" borderId="30" xfId="0" applyNumberFormat="1" applyFont="1" applyFill="1" applyBorder="1" applyAlignment="1" applyProtection="1">
      <alignment horizontal="right" vertical="center"/>
      <protection/>
    </xf>
    <xf numFmtId="2" fontId="19" fillId="35" borderId="18" xfId="0" applyNumberFormat="1" applyFont="1" applyFill="1" applyBorder="1" applyAlignment="1" applyProtection="1">
      <alignment horizontal="left" vertical="center" wrapText="1"/>
      <protection/>
    </xf>
    <xf numFmtId="172" fontId="19" fillId="5" borderId="31" xfId="0" applyNumberFormat="1" applyFont="1" applyFill="1" applyBorder="1" applyAlignment="1" applyProtection="1">
      <alignment vertical="center"/>
      <protection/>
    </xf>
    <xf numFmtId="174" fontId="26" fillId="35" borderId="25" xfId="0" applyNumberFormat="1" applyFont="1" applyFill="1" applyBorder="1" applyAlignment="1" applyProtection="1">
      <alignment horizontal="right" vertical="center"/>
      <protection/>
    </xf>
    <xf numFmtId="4" fontId="25" fillId="36" borderId="29" xfId="0" applyNumberFormat="1" applyFont="1" applyFill="1" applyBorder="1" applyAlignment="1" applyProtection="1">
      <alignment horizontal="center" vertical="center"/>
      <protection/>
    </xf>
    <xf numFmtId="1" fontId="25" fillId="36" borderId="28" xfId="0" applyNumberFormat="1" applyFont="1" applyFill="1" applyBorder="1" applyAlignment="1" applyProtection="1">
      <alignment vertical="center"/>
      <protection/>
    </xf>
    <xf numFmtId="2" fontId="25" fillId="36" borderId="47" xfId="0" applyNumberFormat="1" applyFont="1" applyFill="1" applyBorder="1" applyAlignment="1" applyProtection="1">
      <alignment horizontal="left" vertical="center" indent="1"/>
      <protection/>
    </xf>
    <xf numFmtId="0" fontId="0" fillId="37" borderId="48" xfId="0" applyFill="1" applyBorder="1" applyAlignment="1">
      <alignment horizontal="left" vertical="center" indent="1"/>
    </xf>
    <xf numFmtId="0" fontId="0" fillId="37" borderId="49" xfId="0" applyFill="1" applyBorder="1" applyAlignment="1">
      <alignment horizontal="left" vertical="center" indent="1"/>
    </xf>
    <xf numFmtId="170" fontId="25" fillId="36" borderId="28" xfId="0" applyNumberFormat="1" applyFont="1" applyFill="1" applyBorder="1" applyAlignment="1" applyProtection="1">
      <alignment horizontal="right" vertical="center"/>
      <protection/>
    </xf>
    <xf numFmtId="4" fontId="25" fillId="36" borderId="27" xfId="0" applyNumberFormat="1" applyFont="1" applyFill="1" applyBorder="1" applyAlignment="1" applyProtection="1">
      <alignment horizontal="center" vertical="center"/>
      <protection/>
    </xf>
    <xf numFmtId="172" fontId="20" fillId="35" borderId="31" xfId="0" applyNumberFormat="1" applyFont="1" applyFill="1" applyBorder="1" applyAlignment="1" applyProtection="1">
      <alignment horizontal="right" vertical="center"/>
      <protection/>
    </xf>
    <xf numFmtId="174" fontId="26" fillId="35" borderId="30" xfId="0" applyNumberFormat="1" applyFont="1" applyFill="1" applyBorder="1" applyAlignment="1" applyProtection="1">
      <alignment horizontal="right" vertical="center"/>
      <protection/>
    </xf>
    <xf numFmtId="2" fontId="20" fillId="35" borderId="50" xfId="0" applyNumberFormat="1" applyFont="1" applyFill="1" applyBorder="1" applyAlignment="1" applyProtection="1">
      <alignment horizontal="left" vertical="center" wrapText="1"/>
      <protection/>
    </xf>
    <xf numFmtId="1" fontId="19" fillId="35" borderId="30" xfId="0" applyNumberFormat="1" applyFont="1" applyFill="1" applyBorder="1" applyAlignment="1" applyProtection="1">
      <alignment horizontal="right" vertical="center"/>
      <protection/>
    </xf>
    <xf numFmtId="1" fontId="19" fillId="35" borderId="25" xfId="0" applyNumberFormat="1" applyFont="1" applyFill="1" applyBorder="1" applyAlignment="1" applyProtection="1">
      <alignment horizontal="right" vertical="center"/>
      <protection/>
    </xf>
    <xf numFmtId="172" fontId="19" fillId="5" borderId="29" xfId="0" applyNumberFormat="1" applyFont="1" applyFill="1" applyBorder="1" applyAlignment="1" applyProtection="1">
      <alignment vertical="center"/>
      <protection/>
    </xf>
    <xf numFmtId="172" fontId="26" fillId="5" borderId="25" xfId="0" applyNumberFormat="1" applyFont="1" applyFill="1" applyBorder="1" applyAlignment="1" applyProtection="1">
      <alignment horizontal="right" vertical="center"/>
      <protection/>
    </xf>
    <xf numFmtId="172" fontId="20" fillId="5" borderId="26" xfId="0" applyNumberFormat="1" applyFont="1" applyFill="1" applyBorder="1" applyAlignment="1" applyProtection="1">
      <alignment horizontal="right" vertical="center"/>
      <protection/>
    </xf>
    <xf numFmtId="172" fontId="19" fillId="5" borderId="25" xfId="0" applyNumberFormat="1" applyFont="1" applyFill="1" applyBorder="1" applyAlignment="1" applyProtection="1">
      <alignment horizontal="right" vertical="center"/>
      <protection/>
    </xf>
    <xf numFmtId="1" fontId="19" fillId="5" borderId="51" xfId="0" applyNumberFormat="1" applyFont="1" applyFill="1" applyBorder="1" applyAlignment="1" applyProtection="1">
      <alignment vertical="center"/>
      <protection/>
    </xf>
    <xf numFmtId="172" fontId="19" fillId="5" borderId="52" xfId="0" applyNumberFormat="1" applyFont="1" applyFill="1" applyBorder="1" applyAlignment="1" applyProtection="1">
      <alignment vertical="center"/>
      <protection/>
    </xf>
    <xf numFmtId="49" fontId="12" fillId="0" borderId="53" xfId="0" applyNumberFormat="1" applyFont="1" applyFill="1" applyBorder="1" applyAlignment="1">
      <alignment horizontal="center" vertical="center"/>
    </xf>
    <xf numFmtId="4" fontId="19" fillId="0" borderId="54" xfId="0" applyNumberFormat="1" applyFont="1" applyFill="1" applyBorder="1" applyAlignment="1" applyProtection="1">
      <alignment/>
      <protection/>
    </xf>
    <xf numFmtId="4" fontId="19" fillId="0" borderId="42" xfId="0" applyNumberFormat="1" applyFont="1" applyFill="1" applyBorder="1" applyAlignment="1" applyProtection="1">
      <alignment/>
      <protection/>
    </xf>
    <xf numFmtId="49" fontId="24" fillId="0" borderId="42" xfId="0" applyNumberFormat="1" applyFont="1" applyFill="1" applyBorder="1" applyAlignment="1" applyProtection="1">
      <alignment horizontal="left"/>
      <protection locked="0"/>
    </xf>
    <xf numFmtId="49" fontId="24" fillId="0" borderId="55" xfId="0" applyNumberFormat="1" applyFont="1" applyFill="1" applyBorder="1" applyAlignment="1" applyProtection="1">
      <alignment horizontal="left"/>
      <protection locked="0"/>
    </xf>
    <xf numFmtId="4" fontId="19" fillId="0" borderId="56" xfId="0" applyNumberFormat="1" applyFont="1" applyFill="1" applyBorder="1" applyAlignment="1" applyProtection="1">
      <alignment/>
      <protection/>
    </xf>
    <xf numFmtId="4" fontId="19" fillId="0" borderId="12" xfId="0" applyNumberFormat="1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horizontal="left"/>
      <protection locked="0"/>
    </xf>
    <xf numFmtId="49" fontId="24" fillId="0" borderId="57" xfId="0" applyNumberFormat="1" applyFont="1" applyFill="1" applyBorder="1" applyAlignment="1" applyProtection="1">
      <alignment horizontal="left"/>
      <protection locked="0"/>
    </xf>
    <xf numFmtId="14" fontId="24" fillId="0" borderId="12" xfId="0" applyNumberFormat="1" applyFont="1" applyFill="1" applyBorder="1" applyAlignment="1" applyProtection="1">
      <alignment horizontal="left"/>
      <protection locked="0"/>
    </xf>
    <xf numFmtId="14" fontId="24" fillId="0" borderId="57" xfId="0" applyNumberFormat="1" applyFont="1" applyFill="1" applyBorder="1" applyAlignment="1" applyProtection="1">
      <alignment horizontal="left"/>
      <protection locked="0"/>
    </xf>
    <xf numFmtId="49" fontId="24" fillId="0" borderId="58" xfId="0" applyNumberFormat="1" applyFont="1" applyFill="1" applyBorder="1" applyAlignment="1" applyProtection="1">
      <alignment horizontal="left"/>
      <protection locked="0"/>
    </xf>
    <xf numFmtId="49" fontId="0" fillId="0" borderId="58" xfId="0" applyNumberFormat="1" applyBorder="1" applyAlignment="1" applyProtection="1">
      <alignment horizontal="left"/>
      <protection locked="0"/>
    </xf>
    <xf numFmtId="49" fontId="0" fillId="0" borderId="59" xfId="0" applyNumberFormat="1" applyBorder="1" applyAlignment="1" applyProtection="1">
      <alignment horizontal="left"/>
      <protection locked="0"/>
    </xf>
    <xf numFmtId="1" fontId="20" fillId="35" borderId="60" xfId="0" applyNumberFormat="1" applyFont="1" applyFill="1" applyBorder="1" applyAlignment="1" applyProtection="1">
      <alignment horizontal="left" vertical="center" indent="1"/>
      <protection/>
    </xf>
    <xf numFmtId="1" fontId="20" fillId="35" borderId="12" xfId="0" applyNumberFormat="1" applyFont="1" applyFill="1" applyBorder="1" applyAlignment="1" applyProtection="1">
      <alignment horizontal="left" vertical="center" indent="1"/>
      <protection/>
    </xf>
    <xf numFmtId="0" fontId="0" fillId="0" borderId="61" xfId="0" applyBorder="1" applyAlignment="1">
      <alignment horizontal="left" vertical="center" indent="1"/>
    </xf>
    <xf numFmtId="2" fontId="19" fillId="34" borderId="62" xfId="0" applyNumberFormat="1" applyFont="1" applyFill="1" applyBorder="1" applyAlignment="1" applyProtection="1">
      <alignment horizontal="left" vertical="center" indent="1"/>
      <protection/>
    </xf>
    <xf numFmtId="2" fontId="19" fillId="34" borderId="63" xfId="0" applyNumberFormat="1" applyFont="1" applyFill="1" applyBorder="1" applyAlignment="1" applyProtection="1">
      <alignment horizontal="left" vertical="center" indent="1"/>
      <protection/>
    </xf>
    <xf numFmtId="0" fontId="0" fillId="0" borderId="64" xfId="0" applyBorder="1" applyAlignment="1">
      <alignment horizontal="left" vertical="center" indent="1"/>
    </xf>
    <xf numFmtId="2" fontId="19" fillId="34" borderId="65" xfId="0" applyNumberFormat="1" applyFont="1" applyFill="1" applyBorder="1" applyAlignment="1" applyProtection="1">
      <alignment horizontal="left" vertical="center" indent="1"/>
      <protection/>
    </xf>
    <xf numFmtId="2" fontId="19" fillId="34" borderId="66" xfId="0" applyNumberFormat="1" applyFont="1" applyFill="1" applyBorder="1" applyAlignment="1" applyProtection="1">
      <alignment horizontal="left" vertical="center" indent="1"/>
      <protection/>
    </xf>
    <xf numFmtId="0" fontId="0" fillId="0" borderId="67" xfId="0" applyBorder="1" applyAlignment="1">
      <alignment horizontal="left" vertical="center" indent="1"/>
    </xf>
    <xf numFmtId="2" fontId="19" fillId="34" borderId="68" xfId="0" applyNumberFormat="1" applyFont="1" applyFill="1" applyBorder="1" applyAlignment="1" applyProtection="1">
      <alignment horizontal="left" vertical="center" indent="1"/>
      <protection/>
    </xf>
    <xf numFmtId="2" fontId="19" fillId="34" borderId="69" xfId="0" applyNumberFormat="1" applyFont="1" applyFill="1" applyBorder="1" applyAlignment="1" applyProtection="1">
      <alignment horizontal="left" vertical="center" indent="1"/>
      <protection/>
    </xf>
    <xf numFmtId="0" fontId="0" fillId="0" borderId="70" xfId="0" applyBorder="1" applyAlignment="1">
      <alignment horizontal="left" vertical="center" indent="1"/>
    </xf>
    <xf numFmtId="2" fontId="23" fillId="0" borderId="71" xfId="0" applyNumberFormat="1" applyFont="1" applyFill="1" applyBorder="1" applyAlignment="1">
      <alignment horizontal="center" vertical="center" textRotation="90" wrapText="1"/>
    </xf>
    <xf numFmtId="2" fontId="23" fillId="0" borderId="72" xfId="0" applyNumberFormat="1" applyFont="1" applyFill="1" applyBorder="1" applyAlignment="1">
      <alignment horizontal="center" vertical="center" textRotation="90" wrapText="1"/>
    </xf>
    <xf numFmtId="2" fontId="23" fillId="0" borderId="73" xfId="0" applyNumberFormat="1" applyFont="1" applyFill="1" applyBorder="1" applyAlignment="1">
      <alignment horizontal="center" vertical="center" textRotation="90" wrapText="1"/>
    </xf>
    <xf numFmtId="2" fontId="19" fillId="33" borderId="65" xfId="0" applyNumberFormat="1" applyFont="1" applyFill="1" applyBorder="1" applyAlignment="1" applyProtection="1">
      <alignment horizontal="left" vertical="center" indent="1"/>
      <protection/>
    </xf>
    <xf numFmtId="2" fontId="19" fillId="33" borderId="66" xfId="0" applyNumberFormat="1" applyFont="1" applyFill="1" applyBorder="1" applyAlignment="1" applyProtection="1">
      <alignment horizontal="left" vertical="center" indent="1"/>
      <protection/>
    </xf>
    <xf numFmtId="0" fontId="0" fillId="33" borderId="67" xfId="0" applyFill="1" applyBorder="1" applyAlignment="1">
      <alignment horizontal="left" vertical="center" indent="1"/>
    </xf>
    <xf numFmtId="2" fontId="20" fillId="35" borderId="62" xfId="0" applyNumberFormat="1" applyFont="1" applyFill="1" applyBorder="1" applyAlignment="1" applyProtection="1">
      <alignment horizontal="left" vertical="center" indent="1"/>
      <protection/>
    </xf>
    <xf numFmtId="2" fontId="20" fillId="35" borderId="63" xfId="0" applyNumberFormat="1" applyFont="1" applyFill="1" applyBorder="1" applyAlignment="1" applyProtection="1">
      <alignment horizontal="left" vertical="center" indent="1"/>
      <protection/>
    </xf>
    <xf numFmtId="0" fontId="20" fillId="35" borderId="47" xfId="0" applyFont="1" applyFill="1" applyBorder="1" applyAlignment="1" applyProtection="1">
      <alignment horizontal="left" vertical="center" indent="1"/>
      <protection/>
    </xf>
    <xf numFmtId="0" fontId="20" fillId="35" borderId="48" xfId="0" applyFont="1" applyFill="1" applyBorder="1" applyAlignment="1" applyProtection="1">
      <alignment horizontal="left" vertical="center" indent="1"/>
      <protection/>
    </xf>
    <xf numFmtId="0" fontId="0" fillId="0" borderId="49" xfId="0" applyBorder="1" applyAlignment="1">
      <alignment horizontal="left" vertical="center" indent="1"/>
    </xf>
    <xf numFmtId="0" fontId="20" fillId="35" borderId="68" xfId="0" applyFont="1" applyFill="1" applyBorder="1" applyAlignment="1" applyProtection="1">
      <alignment horizontal="left" vertical="center" indent="1"/>
      <protection/>
    </xf>
    <xf numFmtId="0" fontId="20" fillId="35" borderId="69" xfId="0" applyFont="1" applyFill="1" applyBorder="1" applyAlignment="1" applyProtection="1">
      <alignment horizontal="left" vertical="center" indent="1"/>
      <protection/>
    </xf>
    <xf numFmtId="0" fontId="19" fillId="5" borderId="47" xfId="0" applyFont="1" applyFill="1" applyBorder="1" applyAlignment="1" applyProtection="1">
      <alignment horizontal="left" vertical="center" indent="1"/>
      <protection/>
    </xf>
    <xf numFmtId="0" fontId="19" fillId="5" borderId="48" xfId="0" applyFont="1" applyFill="1" applyBorder="1" applyAlignment="1" applyProtection="1">
      <alignment horizontal="left" vertical="center" indent="1"/>
      <protection/>
    </xf>
    <xf numFmtId="0" fontId="0" fillId="5" borderId="49" xfId="0" applyFont="1" applyFill="1" applyBorder="1" applyAlignment="1">
      <alignment horizontal="left" vertical="center" indent="1"/>
    </xf>
    <xf numFmtId="0" fontId="19" fillId="35" borderId="68" xfId="0" applyFont="1" applyFill="1" applyBorder="1" applyAlignment="1" applyProtection="1">
      <alignment horizontal="left" vertical="center" indent="1"/>
      <protection/>
    </xf>
    <xf numFmtId="0" fontId="19" fillId="35" borderId="69" xfId="0" applyFont="1" applyFill="1" applyBorder="1" applyAlignment="1" applyProtection="1">
      <alignment horizontal="left" vertical="center" indent="1"/>
      <protection/>
    </xf>
    <xf numFmtId="0" fontId="0" fillId="0" borderId="70" xfId="0" applyFont="1" applyBorder="1" applyAlignment="1">
      <alignment horizontal="left" vertical="center" indent="1"/>
    </xf>
    <xf numFmtId="2" fontId="20" fillId="35" borderId="65" xfId="0" applyNumberFormat="1" applyFont="1" applyFill="1" applyBorder="1" applyAlignment="1" applyProtection="1">
      <alignment horizontal="left" vertical="center" indent="1"/>
      <protection/>
    </xf>
    <xf numFmtId="2" fontId="20" fillId="35" borderId="66" xfId="0" applyNumberFormat="1" applyFont="1" applyFill="1" applyBorder="1" applyAlignment="1" applyProtection="1">
      <alignment horizontal="left" vertical="center" indent="1"/>
      <protection/>
    </xf>
    <xf numFmtId="0" fontId="1" fillId="0" borderId="67" xfId="0" applyFont="1" applyBorder="1" applyAlignment="1">
      <alignment horizontal="left" vertical="center" indent="1"/>
    </xf>
    <xf numFmtId="2" fontId="20" fillId="5" borderId="68" xfId="0" applyNumberFormat="1" applyFont="1" applyFill="1" applyBorder="1" applyAlignment="1" applyProtection="1">
      <alignment horizontal="left" vertical="center" indent="1"/>
      <protection/>
    </xf>
    <xf numFmtId="2" fontId="20" fillId="5" borderId="69" xfId="0" applyNumberFormat="1" applyFont="1" applyFill="1" applyBorder="1" applyAlignment="1" applyProtection="1">
      <alignment horizontal="left" vertical="center" indent="1"/>
      <protection/>
    </xf>
    <xf numFmtId="0" fontId="1" fillId="5" borderId="70" xfId="0" applyFont="1" applyFill="1" applyBorder="1" applyAlignment="1">
      <alignment horizontal="left" vertical="center" indent="1"/>
    </xf>
    <xf numFmtId="0" fontId="24" fillId="34" borderId="74" xfId="0" applyFont="1" applyFill="1" applyBorder="1" applyAlignment="1" applyProtection="1">
      <alignment horizontal="left" vertical="center" indent="1"/>
      <protection/>
    </xf>
    <xf numFmtId="0" fontId="0" fillId="0" borderId="75" xfId="0" applyBorder="1" applyAlignment="1">
      <alignment horizontal="left" vertical="center" indent="1"/>
    </xf>
    <xf numFmtId="0" fontId="0" fillId="0" borderId="76" xfId="0" applyBorder="1" applyAlignment="1">
      <alignment horizontal="left" vertical="center" indent="1"/>
    </xf>
    <xf numFmtId="180" fontId="23" fillId="0" borderId="77" xfId="0" applyNumberFormat="1" applyFont="1" applyFill="1" applyBorder="1" applyAlignment="1">
      <alignment horizontal="left"/>
    </xf>
    <xf numFmtId="0" fontId="23" fillId="0" borderId="78" xfId="0" applyNumberFormat="1" applyFont="1" applyFill="1" applyBorder="1" applyAlignment="1" applyProtection="1">
      <alignment horizontal="right"/>
      <protection/>
    </xf>
    <xf numFmtId="0" fontId="0" fillId="0" borderId="78" xfId="0" applyNumberFormat="1" applyFill="1" applyBorder="1" applyAlignment="1">
      <alignment/>
    </xf>
    <xf numFmtId="4" fontId="22" fillId="0" borderId="79" xfId="0" applyNumberFormat="1" applyFont="1" applyFill="1" applyBorder="1" applyAlignment="1">
      <alignment horizontal="center"/>
    </xf>
    <xf numFmtId="4" fontId="22" fillId="0" borderId="80" xfId="0" applyNumberFormat="1" applyFont="1" applyFill="1" applyBorder="1" applyAlignment="1">
      <alignment horizontal="center"/>
    </xf>
    <xf numFmtId="4" fontId="22" fillId="0" borderId="81" xfId="0" applyNumberFormat="1" applyFont="1" applyFill="1" applyBorder="1" applyAlignment="1">
      <alignment horizontal="center"/>
    </xf>
    <xf numFmtId="4" fontId="19" fillId="0" borderId="0" xfId="0" applyNumberFormat="1" applyFont="1" applyFill="1" applyAlignment="1">
      <alignment horizontal="left" wrapText="1"/>
    </xf>
    <xf numFmtId="0" fontId="20" fillId="22" borderId="82" xfId="0" applyFont="1" applyFill="1" applyBorder="1" applyAlignment="1">
      <alignment horizontal="center" vertical="center"/>
    </xf>
    <xf numFmtId="0" fontId="20" fillId="22" borderId="77" xfId="0" applyFont="1" applyFill="1" applyBorder="1" applyAlignment="1">
      <alignment horizontal="center" vertical="center"/>
    </xf>
    <xf numFmtId="0" fontId="20" fillId="22" borderId="83" xfId="0" applyFont="1" applyFill="1" applyBorder="1" applyAlignment="1">
      <alignment horizontal="center" vertical="center"/>
    </xf>
    <xf numFmtId="0" fontId="20" fillId="22" borderId="84" xfId="0" applyFont="1" applyFill="1" applyBorder="1" applyAlignment="1">
      <alignment horizontal="center" vertical="center"/>
    </xf>
    <xf numFmtId="0" fontId="19" fillId="33" borderId="85" xfId="0" applyFont="1" applyFill="1" applyBorder="1" applyAlignment="1">
      <alignment horizontal="center" vertical="center"/>
    </xf>
    <xf numFmtId="0" fontId="19" fillId="33" borderId="86" xfId="0" applyFont="1" applyFill="1" applyBorder="1" applyAlignment="1">
      <alignment horizontal="center" vertical="center"/>
    </xf>
    <xf numFmtId="0" fontId="19" fillId="33" borderId="87" xfId="0" applyFont="1" applyFill="1" applyBorder="1" applyAlignment="1">
      <alignment horizontal="center" vertical="center"/>
    </xf>
    <xf numFmtId="0" fontId="19" fillId="33" borderId="88" xfId="0" applyFont="1" applyFill="1" applyBorder="1" applyAlignment="1">
      <alignment horizontal="center" vertical="center"/>
    </xf>
    <xf numFmtId="0" fontId="19" fillId="0" borderId="89" xfId="0" applyFont="1" applyFill="1" applyBorder="1" applyAlignment="1" applyProtection="1">
      <alignment horizontal="center" vertical="center"/>
      <protection locked="0"/>
    </xf>
    <xf numFmtId="0" fontId="19" fillId="0" borderId="90" xfId="0" applyFont="1" applyFill="1" applyBorder="1" applyAlignment="1" applyProtection="1">
      <alignment/>
      <protection locked="0"/>
    </xf>
    <xf numFmtId="14" fontId="19" fillId="0" borderId="91" xfId="0" applyNumberFormat="1" applyFont="1" applyFill="1" applyBorder="1" applyAlignment="1" applyProtection="1">
      <alignment horizontal="center"/>
      <protection locked="0"/>
    </xf>
    <xf numFmtId="14" fontId="19" fillId="0" borderId="84" xfId="0" applyNumberFormat="1" applyFont="1" applyFill="1" applyBorder="1" applyAlignment="1" applyProtection="1">
      <alignment/>
      <protection locked="0"/>
    </xf>
    <xf numFmtId="0" fontId="20" fillId="22" borderId="92" xfId="0" applyFont="1" applyFill="1" applyBorder="1" applyAlignment="1">
      <alignment horizontal="center" vertical="center"/>
    </xf>
    <xf numFmtId="0" fontId="20" fillId="22" borderId="93" xfId="0" applyFont="1" applyFill="1" applyBorder="1" applyAlignment="1">
      <alignment horizontal="center" vertical="center"/>
    </xf>
    <xf numFmtId="0" fontId="19" fillId="33" borderId="94" xfId="0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center" vertical="center"/>
    </xf>
    <xf numFmtId="14" fontId="19" fillId="33" borderId="62" xfId="0" applyNumberFormat="1" applyFont="1" applyFill="1" applyBorder="1" applyAlignment="1">
      <alignment horizontal="center" vertical="center"/>
    </xf>
    <xf numFmtId="14" fontId="19" fillId="33" borderId="63" xfId="0" applyNumberFormat="1" applyFont="1" applyFill="1" applyBorder="1" applyAlignment="1">
      <alignment horizontal="center" vertical="center"/>
    </xf>
    <xf numFmtId="0" fontId="20" fillId="22" borderId="95" xfId="0" applyFont="1" applyFill="1" applyBorder="1" applyAlignment="1">
      <alignment horizontal="center" vertical="center"/>
    </xf>
    <xf numFmtId="0" fontId="20" fillId="22" borderId="53" xfId="0" applyFont="1" applyFill="1" applyBorder="1" applyAlignment="1">
      <alignment horizontal="center" vertical="center"/>
    </xf>
    <xf numFmtId="0" fontId="19" fillId="0" borderId="96" xfId="0" applyFont="1" applyFill="1" applyBorder="1" applyAlignment="1" applyProtection="1">
      <alignment horizontal="center" vertical="center"/>
      <protection locked="0"/>
    </xf>
    <xf numFmtId="0" fontId="19" fillId="0" borderId="97" xfId="0" applyFont="1" applyFill="1" applyBorder="1" applyAlignment="1" applyProtection="1">
      <alignment/>
      <protection locked="0"/>
    </xf>
    <xf numFmtId="14" fontId="19" fillId="0" borderId="74" xfId="0" applyNumberFormat="1" applyFont="1" applyFill="1" applyBorder="1" applyAlignment="1" applyProtection="1">
      <alignment horizontal="center"/>
      <protection locked="0"/>
    </xf>
    <xf numFmtId="14" fontId="19" fillId="0" borderId="75" xfId="0" applyNumberFormat="1" applyFont="1" applyFill="1" applyBorder="1" applyAlignment="1" applyProtection="1">
      <alignment/>
      <protection locked="0"/>
    </xf>
    <xf numFmtId="2" fontId="13" fillId="0" borderId="89" xfId="0" applyNumberFormat="1" applyFont="1" applyFill="1" applyBorder="1" applyAlignment="1">
      <alignment horizontal="left"/>
    </xf>
    <xf numFmtId="2" fontId="14" fillId="0" borderId="84" xfId="0" applyNumberFormat="1" applyFont="1" applyFill="1" applyBorder="1" applyAlignment="1">
      <alignment horizontal="left"/>
    </xf>
    <xf numFmtId="2" fontId="14" fillId="0" borderId="98" xfId="0" applyNumberFormat="1" applyFont="1" applyFill="1" applyBorder="1" applyAlignment="1">
      <alignment horizontal="left"/>
    </xf>
    <xf numFmtId="4" fontId="8" fillId="0" borderId="11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left"/>
    </xf>
    <xf numFmtId="2" fontId="8" fillId="0" borderId="12" xfId="0" applyNumberFormat="1" applyFont="1" applyFill="1" applyBorder="1" applyAlignment="1">
      <alignment horizontal="left"/>
    </xf>
    <xf numFmtId="2" fontId="8" fillId="0" borderId="13" xfId="0" applyNumberFormat="1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left"/>
    </xf>
    <xf numFmtId="2" fontId="9" fillId="0" borderId="12" xfId="0" applyNumberFormat="1" applyFont="1" applyFill="1" applyBorder="1" applyAlignment="1">
      <alignment horizontal="left"/>
    </xf>
    <xf numFmtId="2" fontId="9" fillId="0" borderId="13" xfId="0" applyNumberFormat="1" applyFont="1" applyFill="1" applyBorder="1" applyAlignment="1">
      <alignment horizontal="left"/>
    </xf>
    <xf numFmtId="2" fontId="15" fillId="0" borderId="11" xfId="0" applyNumberFormat="1" applyFont="1" applyFill="1" applyBorder="1" applyAlignment="1">
      <alignment horizontal="left"/>
    </xf>
    <xf numFmtId="2" fontId="16" fillId="0" borderId="12" xfId="0" applyNumberFormat="1" applyFont="1" applyFill="1" applyBorder="1" applyAlignment="1">
      <alignment horizontal="left"/>
    </xf>
    <xf numFmtId="2" fontId="16" fillId="0" borderId="13" xfId="0" applyNumberFormat="1" applyFont="1" applyFill="1" applyBorder="1" applyAlignment="1">
      <alignment horizontal="left"/>
    </xf>
    <xf numFmtId="4" fontId="9" fillId="0" borderId="11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5" fillId="0" borderId="99" xfId="0" applyNumberFormat="1" applyFont="1" applyFill="1" applyBorder="1" applyAlignment="1">
      <alignment horizontal="right"/>
    </xf>
    <xf numFmtId="4" fontId="5" fillId="0" borderId="58" xfId="0" applyNumberFormat="1" applyFont="1" applyFill="1" applyBorder="1" applyAlignment="1">
      <alignment horizontal="right"/>
    </xf>
    <xf numFmtId="4" fontId="5" fillId="0" borderId="100" xfId="0" applyNumberFormat="1" applyFont="1" applyFill="1" applyBorder="1" applyAlignment="1">
      <alignment horizontal="right"/>
    </xf>
    <xf numFmtId="4" fontId="4" fillId="0" borderId="101" xfId="0" applyNumberFormat="1" applyFont="1" applyFill="1" applyBorder="1" applyAlignment="1">
      <alignment horizontal="left"/>
    </xf>
    <xf numFmtId="4" fontId="4" fillId="0" borderId="58" xfId="0" applyNumberFormat="1" applyFont="1" applyFill="1" applyBorder="1" applyAlignment="1">
      <alignment horizontal="left"/>
    </xf>
    <xf numFmtId="4" fontId="4" fillId="0" borderId="59" xfId="0" applyNumberFormat="1" applyFont="1" applyFill="1" applyBorder="1" applyAlignment="1">
      <alignment horizontal="left"/>
    </xf>
    <xf numFmtId="4" fontId="9" fillId="0" borderId="89" xfId="0" applyNumberFormat="1" applyFont="1" applyFill="1" applyBorder="1" applyAlignment="1">
      <alignment horizontal="center" vertical="center" wrapText="1"/>
    </xf>
    <xf numFmtId="4" fontId="9" fillId="0" borderId="84" xfId="0" applyNumberFormat="1" applyFont="1" applyFill="1" applyBorder="1" applyAlignment="1">
      <alignment horizontal="center" vertical="center" wrapText="1"/>
    </xf>
    <xf numFmtId="4" fontId="9" fillId="0" borderId="98" xfId="0" applyNumberFormat="1" applyFont="1" applyFill="1" applyBorder="1" applyAlignment="1">
      <alignment horizontal="center" vertical="center" wrapText="1"/>
    </xf>
    <xf numFmtId="49" fontId="12" fillId="0" borderId="102" xfId="0" applyNumberFormat="1" applyFont="1" applyFill="1" applyBorder="1" applyAlignment="1">
      <alignment horizontal="center" vertical="center"/>
    </xf>
    <xf numFmtId="49" fontId="12" fillId="0" borderId="103" xfId="0" applyNumberFormat="1" applyFont="1" applyFill="1" applyBorder="1" applyAlignment="1">
      <alignment horizontal="center" vertical="center"/>
    </xf>
    <xf numFmtId="49" fontId="12" fillId="0" borderId="104" xfId="0" applyNumberFormat="1" applyFont="1" applyFill="1" applyBorder="1" applyAlignment="1">
      <alignment horizontal="center" vertical="center"/>
    </xf>
    <xf numFmtId="4" fontId="5" fillId="0" borderId="83" xfId="0" applyNumberFormat="1" applyFont="1" applyFill="1" applyBorder="1" applyAlignment="1">
      <alignment horizontal="right"/>
    </xf>
    <xf numFmtId="4" fontId="5" fillId="0" borderId="84" xfId="0" applyNumberFormat="1" applyFont="1" applyFill="1" applyBorder="1" applyAlignment="1">
      <alignment horizontal="right"/>
    </xf>
    <xf numFmtId="4" fontId="5" fillId="0" borderId="98" xfId="0" applyNumberFormat="1" applyFont="1" applyFill="1" applyBorder="1" applyAlignment="1">
      <alignment horizontal="right"/>
    </xf>
    <xf numFmtId="4" fontId="5" fillId="0" borderId="56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left"/>
    </xf>
    <xf numFmtId="4" fontId="4" fillId="0" borderId="12" xfId="0" applyNumberFormat="1" applyFont="1" applyFill="1" applyBorder="1" applyAlignment="1">
      <alignment horizontal="left"/>
    </xf>
    <xf numFmtId="4" fontId="4" fillId="0" borderId="57" xfId="0" applyNumberFormat="1" applyFont="1" applyFill="1" applyBorder="1" applyAlignment="1">
      <alignment horizontal="left"/>
    </xf>
    <xf numFmtId="4" fontId="4" fillId="0" borderId="89" xfId="0" applyNumberFormat="1" applyFont="1" applyFill="1" applyBorder="1" applyAlignment="1">
      <alignment horizontal="left"/>
    </xf>
    <xf numFmtId="4" fontId="4" fillId="0" borderId="84" xfId="0" applyNumberFormat="1" applyFont="1" applyFill="1" applyBorder="1" applyAlignment="1">
      <alignment horizontal="left"/>
    </xf>
    <xf numFmtId="4" fontId="4" fillId="0" borderId="105" xfId="0" applyNumberFormat="1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"/>
  <sheetViews>
    <sheetView showGridLines="0" tabSelected="1" zoomScale="90" zoomScaleNormal="90" zoomScalePageLayoutView="0" workbookViewId="0" topLeftCell="A13">
      <selection activeCell="H29" sqref="H29"/>
    </sheetView>
  </sheetViews>
  <sheetFormatPr defaultColWidth="9.00390625" defaultRowHeight="12.75"/>
  <cols>
    <col min="1" max="1" width="0.875" style="9" customWidth="1"/>
    <col min="2" max="2" width="5.375" style="9" customWidth="1"/>
    <col min="3" max="3" width="15.75390625" style="10" customWidth="1"/>
    <col min="4" max="4" width="4.25390625" style="10" customWidth="1"/>
    <col min="5" max="5" width="25.625" style="9" customWidth="1"/>
    <col min="6" max="6" width="13.75390625" style="9" customWidth="1"/>
    <col min="7" max="8" width="9.125" style="9" customWidth="1"/>
    <col min="9" max="9" width="25.625" style="9" customWidth="1"/>
    <col min="10" max="16384" width="9.125" style="9" customWidth="1"/>
  </cols>
  <sheetData>
    <row r="1" spans="3:9" s="2" customFormat="1" ht="7.5" customHeight="1">
      <c r="C1" s="3"/>
      <c r="D1" s="3"/>
      <c r="H1" s="3"/>
      <c r="I1" s="3"/>
    </row>
    <row r="2" spans="3:14" s="13" customFormat="1" ht="27" customHeight="1" thickBot="1">
      <c r="C2" s="216" t="s">
        <v>224</v>
      </c>
      <c r="D2" s="216"/>
      <c r="E2" s="216"/>
      <c r="F2" s="216"/>
      <c r="G2" s="216"/>
      <c r="H2" s="216"/>
      <c r="I2" s="216"/>
      <c r="J2" s="2"/>
      <c r="K2" s="2"/>
      <c r="L2" s="2"/>
      <c r="M2" s="2"/>
      <c r="N2" s="2"/>
    </row>
    <row r="3" spans="3:14" s="114" customFormat="1" ht="16.5" customHeight="1">
      <c r="C3" s="217" t="s">
        <v>204</v>
      </c>
      <c r="D3" s="218"/>
      <c r="E3" s="219"/>
      <c r="F3" s="219"/>
      <c r="G3" s="219"/>
      <c r="H3" s="219"/>
      <c r="I3" s="220"/>
      <c r="J3" s="2"/>
      <c r="K3" s="2"/>
      <c r="L3" s="2"/>
      <c r="M3" s="2"/>
      <c r="N3" s="2"/>
    </row>
    <row r="4" spans="3:14" s="114" customFormat="1" ht="16.5" customHeight="1">
      <c r="C4" s="221" t="s">
        <v>158</v>
      </c>
      <c r="D4" s="222"/>
      <c r="E4" s="223"/>
      <c r="F4" s="223"/>
      <c r="G4" s="223"/>
      <c r="H4" s="223"/>
      <c r="I4" s="224"/>
      <c r="J4" s="2"/>
      <c r="K4" s="2"/>
      <c r="L4" s="2"/>
      <c r="M4" s="2"/>
      <c r="N4" s="2"/>
    </row>
    <row r="5" spans="3:14" s="114" customFormat="1" ht="16.5" customHeight="1">
      <c r="C5" s="221" t="s">
        <v>203</v>
      </c>
      <c r="D5" s="222"/>
      <c r="E5" s="225"/>
      <c r="F5" s="225"/>
      <c r="G5" s="225"/>
      <c r="H5" s="225"/>
      <c r="I5" s="226"/>
      <c r="J5" s="2"/>
      <c r="K5" s="2"/>
      <c r="L5" s="2"/>
      <c r="M5" s="2"/>
      <c r="N5" s="2"/>
    </row>
    <row r="6" spans="3:14" s="114" customFormat="1" ht="16.5" customHeight="1">
      <c r="C6" s="221" t="s">
        <v>202</v>
      </c>
      <c r="D6" s="222"/>
      <c r="E6" s="225"/>
      <c r="F6" s="225"/>
      <c r="G6" s="225"/>
      <c r="H6" s="225"/>
      <c r="I6" s="226"/>
      <c r="J6" s="2"/>
      <c r="K6" s="2"/>
      <c r="L6" s="2"/>
      <c r="M6" s="2"/>
      <c r="N6" s="2"/>
    </row>
    <row r="7" spans="3:14" s="114" customFormat="1" ht="16.5" customHeight="1" thickBot="1">
      <c r="C7" s="221" t="s">
        <v>220</v>
      </c>
      <c r="D7" s="222"/>
      <c r="E7" s="227"/>
      <c r="F7" s="228"/>
      <c r="G7" s="228"/>
      <c r="H7" s="228"/>
      <c r="I7" s="229"/>
      <c r="J7" s="2"/>
      <c r="K7" s="2"/>
      <c r="L7" s="2"/>
      <c r="M7" s="2"/>
      <c r="N7" s="2"/>
    </row>
    <row r="8" spans="3:14" s="12" customFormat="1" ht="22.5" customHeight="1">
      <c r="C8" s="171" t="s">
        <v>225</v>
      </c>
      <c r="D8" s="167" t="s">
        <v>201</v>
      </c>
      <c r="E8" s="170"/>
      <c r="F8" s="169"/>
      <c r="G8" s="168"/>
      <c r="H8" s="167" t="s">
        <v>84</v>
      </c>
      <c r="I8" s="166" t="s">
        <v>83</v>
      </c>
      <c r="J8" s="2"/>
      <c r="K8" s="2"/>
      <c r="L8" s="2"/>
      <c r="M8" s="2"/>
      <c r="N8" s="2"/>
    </row>
    <row r="9" spans="3:14" s="16" customFormat="1" ht="22.5" customHeight="1">
      <c r="C9" s="151">
        <f>SUM(C10:C12)</f>
        <v>0</v>
      </c>
      <c r="D9" s="150">
        <v>1</v>
      </c>
      <c r="E9" s="230" t="s">
        <v>188</v>
      </c>
      <c r="F9" s="231"/>
      <c r="G9" s="232"/>
      <c r="H9" s="149">
        <f>IF($C$36=0,0,C9/$C$36*100)</f>
        <v>0</v>
      </c>
      <c r="I9" s="148" t="s">
        <v>199</v>
      </c>
      <c r="J9" s="2"/>
      <c r="K9" s="2"/>
      <c r="L9" s="2"/>
      <c r="M9" s="2"/>
      <c r="N9" s="2"/>
    </row>
    <row r="10" spans="3:14" s="16" customFormat="1" ht="22.5" customHeight="1">
      <c r="C10" s="165"/>
      <c r="D10" s="157">
        <v>2</v>
      </c>
      <c r="E10" s="233" t="s">
        <v>209</v>
      </c>
      <c r="F10" s="234"/>
      <c r="G10" s="235"/>
      <c r="H10" s="145">
        <f>IF($C$36=0,0,C10/$C$36*100)</f>
        <v>0</v>
      </c>
      <c r="I10" s="164" t="s">
        <v>199</v>
      </c>
      <c r="J10" s="2"/>
      <c r="K10" s="2"/>
      <c r="L10" s="2"/>
      <c r="M10" s="2"/>
      <c r="N10" s="2"/>
    </row>
    <row r="11" spans="3:14" s="16" customFormat="1" ht="22.5" customHeight="1">
      <c r="C11" s="163"/>
      <c r="D11" s="155">
        <v>3</v>
      </c>
      <c r="E11" s="236" t="s">
        <v>207</v>
      </c>
      <c r="F11" s="237"/>
      <c r="G11" s="238"/>
      <c r="H11" s="141">
        <f>IF($C$36=0,0,C11/$C$36*100)</f>
        <v>0</v>
      </c>
      <c r="I11" s="162" t="s">
        <v>199</v>
      </c>
      <c r="J11" s="2"/>
      <c r="K11" s="2"/>
      <c r="L11" s="2"/>
      <c r="M11" s="2"/>
      <c r="N11" s="2"/>
    </row>
    <row r="12" spans="3:14" s="16" customFormat="1" ht="22.5" customHeight="1">
      <c r="C12" s="187"/>
      <c r="D12" s="188">
        <v>4</v>
      </c>
      <c r="E12" s="239" t="s">
        <v>205</v>
      </c>
      <c r="F12" s="240"/>
      <c r="G12" s="241"/>
      <c r="H12" s="137">
        <f>IF($C$36=0,0,C12/$C$36*100)</f>
        <v>0</v>
      </c>
      <c r="I12" s="190" t="s">
        <v>199</v>
      </c>
      <c r="J12" s="2"/>
      <c r="K12" s="2"/>
      <c r="L12" s="2"/>
      <c r="M12" s="2"/>
      <c r="N12" s="2"/>
    </row>
    <row r="13" spans="3:14" s="115" customFormat="1" ht="22.5" customHeight="1">
      <c r="C13" s="161">
        <f>SUM(C14:C17)</f>
        <v>0</v>
      </c>
      <c r="D13" s="160">
        <v>5</v>
      </c>
      <c r="E13" s="230" t="s">
        <v>189</v>
      </c>
      <c r="F13" s="231"/>
      <c r="G13" s="232"/>
      <c r="H13" s="159">
        <f>IF($C$36=0,0,C13/$C$36*100)</f>
        <v>0</v>
      </c>
      <c r="I13" s="158" t="s">
        <v>199</v>
      </c>
      <c r="J13" s="2"/>
      <c r="K13" s="2"/>
      <c r="L13" s="2"/>
      <c r="M13" s="2"/>
      <c r="N13" s="2"/>
    </row>
    <row r="14" spans="3:14" s="16" customFormat="1" ht="22.5" customHeight="1">
      <c r="C14" s="183">
        <f>ROUND((C10+C11)*9%,0)</f>
        <v>0</v>
      </c>
      <c r="D14" s="157">
        <v>6</v>
      </c>
      <c r="E14" s="236" t="s">
        <v>70</v>
      </c>
      <c r="F14" s="237"/>
      <c r="G14" s="238"/>
      <c r="H14" s="156">
        <v>9</v>
      </c>
      <c r="I14" s="174" t="s">
        <v>213</v>
      </c>
      <c r="J14" s="2"/>
      <c r="K14" s="2"/>
      <c r="L14" s="2"/>
      <c r="M14" s="2"/>
      <c r="N14" s="2"/>
    </row>
    <row r="15" spans="3:14" s="16" customFormat="1" ht="22.5" customHeight="1">
      <c r="C15" s="184">
        <f>ROUND((C10+C11)*25%,0)</f>
        <v>0</v>
      </c>
      <c r="D15" s="155">
        <v>7</v>
      </c>
      <c r="E15" s="236" t="s">
        <v>71</v>
      </c>
      <c r="F15" s="237"/>
      <c r="G15" s="238"/>
      <c r="H15" s="154">
        <v>24.8</v>
      </c>
      <c r="I15" s="175" t="s">
        <v>213</v>
      </c>
      <c r="J15" s="2"/>
      <c r="K15" s="2"/>
      <c r="L15" s="2"/>
      <c r="M15" s="2"/>
      <c r="N15" s="2"/>
    </row>
    <row r="16" spans="3:14" s="16" customFormat="1" ht="22.5" customHeight="1">
      <c r="C16" s="185">
        <f>ROUND(C10*1%,0)</f>
        <v>0</v>
      </c>
      <c r="D16" s="153">
        <v>8</v>
      </c>
      <c r="E16" s="236" t="s">
        <v>200</v>
      </c>
      <c r="F16" s="237"/>
      <c r="G16" s="238"/>
      <c r="H16" s="152">
        <v>1</v>
      </c>
      <c r="I16" s="173" t="s">
        <v>206</v>
      </c>
      <c r="J16" s="2"/>
      <c r="K16" s="2"/>
      <c r="L16" s="2"/>
      <c r="M16" s="2"/>
      <c r="N16" s="2"/>
    </row>
    <row r="17" spans="3:14" s="16" customFormat="1" ht="22.5" customHeight="1" thickBot="1">
      <c r="C17" s="186">
        <f>(C10+C11)*0.42%</f>
        <v>0</v>
      </c>
      <c r="D17" s="142">
        <v>9</v>
      </c>
      <c r="E17" s="239" t="s">
        <v>186</v>
      </c>
      <c r="F17" s="240"/>
      <c r="G17" s="241"/>
      <c r="H17" s="172">
        <v>0.42</v>
      </c>
      <c r="I17" s="176" t="s">
        <v>213</v>
      </c>
      <c r="J17" s="2"/>
      <c r="K17" s="2"/>
      <c r="L17" s="2"/>
      <c r="M17" s="2"/>
      <c r="N17" s="2"/>
    </row>
    <row r="18" spans="2:14" s="16" customFormat="1" ht="22.5" customHeight="1">
      <c r="B18" s="242" t="s">
        <v>226</v>
      </c>
      <c r="C18" s="177"/>
      <c r="D18" s="150">
        <v>10</v>
      </c>
      <c r="E18" s="230" t="s">
        <v>187</v>
      </c>
      <c r="F18" s="231"/>
      <c r="G18" s="232"/>
      <c r="H18" s="149">
        <f>IF($C$36=0,0,C18/$C$36*100)</f>
        <v>0</v>
      </c>
      <c r="I18" s="148" t="s">
        <v>199</v>
      </c>
      <c r="J18" s="2"/>
      <c r="K18" s="2"/>
      <c r="L18" s="2"/>
      <c r="M18" s="2"/>
      <c r="N18" s="2"/>
    </row>
    <row r="19" spans="2:14" s="16" customFormat="1" ht="22.5" customHeight="1">
      <c r="B19" s="243"/>
      <c r="C19" s="161">
        <f>SUM(C20:C26)</f>
        <v>0</v>
      </c>
      <c r="D19" s="160">
        <v>11</v>
      </c>
      <c r="E19" s="230" t="s">
        <v>190</v>
      </c>
      <c r="F19" s="231"/>
      <c r="G19" s="232"/>
      <c r="H19" s="159">
        <f aca="true" t="shared" si="0" ref="H19:H24">IF($C$36=0,0,C19/$C$36*100)</f>
        <v>0</v>
      </c>
      <c r="I19" s="158" t="s">
        <v>199</v>
      </c>
      <c r="J19" s="2"/>
      <c r="K19" s="2"/>
      <c r="L19" s="2"/>
      <c r="M19" s="2"/>
      <c r="N19" s="2"/>
    </row>
    <row r="20" spans="2:14" s="5" customFormat="1" ht="22.5" customHeight="1">
      <c r="B20" s="243"/>
      <c r="C20" s="147"/>
      <c r="D20" s="146">
        <v>12</v>
      </c>
      <c r="E20" s="236" t="s">
        <v>34</v>
      </c>
      <c r="F20" s="237"/>
      <c r="G20" s="238"/>
      <c r="H20" s="145">
        <f t="shared" si="0"/>
        <v>0</v>
      </c>
      <c r="I20" s="144" t="s">
        <v>199</v>
      </c>
      <c r="J20" s="2"/>
      <c r="K20" s="2"/>
      <c r="L20" s="2"/>
      <c r="M20" s="2"/>
      <c r="N20" s="2"/>
    </row>
    <row r="21" spans="2:14" s="5" customFormat="1" ht="22.5" customHeight="1">
      <c r="B21" s="243"/>
      <c r="C21" s="143"/>
      <c r="D21" s="142">
        <v>13</v>
      </c>
      <c r="E21" s="236" t="s">
        <v>148</v>
      </c>
      <c r="F21" s="237"/>
      <c r="G21" s="238"/>
      <c r="H21" s="141">
        <f t="shared" si="0"/>
        <v>0</v>
      </c>
      <c r="I21" s="140" t="s">
        <v>199</v>
      </c>
      <c r="J21" s="2"/>
      <c r="K21" s="2"/>
      <c r="L21" s="2"/>
      <c r="M21" s="2"/>
      <c r="N21" s="2"/>
    </row>
    <row r="22" spans="2:14" s="5" customFormat="1" ht="22.5" customHeight="1">
      <c r="B22" s="243"/>
      <c r="C22" s="143"/>
      <c r="D22" s="142">
        <v>14</v>
      </c>
      <c r="E22" s="236" t="s">
        <v>40</v>
      </c>
      <c r="F22" s="237"/>
      <c r="G22" s="238"/>
      <c r="H22" s="141">
        <f t="shared" si="0"/>
        <v>0</v>
      </c>
      <c r="I22" s="140" t="s">
        <v>199</v>
      </c>
      <c r="J22" s="2"/>
      <c r="K22" s="2"/>
      <c r="L22" s="2"/>
      <c r="M22" s="2"/>
      <c r="N22" s="2"/>
    </row>
    <row r="23" spans="2:14" s="5" customFormat="1" ht="22.5" customHeight="1">
      <c r="B23" s="243"/>
      <c r="C23" s="143"/>
      <c r="D23" s="142">
        <v>15</v>
      </c>
      <c r="E23" s="245" t="s">
        <v>219</v>
      </c>
      <c r="F23" s="246"/>
      <c r="G23" s="247"/>
      <c r="H23" s="141">
        <f t="shared" si="0"/>
        <v>0</v>
      </c>
      <c r="I23" s="140" t="s">
        <v>199</v>
      </c>
      <c r="J23" s="2"/>
      <c r="K23" s="2"/>
      <c r="L23" s="2"/>
      <c r="M23" s="2"/>
      <c r="N23" s="2"/>
    </row>
    <row r="24" spans="2:14" s="5" customFormat="1" ht="22.5" customHeight="1">
      <c r="B24" s="243"/>
      <c r="C24" s="143"/>
      <c r="D24" s="142">
        <v>16</v>
      </c>
      <c r="E24" s="236" t="s">
        <v>208</v>
      </c>
      <c r="F24" s="237"/>
      <c r="G24" s="238"/>
      <c r="H24" s="141">
        <f t="shared" si="0"/>
        <v>0</v>
      </c>
      <c r="I24" s="140" t="s">
        <v>199</v>
      </c>
      <c r="J24" s="2"/>
      <c r="K24" s="2"/>
      <c r="L24" s="2"/>
      <c r="M24" s="2"/>
      <c r="N24" s="2"/>
    </row>
    <row r="25" spans="2:14" s="5" customFormat="1" ht="22.5" customHeight="1">
      <c r="B25" s="243"/>
      <c r="C25" s="143"/>
      <c r="D25" s="142">
        <v>17</v>
      </c>
      <c r="E25" s="236" t="s">
        <v>212</v>
      </c>
      <c r="F25" s="237"/>
      <c r="G25" s="238"/>
      <c r="H25" s="141">
        <f>IF($C$36=0,0,C25/$C$36*100)</f>
        <v>0</v>
      </c>
      <c r="I25" s="140" t="s">
        <v>199</v>
      </c>
      <c r="J25" s="2"/>
      <c r="K25" s="2"/>
      <c r="L25" s="2"/>
      <c r="M25" s="2"/>
      <c r="N25" s="2"/>
    </row>
    <row r="26" spans="2:14" s="5" customFormat="1" ht="22.5" customHeight="1" thickBot="1">
      <c r="B26" s="244"/>
      <c r="C26" s="139"/>
      <c r="D26" s="138">
        <v>18</v>
      </c>
      <c r="E26" s="239" t="s">
        <v>67</v>
      </c>
      <c r="F26" s="240"/>
      <c r="G26" s="241"/>
      <c r="H26" s="137">
        <f>IF($C$36=0,0,C26/$C$36*100)</f>
        <v>0</v>
      </c>
      <c r="I26" s="136" t="s">
        <v>199</v>
      </c>
      <c r="J26" s="2"/>
      <c r="K26" s="2"/>
      <c r="L26" s="2"/>
      <c r="M26" s="2"/>
      <c r="N26" s="2"/>
    </row>
    <row r="27" spans="3:14" s="16" customFormat="1" ht="22.5" customHeight="1">
      <c r="C27" s="135">
        <f>C9+C13+C18+C19</f>
        <v>0</v>
      </c>
      <c r="D27" s="134">
        <v>19</v>
      </c>
      <c r="E27" s="248" t="s">
        <v>216</v>
      </c>
      <c r="F27" s="249"/>
      <c r="G27" s="235"/>
      <c r="H27" s="133">
        <f>IF($C$36=0,0,C27/$C$36*100)</f>
        <v>0</v>
      </c>
      <c r="I27" s="132" t="s">
        <v>199</v>
      </c>
      <c r="J27" s="2"/>
      <c r="K27" s="2"/>
      <c r="L27" s="2"/>
      <c r="M27" s="2"/>
      <c r="N27" s="2"/>
    </row>
    <row r="28" spans="3:14" s="5" customFormat="1" ht="22.5" customHeight="1">
      <c r="C28" s="131">
        <f>C36*H28/100</f>
        <v>0</v>
      </c>
      <c r="D28" s="130">
        <v>20</v>
      </c>
      <c r="E28" s="250" t="s">
        <v>210</v>
      </c>
      <c r="F28" s="251"/>
      <c r="G28" s="252"/>
      <c r="H28" s="197">
        <v>18.42</v>
      </c>
      <c r="I28" s="128" t="s">
        <v>199</v>
      </c>
      <c r="J28" s="2"/>
      <c r="K28" s="2"/>
      <c r="L28" s="2"/>
      <c r="M28" s="2"/>
      <c r="N28" s="2"/>
    </row>
    <row r="29" spans="3:14" s="4" customFormat="1" ht="22.5" customHeight="1">
      <c r="C29" s="178">
        <f>C28+C27</f>
        <v>0</v>
      </c>
      <c r="D29" s="179">
        <v>21</v>
      </c>
      <c r="E29" s="253" t="s">
        <v>211</v>
      </c>
      <c r="F29" s="254"/>
      <c r="G29" s="241"/>
      <c r="H29" s="180">
        <f>IF($C$36=0,0,C29/$C$36*100)</f>
        <v>0</v>
      </c>
      <c r="I29" s="181" t="s">
        <v>199</v>
      </c>
      <c r="J29" s="2"/>
      <c r="K29" s="2"/>
      <c r="L29" s="2"/>
      <c r="M29" s="2"/>
      <c r="N29" s="2"/>
    </row>
    <row r="30" spans="3:14" s="4" customFormat="1" ht="22.5" customHeight="1">
      <c r="C30" s="210">
        <f>C36-C29+C25</f>
        <v>0</v>
      </c>
      <c r="D30" s="182">
        <v>22</v>
      </c>
      <c r="E30" s="255" t="s">
        <v>218</v>
      </c>
      <c r="F30" s="256"/>
      <c r="G30" s="257"/>
      <c r="H30" s="191">
        <f>IF($C$36=0,0,C30/$C$36*100)</f>
        <v>0</v>
      </c>
      <c r="I30" s="192" t="s">
        <v>199</v>
      </c>
      <c r="J30" s="2"/>
      <c r="K30" s="2"/>
      <c r="L30" s="2"/>
      <c r="M30" s="2"/>
      <c r="N30" s="2"/>
    </row>
    <row r="31" spans="3:14" s="4" customFormat="1" ht="22.5" customHeight="1">
      <c r="C31" s="215">
        <f>C30*19%</f>
        <v>0</v>
      </c>
      <c r="D31" s="214">
        <v>23</v>
      </c>
      <c r="E31" s="255" t="s">
        <v>215</v>
      </c>
      <c r="F31" s="256"/>
      <c r="G31" s="257"/>
      <c r="H31" s="213">
        <f>IF($C$36=0,0,C31/$C$36*100)</f>
        <v>0</v>
      </c>
      <c r="I31" s="193" t="s">
        <v>199</v>
      </c>
      <c r="J31" s="2"/>
      <c r="K31" s="2"/>
      <c r="L31" s="2"/>
      <c r="M31" s="2"/>
      <c r="N31" s="2"/>
    </row>
    <row r="32" spans="3:14" s="4" customFormat="1" ht="22.5" customHeight="1">
      <c r="C32" s="196">
        <f>ROUND(C30-C31,2)</f>
        <v>0</v>
      </c>
      <c r="D32" s="179">
        <v>24</v>
      </c>
      <c r="E32" s="258" t="s">
        <v>214</v>
      </c>
      <c r="F32" s="259"/>
      <c r="G32" s="260"/>
      <c r="H32" s="194">
        <f>IF($C$36=0,0,C32/$C$36*100)</f>
        <v>0</v>
      </c>
      <c r="I32" s="195" t="s">
        <v>199</v>
      </c>
      <c r="J32" s="2"/>
      <c r="K32" s="2"/>
      <c r="L32" s="2"/>
      <c r="M32" s="2"/>
      <c r="N32" s="2"/>
    </row>
    <row r="33" spans="2:15" s="16" customFormat="1" ht="22.5" customHeight="1">
      <c r="B33" s="4"/>
      <c r="C33" s="212">
        <f>C34*19%</f>
        <v>0</v>
      </c>
      <c r="D33" s="209">
        <v>25</v>
      </c>
      <c r="E33" s="261" t="s">
        <v>217</v>
      </c>
      <c r="F33" s="262"/>
      <c r="G33" s="263"/>
      <c r="H33" s="211">
        <f>IF(C36=0,0,C33/C36*100)</f>
        <v>0</v>
      </c>
      <c r="I33" s="129" t="s">
        <v>199</v>
      </c>
      <c r="J33" s="2"/>
      <c r="K33" s="2"/>
      <c r="L33" s="2"/>
      <c r="M33" s="2"/>
      <c r="N33" s="2"/>
      <c r="O33" s="4"/>
    </row>
    <row r="34" spans="3:14" s="4" customFormat="1" ht="22.5" customHeight="1">
      <c r="C34" s="205">
        <f>ROUND(5%*C36,2)</f>
        <v>0</v>
      </c>
      <c r="D34" s="208">
        <v>26</v>
      </c>
      <c r="E34" s="264" t="s">
        <v>223</v>
      </c>
      <c r="F34" s="265"/>
      <c r="G34" s="266"/>
      <c r="H34" s="206">
        <v>5</v>
      </c>
      <c r="I34" s="207" t="s">
        <v>199</v>
      </c>
      <c r="J34" s="2"/>
      <c r="K34" s="2"/>
      <c r="L34" s="2"/>
      <c r="M34" s="2"/>
      <c r="N34" s="2"/>
    </row>
    <row r="35" spans="3:15" s="16" customFormat="1" ht="22.5" customHeight="1">
      <c r="C35" s="198" t="s">
        <v>221</v>
      </c>
      <c r="D35" s="199"/>
      <c r="E35" s="200"/>
      <c r="F35" s="201"/>
      <c r="G35" s="202"/>
      <c r="H35" s="203" t="s">
        <v>198</v>
      </c>
      <c r="I35" s="204" t="s">
        <v>222</v>
      </c>
      <c r="J35" s="2"/>
      <c r="K35" s="2"/>
      <c r="L35" s="2"/>
      <c r="M35" s="2"/>
      <c r="N35" s="2"/>
      <c r="O35" s="4"/>
    </row>
    <row r="36" spans="3:14" s="4" customFormat="1" ht="22.5" customHeight="1" thickBot="1">
      <c r="C36" s="127"/>
      <c r="D36" s="126"/>
      <c r="E36" s="267" t="s">
        <v>197</v>
      </c>
      <c r="F36" s="268"/>
      <c r="G36" s="269"/>
      <c r="H36" s="189">
        <v>21</v>
      </c>
      <c r="I36" s="125">
        <f>C36*(1+H36/100)</f>
        <v>0</v>
      </c>
      <c r="J36" s="2"/>
      <c r="K36" s="2"/>
      <c r="L36" s="2"/>
      <c r="M36" s="2"/>
      <c r="N36" s="2"/>
    </row>
    <row r="37" spans="3:14" s="4" customFormat="1" ht="15.75" customHeight="1">
      <c r="C37" s="124" t="s">
        <v>196</v>
      </c>
      <c r="D37" s="270">
        <f>ROUND(C27*100/(100-H28-H34-0.95)+0.3,0)</f>
        <v>0</v>
      </c>
      <c r="E37" s="270"/>
      <c r="F37" s="271" t="str">
        <f>CONCATENATE("Maximální možná změna nákladů ",ROUND((C32-C34)*100/81,0)-C25,",- Kč")</f>
        <v>Maximální možná změna nákladů 0,- Kč</v>
      </c>
      <c r="G37" s="272"/>
      <c r="H37" s="272"/>
      <c r="I37" s="272"/>
      <c r="J37" s="2"/>
      <c r="K37" s="2"/>
      <c r="L37" s="2"/>
      <c r="M37" s="2"/>
      <c r="N37" s="2"/>
    </row>
    <row r="38" spans="3:15" s="16" customFormat="1" ht="12.75" customHeight="1">
      <c r="C38" s="273" t="str">
        <f>IF(C32-C34&gt;-0.5,"PLÁNOVANÝ ZISK JE DODRŽEN","Zvýšit cenu nebo snížit náklady !")</f>
        <v>PLÁNOVANÝ ZISK JE DODRŽEN</v>
      </c>
      <c r="D38" s="274"/>
      <c r="E38" s="274"/>
      <c r="F38" s="274"/>
      <c r="G38" s="274"/>
      <c r="H38" s="274"/>
      <c r="I38" s="275"/>
      <c r="J38" s="2"/>
      <c r="K38" s="2"/>
      <c r="L38" s="2"/>
      <c r="M38" s="2"/>
      <c r="N38" s="2"/>
      <c r="O38" s="4"/>
    </row>
    <row r="39" spans="3:15" ht="3.75" customHeight="1">
      <c r="C39" s="123"/>
      <c r="D39" s="123"/>
      <c r="E39" s="122"/>
      <c r="F39" s="122"/>
      <c r="G39" s="122"/>
      <c r="H39" s="122"/>
      <c r="I39" s="122"/>
      <c r="J39" s="2"/>
      <c r="K39" s="2"/>
      <c r="L39" s="2"/>
      <c r="M39" s="2"/>
      <c r="N39" s="2"/>
      <c r="O39" s="4"/>
    </row>
    <row r="40" spans="3:15" ht="12.75" customHeight="1">
      <c r="C40" s="276" t="s">
        <v>227</v>
      </c>
      <c r="D40" s="276"/>
      <c r="E40" s="276"/>
      <c r="F40" s="276"/>
      <c r="G40" s="276"/>
      <c r="H40" s="276"/>
      <c r="I40" s="276"/>
      <c r="J40" s="2"/>
      <c r="K40" s="2"/>
      <c r="L40" s="2"/>
      <c r="M40" s="2"/>
      <c r="N40" s="2"/>
      <c r="O40" s="4"/>
    </row>
    <row r="41" spans="3:15" ht="12.75">
      <c r="C41" s="276"/>
      <c r="D41" s="276"/>
      <c r="E41" s="276"/>
      <c r="F41" s="276"/>
      <c r="G41" s="276"/>
      <c r="H41" s="276"/>
      <c r="I41" s="276"/>
      <c r="J41" s="2"/>
      <c r="K41" s="2"/>
      <c r="L41" s="2"/>
      <c r="M41" s="2"/>
      <c r="N41" s="2"/>
      <c r="O41" s="4"/>
    </row>
    <row r="42" spans="3:14" ht="18.75" customHeight="1" thickBot="1">
      <c r="C42" s="121"/>
      <c r="D42" s="121"/>
      <c r="E42" s="121"/>
      <c r="F42" s="121"/>
      <c r="G42" s="121"/>
      <c r="H42" s="121"/>
      <c r="I42" s="121"/>
      <c r="J42" s="2"/>
      <c r="K42" s="2"/>
      <c r="L42" s="2"/>
      <c r="M42" s="2"/>
      <c r="N42" s="2"/>
    </row>
    <row r="43" spans="3:14" ht="12.75">
      <c r="C43" s="277" t="s">
        <v>195</v>
      </c>
      <c r="D43" s="278"/>
      <c r="E43" s="281" t="s">
        <v>193</v>
      </c>
      <c r="F43" s="282"/>
      <c r="G43" s="283" t="s">
        <v>192</v>
      </c>
      <c r="H43" s="284"/>
      <c r="I43" s="120" t="s">
        <v>191</v>
      </c>
      <c r="J43" s="2"/>
      <c r="K43" s="2"/>
      <c r="L43" s="2"/>
      <c r="M43" s="2"/>
      <c r="N43" s="2"/>
    </row>
    <row r="44" spans="3:14" ht="20.25" customHeight="1">
      <c r="C44" s="279"/>
      <c r="D44" s="280"/>
      <c r="E44" s="285"/>
      <c r="F44" s="286"/>
      <c r="G44" s="287"/>
      <c r="H44" s="288"/>
      <c r="I44" s="118"/>
      <c r="J44" s="2"/>
      <c r="K44" s="2"/>
      <c r="L44" s="2"/>
      <c r="M44" s="2"/>
      <c r="N44" s="2"/>
    </row>
    <row r="45" spans="3:14" ht="12.75">
      <c r="C45" s="289" t="s">
        <v>194</v>
      </c>
      <c r="D45" s="290"/>
      <c r="E45" s="291" t="s">
        <v>193</v>
      </c>
      <c r="F45" s="292"/>
      <c r="G45" s="293" t="s">
        <v>192</v>
      </c>
      <c r="H45" s="294"/>
      <c r="I45" s="119" t="s">
        <v>191</v>
      </c>
      <c r="J45" s="2"/>
      <c r="K45" s="2"/>
      <c r="L45" s="2"/>
      <c r="M45" s="2"/>
      <c r="N45" s="2"/>
    </row>
    <row r="46" spans="3:14" ht="20.25" customHeight="1">
      <c r="C46" s="279"/>
      <c r="D46" s="280"/>
      <c r="E46" s="285"/>
      <c r="F46" s="286"/>
      <c r="G46" s="287"/>
      <c r="H46" s="288"/>
      <c r="I46" s="118"/>
      <c r="J46" s="2"/>
      <c r="K46" s="2"/>
      <c r="L46" s="2"/>
      <c r="M46" s="2"/>
      <c r="N46" s="2"/>
    </row>
    <row r="47" spans="3:14" ht="12.75">
      <c r="C47" s="289" t="s">
        <v>228</v>
      </c>
      <c r="D47" s="290"/>
      <c r="E47" s="291" t="s">
        <v>193</v>
      </c>
      <c r="F47" s="292"/>
      <c r="G47" s="293" t="s">
        <v>192</v>
      </c>
      <c r="H47" s="294"/>
      <c r="I47" s="117" t="s">
        <v>191</v>
      </c>
      <c r="J47" s="2"/>
      <c r="K47" s="2"/>
      <c r="L47" s="2"/>
      <c r="M47" s="2"/>
      <c r="N47" s="2"/>
    </row>
    <row r="48" spans="3:14" ht="20.25" customHeight="1" thickBot="1">
      <c r="C48" s="295"/>
      <c r="D48" s="296"/>
      <c r="E48" s="297"/>
      <c r="F48" s="298"/>
      <c r="G48" s="299"/>
      <c r="H48" s="300"/>
      <c r="I48" s="116"/>
      <c r="J48" s="2"/>
      <c r="K48" s="2"/>
      <c r="L48" s="2"/>
      <c r="M48" s="2"/>
      <c r="N48" s="2"/>
    </row>
    <row r="49" ht="12.75">
      <c r="J49" s="4"/>
    </row>
    <row r="50" ht="12.75">
      <c r="J50" s="4"/>
    </row>
    <row r="51" ht="12.75">
      <c r="J51" s="4"/>
    </row>
    <row r="52" ht="12.75">
      <c r="J52" s="4"/>
    </row>
  </sheetData>
  <sheetProtection selectLockedCells="1"/>
  <mergeCells count="58">
    <mergeCell ref="C45:D46"/>
    <mergeCell ref="E45:F45"/>
    <mergeCell ref="G45:H45"/>
    <mergeCell ref="E46:F46"/>
    <mergeCell ref="G46:H46"/>
    <mergeCell ref="C47:D48"/>
    <mergeCell ref="E47:F47"/>
    <mergeCell ref="G47:H47"/>
    <mergeCell ref="E48:F48"/>
    <mergeCell ref="G48:H48"/>
    <mergeCell ref="C38:I38"/>
    <mergeCell ref="C40:I41"/>
    <mergeCell ref="C43:D44"/>
    <mergeCell ref="E43:F43"/>
    <mergeCell ref="G43:H43"/>
    <mergeCell ref="E44:F44"/>
    <mergeCell ref="G44:H44"/>
    <mergeCell ref="E32:G32"/>
    <mergeCell ref="E33:G33"/>
    <mergeCell ref="E34:G34"/>
    <mergeCell ref="E36:G36"/>
    <mergeCell ref="D37:E37"/>
    <mergeCell ref="F37:I37"/>
    <mergeCell ref="E26:G26"/>
    <mergeCell ref="E27:G27"/>
    <mergeCell ref="E28:G28"/>
    <mergeCell ref="E29:G29"/>
    <mergeCell ref="E30:G30"/>
    <mergeCell ref="E31:G31"/>
    <mergeCell ref="E17:G17"/>
    <mergeCell ref="B18:B26"/>
    <mergeCell ref="E18:G18"/>
    <mergeCell ref="E19:G19"/>
    <mergeCell ref="E20:G20"/>
    <mergeCell ref="E21:G21"/>
    <mergeCell ref="E22:G22"/>
    <mergeCell ref="E23:G23"/>
    <mergeCell ref="E24:G24"/>
    <mergeCell ref="E25:G25"/>
    <mergeCell ref="E11:G11"/>
    <mergeCell ref="E12:G12"/>
    <mergeCell ref="E13:G13"/>
    <mergeCell ref="E14:G14"/>
    <mergeCell ref="E15:G15"/>
    <mergeCell ref="E16:G16"/>
    <mergeCell ref="C6:D6"/>
    <mergeCell ref="E6:I6"/>
    <mergeCell ref="C7:D7"/>
    <mergeCell ref="E7:I7"/>
    <mergeCell ref="E9:G9"/>
    <mergeCell ref="E10:G10"/>
    <mergeCell ref="C2:I2"/>
    <mergeCell ref="C3:D3"/>
    <mergeCell ref="E3:I3"/>
    <mergeCell ref="C4:D4"/>
    <mergeCell ref="E4:I4"/>
    <mergeCell ref="C5:D5"/>
    <mergeCell ref="E5:I5"/>
  </mergeCells>
  <printOptions horizontalCentered="1" verticalCentered="1"/>
  <pageMargins left="0.5511811023622047" right="0.4330708661417323" top="0.1968503937007874" bottom="0.1968503937007874" header="0.2755905511811024" footer="0.196850393700787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373"/>
  <sheetViews>
    <sheetView zoomScale="75" zoomScaleNormal="75" zoomScalePageLayoutView="0" workbookViewId="0" topLeftCell="A1">
      <selection activeCell="H9" sqref="H9"/>
    </sheetView>
  </sheetViews>
  <sheetFormatPr defaultColWidth="9.00390625" defaultRowHeight="12.75"/>
  <cols>
    <col min="1" max="1" width="1.12109375" style="9" customWidth="1"/>
    <col min="2" max="2" width="12.375" style="9" customWidth="1"/>
    <col min="3" max="3" width="10.25390625" style="9" customWidth="1"/>
    <col min="4" max="4" width="6.25390625" style="9" customWidth="1"/>
    <col min="5" max="5" width="11.875" style="10" customWidth="1"/>
    <col min="6" max="6" width="5.125" style="11" customWidth="1"/>
    <col min="7" max="7" width="36.375" style="9" customWidth="1"/>
    <col min="8" max="8" width="10.00390625" style="9" customWidth="1"/>
    <col min="9" max="9" width="9.375" style="9" customWidth="1"/>
    <col min="10" max="11" width="8.375" style="9" customWidth="1"/>
    <col min="12" max="12" width="9.375" style="9" customWidth="1"/>
    <col min="13" max="13" width="8.375" style="9" customWidth="1"/>
    <col min="14" max="14" width="9.375" style="9" customWidth="1"/>
    <col min="15" max="15" width="8.375" style="9" customWidth="1"/>
    <col min="16" max="16" width="9.375" style="9" customWidth="1"/>
    <col min="17" max="16384" width="9.125" style="9" customWidth="1"/>
  </cols>
  <sheetData>
    <row r="1" spans="5:14" s="2" customFormat="1" ht="5.25" customHeight="1" thickBot="1">
      <c r="E1" s="3"/>
      <c r="F1" s="7"/>
      <c r="H1" s="3"/>
      <c r="I1" s="3"/>
      <c r="J1" s="3"/>
      <c r="K1" s="3"/>
      <c r="L1" s="3"/>
      <c r="M1" s="3"/>
      <c r="N1" s="3"/>
    </row>
    <row r="2" spans="2:17" s="13" customFormat="1" ht="27" customHeight="1" thickBot="1">
      <c r="B2" s="343" t="s">
        <v>85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5"/>
      <c r="Q2" s="14"/>
    </row>
    <row r="3" spans="2:16" s="1" customFormat="1" ht="15">
      <c r="B3" s="346" t="s">
        <v>65</v>
      </c>
      <c r="C3" s="347"/>
      <c r="D3" s="347"/>
      <c r="E3" s="347"/>
      <c r="F3" s="347"/>
      <c r="G3" s="348"/>
      <c r="H3" s="355" t="s">
        <v>157</v>
      </c>
      <c r="I3" s="356"/>
      <c r="J3" s="356"/>
      <c r="K3" s="356"/>
      <c r="L3" s="356"/>
      <c r="M3" s="356"/>
      <c r="N3" s="356"/>
      <c r="O3" s="356"/>
      <c r="P3" s="357"/>
    </row>
    <row r="4" spans="2:16" s="1" customFormat="1" ht="15">
      <c r="B4" s="349" t="s">
        <v>158</v>
      </c>
      <c r="C4" s="350"/>
      <c r="D4" s="350"/>
      <c r="E4" s="350"/>
      <c r="F4" s="350"/>
      <c r="G4" s="351"/>
      <c r="H4" s="352" t="s">
        <v>159</v>
      </c>
      <c r="I4" s="353"/>
      <c r="J4" s="353"/>
      <c r="K4" s="353"/>
      <c r="L4" s="353"/>
      <c r="M4" s="353"/>
      <c r="N4" s="353"/>
      <c r="O4" s="353"/>
      <c r="P4" s="354"/>
    </row>
    <row r="5" spans="2:16" s="1" customFormat="1" ht="15.75" thickBot="1">
      <c r="B5" s="334" t="s">
        <v>66</v>
      </c>
      <c r="C5" s="335"/>
      <c r="D5" s="335"/>
      <c r="E5" s="335"/>
      <c r="F5" s="335"/>
      <c r="G5" s="336"/>
      <c r="H5" s="337" t="s">
        <v>156</v>
      </c>
      <c r="I5" s="338"/>
      <c r="J5" s="338"/>
      <c r="K5" s="338"/>
      <c r="L5" s="338"/>
      <c r="M5" s="338"/>
      <c r="N5" s="338"/>
      <c r="O5" s="338"/>
      <c r="P5" s="339"/>
    </row>
    <row r="6" spans="2:16" s="12" customFormat="1" ht="27" customHeight="1">
      <c r="B6" s="40" t="s">
        <v>64</v>
      </c>
      <c r="C6" s="41" t="s">
        <v>12</v>
      </c>
      <c r="D6" s="40" t="s">
        <v>11</v>
      </c>
      <c r="E6" s="40" t="s">
        <v>53</v>
      </c>
      <c r="F6" s="42"/>
      <c r="G6" s="41"/>
      <c r="H6" s="40" t="s">
        <v>84</v>
      </c>
      <c r="I6" s="340" t="s">
        <v>83</v>
      </c>
      <c r="J6" s="341"/>
      <c r="K6" s="341"/>
      <c r="L6" s="341"/>
      <c r="M6" s="341"/>
      <c r="N6" s="341"/>
      <c r="O6" s="341"/>
      <c r="P6" s="342"/>
    </row>
    <row r="7" spans="2:16" s="16" customFormat="1" ht="12.75" customHeight="1">
      <c r="B7" s="43">
        <f aca="true" t="shared" si="0" ref="B7:B12">C7+E7</f>
        <v>51646</v>
      </c>
      <c r="C7" s="43">
        <f>C58</f>
        <v>8246</v>
      </c>
      <c r="D7" s="44"/>
      <c r="E7" s="43">
        <f>E58</f>
        <v>43400</v>
      </c>
      <c r="F7" s="45">
        <v>1</v>
      </c>
      <c r="G7" s="46" t="s">
        <v>23</v>
      </c>
      <c r="H7" s="47">
        <f>E7/$E$44*100</f>
        <v>4.005553984486207</v>
      </c>
      <c r="I7" s="301" t="s">
        <v>80</v>
      </c>
      <c r="J7" s="302"/>
      <c r="K7" s="302"/>
      <c r="L7" s="302"/>
      <c r="M7" s="302"/>
      <c r="N7" s="302"/>
      <c r="O7" s="302"/>
      <c r="P7" s="303"/>
    </row>
    <row r="8" spans="2:16" s="16" customFormat="1" ht="12.75" customHeight="1">
      <c r="B8" s="48">
        <f t="shared" si="0"/>
        <v>324750</v>
      </c>
      <c r="C8" s="48">
        <f>SUM(C9:C10)</f>
        <v>0</v>
      </c>
      <c r="D8" s="49"/>
      <c r="E8" s="48">
        <f>SUM(E9:E10)</f>
        <v>324750</v>
      </c>
      <c r="F8" s="50">
        <v>2</v>
      </c>
      <c r="G8" s="51" t="s">
        <v>22</v>
      </c>
      <c r="H8" s="47">
        <f>E8/$E$44*100</f>
        <v>29.972434480688843</v>
      </c>
      <c r="I8" s="301" t="s">
        <v>80</v>
      </c>
      <c r="J8" s="302"/>
      <c r="K8" s="302"/>
      <c r="L8" s="302"/>
      <c r="M8" s="302"/>
      <c r="N8" s="302"/>
      <c r="O8" s="302"/>
      <c r="P8" s="303"/>
    </row>
    <row r="9" spans="2:16" s="18" customFormat="1" ht="12.75" customHeight="1">
      <c r="B9" s="52">
        <f t="shared" si="0"/>
        <v>221750</v>
      </c>
      <c r="C9" s="52"/>
      <c r="D9" s="53"/>
      <c r="E9" s="52">
        <f>E64</f>
        <v>221750</v>
      </c>
      <c r="F9" s="54">
        <v>21</v>
      </c>
      <c r="G9" s="55" t="s">
        <v>68</v>
      </c>
      <c r="H9" s="44">
        <f>E9/$E44*100</f>
        <v>20.466165807829874</v>
      </c>
      <c r="I9" s="313" t="s">
        <v>80</v>
      </c>
      <c r="J9" s="314"/>
      <c r="K9" s="314"/>
      <c r="L9" s="314"/>
      <c r="M9" s="314"/>
      <c r="N9" s="314"/>
      <c r="O9" s="314"/>
      <c r="P9" s="315"/>
    </row>
    <row r="10" spans="2:16" s="18" customFormat="1" ht="12.75" customHeight="1">
      <c r="B10" s="52">
        <f t="shared" si="0"/>
        <v>103000</v>
      </c>
      <c r="C10" s="52"/>
      <c r="D10" s="53"/>
      <c r="E10" s="52">
        <f>E72</f>
        <v>103000</v>
      </c>
      <c r="F10" s="54">
        <v>22</v>
      </c>
      <c r="G10" s="55" t="s">
        <v>28</v>
      </c>
      <c r="H10" s="44">
        <f>E10/$E44*100</f>
        <v>9.50626867285897</v>
      </c>
      <c r="I10" s="313" t="s">
        <v>80</v>
      </c>
      <c r="J10" s="314"/>
      <c r="K10" s="314"/>
      <c r="L10" s="314"/>
      <c r="M10" s="314"/>
      <c r="N10" s="314"/>
      <c r="O10" s="314"/>
      <c r="P10" s="315"/>
    </row>
    <row r="11" spans="2:16" s="18" customFormat="1" ht="12.75" customHeight="1">
      <c r="B11" s="56">
        <f t="shared" si="0"/>
        <v>39915</v>
      </c>
      <c r="C11" s="56"/>
      <c r="D11" s="57"/>
      <c r="E11" s="56">
        <f>H11/100*E9</f>
        <v>39915</v>
      </c>
      <c r="F11" s="58">
        <v>23</v>
      </c>
      <c r="G11" s="59" t="s">
        <v>108</v>
      </c>
      <c r="H11" s="60">
        <v>18</v>
      </c>
      <c r="I11" s="313" t="s">
        <v>106</v>
      </c>
      <c r="J11" s="314"/>
      <c r="K11" s="314"/>
      <c r="L11" s="314"/>
      <c r="M11" s="314"/>
      <c r="N11" s="314"/>
      <c r="O11" s="314"/>
      <c r="P11" s="315"/>
    </row>
    <row r="12" spans="2:16" s="19" customFormat="1" ht="12.75" customHeight="1">
      <c r="B12" s="61">
        <f t="shared" si="0"/>
        <v>92891.075</v>
      </c>
      <c r="C12" s="61">
        <f>SUM(C13:C16)</f>
        <v>0</v>
      </c>
      <c r="D12" s="62"/>
      <c r="E12" s="61">
        <f>SUM(E14:E16)</f>
        <v>92891.075</v>
      </c>
      <c r="F12" s="63">
        <v>3</v>
      </c>
      <c r="G12" s="64" t="s">
        <v>69</v>
      </c>
      <c r="H12" s="47">
        <f>E12/$E$44*100</f>
        <v>8.573276856899934</v>
      </c>
      <c r="I12" s="301" t="s">
        <v>80</v>
      </c>
      <c r="J12" s="302"/>
      <c r="K12" s="302"/>
      <c r="L12" s="302"/>
      <c r="M12" s="302"/>
      <c r="N12" s="302"/>
      <c r="O12" s="302"/>
      <c r="P12" s="303"/>
    </row>
    <row r="13" spans="2:16" s="19" customFormat="1" ht="12.75" customHeight="1">
      <c r="B13" s="61"/>
      <c r="C13" s="61"/>
      <c r="D13" s="62"/>
      <c r="E13" s="61"/>
      <c r="F13" s="63"/>
      <c r="G13" s="64"/>
      <c r="H13" s="62">
        <f>SUM(H14:H16)</f>
        <v>35.5</v>
      </c>
      <c r="I13" s="304" t="s">
        <v>106</v>
      </c>
      <c r="J13" s="305"/>
      <c r="K13" s="305"/>
      <c r="L13" s="305"/>
      <c r="M13" s="305"/>
      <c r="N13" s="305"/>
      <c r="O13" s="305"/>
      <c r="P13" s="306"/>
    </row>
    <row r="14" spans="2:16" s="18" customFormat="1" ht="12.75" customHeight="1">
      <c r="B14" s="52">
        <f aca="true" t="shared" si="1" ref="B14:B20">C14+E14</f>
        <v>23549.85</v>
      </c>
      <c r="C14" s="52"/>
      <c r="D14" s="65"/>
      <c r="E14" s="52">
        <f>(E$9+E11)*H14/100</f>
        <v>23549.85</v>
      </c>
      <c r="F14" s="54">
        <v>31</v>
      </c>
      <c r="G14" s="55" t="s">
        <v>70</v>
      </c>
      <c r="H14" s="65">
        <v>9</v>
      </c>
      <c r="I14" s="304" t="s">
        <v>81</v>
      </c>
      <c r="J14" s="305"/>
      <c r="K14" s="305"/>
      <c r="L14" s="305"/>
      <c r="M14" s="305"/>
      <c r="N14" s="305"/>
      <c r="O14" s="305"/>
      <c r="P14" s="306"/>
    </row>
    <row r="15" spans="2:16" s="18" customFormat="1" ht="12.75" customHeight="1">
      <c r="B15" s="52">
        <f t="shared" si="1"/>
        <v>68032.9</v>
      </c>
      <c r="C15" s="52"/>
      <c r="D15" s="65"/>
      <c r="E15" s="52">
        <f>(E$9+E11)*H15/100</f>
        <v>68032.9</v>
      </c>
      <c r="F15" s="54">
        <v>32</v>
      </c>
      <c r="G15" s="55" t="s">
        <v>71</v>
      </c>
      <c r="H15" s="65">
        <v>26</v>
      </c>
      <c r="I15" s="304" t="s">
        <v>81</v>
      </c>
      <c r="J15" s="305"/>
      <c r="K15" s="305"/>
      <c r="L15" s="305"/>
      <c r="M15" s="305"/>
      <c r="N15" s="305"/>
      <c r="O15" s="305"/>
      <c r="P15" s="306"/>
    </row>
    <row r="16" spans="2:16" s="18" customFormat="1" ht="12.75" customHeight="1">
      <c r="B16" s="52">
        <f t="shared" si="1"/>
        <v>1308.325</v>
      </c>
      <c r="C16" s="52"/>
      <c r="D16" s="65"/>
      <c r="E16" s="52">
        <f>(E$9+E11)*H16/100</f>
        <v>1308.325</v>
      </c>
      <c r="F16" s="54">
        <v>33</v>
      </c>
      <c r="G16" s="55" t="s">
        <v>107</v>
      </c>
      <c r="H16" s="65">
        <v>0.5</v>
      </c>
      <c r="I16" s="304" t="s">
        <v>81</v>
      </c>
      <c r="J16" s="305"/>
      <c r="K16" s="305"/>
      <c r="L16" s="305"/>
      <c r="M16" s="305"/>
      <c r="N16" s="305"/>
      <c r="O16" s="305"/>
      <c r="P16" s="306"/>
    </row>
    <row r="17" spans="2:16" s="16" customFormat="1" ht="12.75">
      <c r="B17" s="56">
        <f t="shared" si="1"/>
        <v>398471</v>
      </c>
      <c r="C17" s="56">
        <f>SUM(C18:C24)</f>
        <v>55921</v>
      </c>
      <c r="D17" s="66"/>
      <c r="E17" s="56">
        <f>SUM(E18:E24)</f>
        <v>342550</v>
      </c>
      <c r="F17" s="58">
        <v>4</v>
      </c>
      <c r="G17" s="59" t="s">
        <v>32</v>
      </c>
      <c r="H17" s="47">
        <f>E17/$E$44*100</f>
        <v>31.61526537755185</v>
      </c>
      <c r="I17" s="301" t="s">
        <v>80</v>
      </c>
      <c r="J17" s="302"/>
      <c r="K17" s="302"/>
      <c r="L17" s="302"/>
      <c r="M17" s="302"/>
      <c r="N17" s="302"/>
      <c r="O17" s="302"/>
      <c r="P17" s="303"/>
    </row>
    <row r="18" spans="2:16" s="17" customFormat="1" ht="12.75">
      <c r="B18" s="67">
        <f t="shared" si="1"/>
        <v>29000</v>
      </c>
      <c r="C18" s="67"/>
      <c r="D18" s="53"/>
      <c r="E18" s="67">
        <f>E78</f>
        <v>29000</v>
      </c>
      <c r="F18" s="68" t="s">
        <v>33</v>
      </c>
      <c r="G18" s="69" t="s">
        <v>34</v>
      </c>
      <c r="H18" s="60">
        <f aca="true" t="shared" si="2" ref="H18:H24">E18/$B$44*100</f>
        <v>2.5268751236502887</v>
      </c>
      <c r="I18" s="310"/>
      <c r="J18" s="311"/>
      <c r="K18" s="311"/>
      <c r="L18" s="311"/>
      <c r="M18" s="311"/>
      <c r="N18" s="311"/>
      <c r="O18" s="311"/>
      <c r="P18" s="312"/>
    </row>
    <row r="19" spans="2:16" s="17" customFormat="1" ht="12.75">
      <c r="B19" s="67">
        <f t="shared" si="1"/>
        <v>61950</v>
      </c>
      <c r="C19" s="67">
        <f>C81</f>
        <v>6950</v>
      </c>
      <c r="D19" s="53" t="s">
        <v>82</v>
      </c>
      <c r="E19" s="67">
        <f>E81</f>
        <v>55000</v>
      </c>
      <c r="F19" s="68" t="s">
        <v>41</v>
      </c>
      <c r="G19" s="69" t="s">
        <v>57</v>
      </c>
      <c r="H19" s="60">
        <f t="shared" si="2"/>
        <v>4.792349372440203</v>
      </c>
      <c r="I19" s="310"/>
      <c r="J19" s="311"/>
      <c r="K19" s="311"/>
      <c r="L19" s="311"/>
      <c r="M19" s="311"/>
      <c r="N19" s="311"/>
      <c r="O19" s="311"/>
      <c r="P19" s="312"/>
    </row>
    <row r="20" spans="2:16" s="17" customFormat="1" ht="12.75">
      <c r="B20" s="67">
        <f t="shared" si="1"/>
        <v>204680</v>
      </c>
      <c r="C20" s="67">
        <f>C84</f>
        <v>32680</v>
      </c>
      <c r="D20" s="53" t="s">
        <v>82</v>
      </c>
      <c r="E20" s="67">
        <f>E84</f>
        <v>172000</v>
      </c>
      <c r="F20" s="68" t="s">
        <v>44</v>
      </c>
      <c r="G20" s="69" t="s">
        <v>59</v>
      </c>
      <c r="H20" s="60">
        <f t="shared" si="2"/>
        <v>14.986983491994815</v>
      </c>
      <c r="I20" s="310"/>
      <c r="J20" s="311"/>
      <c r="K20" s="311"/>
      <c r="L20" s="311"/>
      <c r="M20" s="311"/>
      <c r="N20" s="311"/>
      <c r="O20" s="311"/>
      <c r="P20" s="312"/>
    </row>
    <row r="21" spans="2:16" s="17" customFormat="1" ht="12.75">
      <c r="B21" s="67">
        <f>B89</f>
        <v>99435</v>
      </c>
      <c r="C21" s="67">
        <f>C89</f>
        <v>15835</v>
      </c>
      <c r="D21" s="67">
        <f>D89</f>
        <v>0</v>
      </c>
      <c r="E21" s="67">
        <f>E89</f>
        <v>83600</v>
      </c>
      <c r="F21" s="68" t="s">
        <v>45</v>
      </c>
      <c r="G21" s="69" t="s">
        <v>148</v>
      </c>
      <c r="H21" s="60">
        <f t="shared" si="2"/>
        <v>7.284371046109108</v>
      </c>
      <c r="I21" s="70"/>
      <c r="J21" s="71"/>
      <c r="K21" s="71"/>
      <c r="L21" s="71"/>
      <c r="M21" s="71"/>
      <c r="N21" s="71"/>
      <c r="O21" s="71"/>
      <c r="P21" s="72"/>
    </row>
    <row r="22" spans="2:16" s="17" customFormat="1" ht="12.75">
      <c r="B22" s="67">
        <f>B97</f>
        <v>2856</v>
      </c>
      <c r="C22" s="67">
        <f>C97</f>
        <v>456</v>
      </c>
      <c r="D22" s="67">
        <f>D97</f>
        <v>0</v>
      </c>
      <c r="E22" s="67">
        <f>E97</f>
        <v>2400</v>
      </c>
      <c r="F22" s="68" t="s">
        <v>47</v>
      </c>
      <c r="G22" s="69" t="s">
        <v>40</v>
      </c>
      <c r="H22" s="60">
        <f t="shared" si="2"/>
        <v>0.20912069988829976</v>
      </c>
      <c r="I22" s="70"/>
      <c r="J22" s="71"/>
      <c r="K22" s="71"/>
      <c r="L22" s="71"/>
      <c r="M22" s="71"/>
      <c r="N22" s="71"/>
      <c r="O22" s="71"/>
      <c r="P22" s="72"/>
    </row>
    <row r="23" spans="2:16" s="17" customFormat="1" ht="12.75">
      <c r="B23" s="67">
        <f>B99</f>
        <v>0</v>
      </c>
      <c r="C23" s="67">
        <f>C99</f>
        <v>0</v>
      </c>
      <c r="D23" s="67">
        <f>D99</f>
        <v>0</v>
      </c>
      <c r="E23" s="67">
        <f>E99</f>
        <v>0</v>
      </c>
      <c r="F23" s="68" t="s">
        <v>47</v>
      </c>
      <c r="G23" s="69" t="s">
        <v>91</v>
      </c>
      <c r="H23" s="60">
        <f t="shared" si="2"/>
        <v>0</v>
      </c>
      <c r="I23" s="310"/>
      <c r="J23" s="311"/>
      <c r="K23" s="311"/>
      <c r="L23" s="311"/>
      <c r="M23" s="311"/>
      <c r="N23" s="311"/>
      <c r="O23" s="311"/>
      <c r="P23" s="312"/>
    </row>
    <row r="24" spans="2:16" s="17" customFormat="1" ht="12.75">
      <c r="B24" s="67">
        <f>B101</f>
        <v>550</v>
      </c>
      <c r="C24" s="67">
        <f>C101</f>
        <v>0</v>
      </c>
      <c r="D24" s="67">
        <f>D101</f>
        <v>0</v>
      </c>
      <c r="E24" s="67">
        <f>E101</f>
        <v>550</v>
      </c>
      <c r="F24" s="68" t="s">
        <v>48</v>
      </c>
      <c r="G24" s="69" t="s">
        <v>67</v>
      </c>
      <c r="H24" s="60">
        <f t="shared" si="2"/>
        <v>0.04792349372440203</v>
      </c>
      <c r="I24" s="310"/>
      <c r="J24" s="311"/>
      <c r="K24" s="311"/>
      <c r="L24" s="311"/>
      <c r="M24" s="311"/>
      <c r="N24" s="311"/>
      <c r="O24" s="311"/>
      <c r="P24" s="312"/>
    </row>
    <row r="25" spans="2:16" s="16" customFormat="1" ht="12.75">
      <c r="B25" s="73">
        <f aca="true" t="shared" si="3" ref="B25:B33">C25+E25</f>
        <v>867758.075</v>
      </c>
      <c r="C25" s="73">
        <f>C17+C12+C8+C7</f>
        <v>64167</v>
      </c>
      <c r="D25" s="74"/>
      <c r="E25" s="73">
        <f>E17+E12+E8+E7</f>
        <v>803591.075</v>
      </c>
      <c r="F25" s="75">
        <v>5</v>
      </c>
      <c r="G25" s="76" t="s">
        <v>96</v>
      </c>
      <c r="H25" s="47">
        <f>E25/$B44*100</f>
        <v>70.01980334499632</v>
      </c>
      <c r="I25" s="319" t="s">
        <v>80</v>
      </c>
      <c r="J25" s="320"/>
      <c r="K25" s="320"/>
      <c r="L25" s="320"/>
      <c r="M25" s="320"/>
      <c r="N25" s="320"/>
      <c r="O25" s="320"/>
      <c r="P25" s="321"/>
    </row>
    <row r="26" spans="2:16" s="19" customFormat="1" ht="12.75" customHeight="1">
      <c r="B26" s="61">
        <f t="shared" si="3"/>
        <v>36866.237025</v>
      </c>
      <c r="C26" s="61">
        <f>SUM(C30:C32)</f>
        <v>0</v>
      </c>
      <c r="D26" s="62"/>
      <c r="E26" s="61">
        <f>E27+E28+E29</f>
        <v>36866.237025</v>
      </c>
      <c r="F26" s="63">
        <v>6</v>
      </c>
      <c r="G26" s="64" t="s">
        <v>102</v>
      </c>
      <c r="H26" s="47">
        <f>E26/$E$44*100</f>
        <v>3.4025277098733113</v>
      </c>
      <c r="I26" s="301" t="s">
        <v>80</v>
      </c>
      <c r="J26" s="302"/>
      <c r="K26" s="302"/>
      <c r="L26" s="302"/>
      <c r="M26" s="302"/>
      <c r="N26" s="302"/>
      <c r="O26" s="302"/>
      <c r="P26" s="303"/>
    </row>
    <row r="27" spans="2:16" s="19" customFormat="1" ht="12.75" customHeight="1">
      <c r="B27" s="56">
        <f t="shared" si="3"/>
        <v>23057.25</v>
      </c>
      <c r="C27" s="56"/>
      <c r="D27" s="66"/>
      <c r="E27" s="56">
        <f>E105</f>
        <v>23057.25</v>
      </c>
      <c r="F27" s="58">
        <v>61</v>
      </c>
      <c r="G27" s="59" t="s">
        <v>95</v>
      </c>
      <c r="H27" s="77">
        <f>E27/E8*100</f>
        <v>7.1</v>
      </c>
      <c r="I27" s="316" t="s">
        <v>184</v>
      </c>
      <c r="J27" s="317"/>
      <c r="K27" s="317"/>
      <c r="L27" s="317"/>
      <c r="M27" s="317"/>
      <c r="N27" s="317"/>
      <c r="O27" s="317"/>
      <c r="P27" s="318"/>
    </row>
    <row r="28" spans="2:16" s="18" customFormat="1" ht="12.75" customHeight="1">
      <c r="B28" s="56">
        <f t="shared" si="3"/>
        <v>4150.305</v>
      </c>
      <c r="C28" s="56"/>
      <c r="D28" s="66"/>
      <c r="E28" s="56">
        <f>H28/100*E27</f>
        <v>4150.305</v>
      </c>
      <c r="F28" s="58">
        <v>62</v>
      </c>
      <c r="G28" s="59" t="s">
        <v>108</v>
      </c>
      <c r="H28" s="60">
        <v>18</v>
      </c>
      <c r="I28" s="313" t="s">
        <v>109</v>
      </c>
      <c r="J28" s="314"/>
      <c r="K28" s="314"/>
      <c r="L28" s="314"/>
      <c r="M28" s="314"/>
      <c r="N28" s="314"/>
      <c r="O28" s="314"/>
      <c r="P28" s="315"/>
    </row>
    <row r="29" spans="2:16" s="19" customFormat="1" ht="12.75" customHeight="1">
      <c r="B29" s="56">
        <f t="shared" si="3"/>
        <v>9658.682025000002</v>
      </c>
      <c r="C29" s="56"/>
      <c r="D29" s="66"/>
      <c r="E29" s="56">
        <f>SUM(E30:E32)</f>
        <v>9658.682025000002</v>
      </c>
      <c r="F29" s="58">
        <v>63</v>
      </c>
      <c r="G29" s="59" t="s">
        <v>69</v>
      </c>
      <c r="H29" s="65">
        <f>SUM(H30:H32)</f>
        <v>35.5</v>
      </c>
      <c r="I29" s="304" t="s">
        <v>109</v>
      </c>
      <c r="J29" s="305"/>
      <c r="K29" s="305"/>
      <c r="L29" s="305"/>
      <c r="M29" s="305"/>
      <c r="N29" s="305"/>
      <c r="O29" s="305"/>
      <c r="P29" s="306"/>
    </row>
    <row r="30" spans="2:16" s="18" customFormat="1" ht="12.75" customHeight="1">
      <c r="B30" s="52">
        <f t="shared" si="3"/>
        <v>2448.6799499999997</v>
      </c>
      <c r="C30" s="52"/>
      <c r="D30" s="65"/>
      <c r="E30" s="52">
        <f>(E27+E28)*H30/100</f>
        <v>2448.6799499999997</v>
      </c>
      <c r="F30" s="54">
        <v>631</v>
      </c>
      <c r="G30" s="55" t="s">
        <v>70</v>
      </c>
      <c r="H30" s="65">
        <v>9</v>
      </c>
      <c r="I30" s="310" t="s">
        <v>81</v>
      </c>
      <c r="J30" s="311"/>
      <c r="K30" s="311"/>
      <c r="L30" s="311"/>
      <c r="M30" s="311"/>
      <c r="N30" s="311"/>
      <c r="O30" s="311"/>
      <c r="P30" s="312"/>
    </row>
    <row r="31" spans="2:16" s="18" customFormat="1" ht="12.75" customHeight="1">
      <c r="B31" s="52">
        <f t="shared" si="3"/>
        <v>7073.964300000001</v>
      </c>
      <c r="C31" s="52"/>
      <c r="D31" s="65"/>
      <c r="E31" s="52">
        <f>(E27+E28)*H31/100</f>
        <v>7073.964300000001</v>
      </c>
      <c r="F31" s="54">
        <v>632</v>
      </c>
      <c r="G31" s="55" t="s">
        <v>71</v>
      </c>
      <c r="H31" s="65">
        <v>26</v>
      </c>
      <c r="I31" s="310" t="s">
        <v>81</v>
      </c>
      <c r="J31" s="311"/>
      <c r="K31" s="311"/>
      <c r="L31" s="311"/>
      <c r="M31" s="311"/>
      <c r="N31" s="311"/>
      <c r="O31" s="311"/>
      <c r="P31" s="312"/>
    </row>
    <row r="32" spans="2:16" s="18" customFormat="1" ht="12.75" customHeight="1">
      <c r="B32" s="52">
        <f t="shared" si="3"/>
        <v>136.037775</v>
      </c>
      <c r="C32" s="52"/>
      <c r="D32" s="65"/>
      <c r="E32" s="52">
        <f>(E27+E28)*H32/100</f>
        <v>136.037775</v>
      </c>
      <c r="F32" s="54">
        <v>633</v>
      </c>
      <c r="G32" s="55" t="s">
        <v>107</v>
      </c>
      <c r="H32" s="65">
        <v>0.5</v>
      </c>
      <c r="I32" s="310" t="s">
        <v>81</v>
      </c>
      <c r="J32" s="311"/>
      <c r="K32" s="311"/>
      <c r="L32" s="311"/>
      <c r="M32" s="311"/>
      <c r="N32" s="311"/>
      <c r="O32" s="311"/>
      <c r="P32" s="312"/>
    </row>
    <row r="33" spans="2:16" s="19" customFormat="1" ht="12.75" customHeight="1">
      <c r="B33" s="61">
        <f t="shared" si="3"/>
        <v>120538.66125</v>
      </c>
      <c r="C33" s="61">
        <f>SUM(C35:C36)</f>
        <v>0</v>
      </c>
      <c r="D33" s="62"/>
      <c r="E33" s="61">
        <f>SUM(E35:E36)</f>
        <v>120538.66125</v>
      </c>
      <c r="F33" s="63">
        <v>7</v>
      </c>
      <c r="G33" s="64" t="s">
        <v>98</v>
      </c>
      <c r="H33" s="47">
        <f>E33/$E$44*100</f>
        <v>11.124979604944025</v>
      </c>
      <c r="I33" s="301" t="s">
        <v>80</v>
      </c>
      <c r="J33" s="302"/>
      <c r="K33" s="302"/>
      <c r="L33" s="302"/>
      <c r="M33" s="302"/>
      <c r="N33" s="302"/>
      <c r="O33" s="302"/>
      <c r="P33" s="303"/>
    </row>
    <row r="34" spans="2:16" s="19" customFormat="1" ht="12.75" customHeight="1">
      <c r="B34" s="61"/>
      <c r="C34" s="61"/>
      <c r="D34" s="62"/>
      <c r="E34" s="61"/>
      <c r="F34" s="63"/>
      <c r="G34" s="64"/>
      <c r="H34" s="62">
        <f>H35+H36</f>
        <v>15</v>
      </c>
      <c r="I34" s="304" t="s">
        <v>185</v>
      </c>
      <c r="J34" s="305"/>
      <c r="K34" s="305"/>
      <c r="L34" s="305"/>
      <c r="M34" s="305"/>
      <c r="N34" s="305"/>
      <c r="O34" s="305"/>
      <c r="P34" s="306"/>
    </row>
    <row r="35" spans="2:16" s="18" customFormat="1" ht="12.75" customHeight="1">
      <c r="B35" s="52">
        <f>C35+E35</f>
        <v>40179.55375</v>
      </c>
      <c r="C35" s="52"/>
      <c r="D35" s="65"/>
      <c r="E35" s="52">
        <f>H35/100*E25</f>
        <v>40179.55375</v>
      </c>
      <c r="F35" s="54">
        <v>72</v>
      </c>
      <c r="G35" s="55" t="s">
        <v>166</v>
      </c>
      <c r="H35" s="65">
        <v>5</v>
      </c>
      <c r="I35" s="307" t="s">
        <v>181</v>
      </c>
      <c r="J35" s="308"/>
      <c r="K35" s="308"/>
      <c r="L35" s="308"/>
      <c r="M35" s="308"/>
      <c r="N35" s="308"/>
      <c r="O35" s="308"/>
      <c r="P35" s="309"/>
    </row>
    <row r="36" spans="2:16" s="18" customFormat="1" ht="12.75" customHeight="1">
      <c r="B36" s="52">
        <f>C36+E36</f>
        <v>80359.1075</v>
      </c>
      <c r="C36" s="52"/>
      <c r="D36" s="65"/>
      <c r="E36" s="52">
        <f>H36/100*E25</f>
        <v>80359.1075</v>
      </c>
      <c r="F36" s="54">
        <v>73</v>
      </c>
      <c r="G36" s="55" t="s">
        <v>167</v>
      </c>
      <c r="H36" s="65">
        <v>10</v>
      </c>
      <c r="I36" s="307" t="s">
        <v>181</v>
      </c>
      <c r="J36" s="308"/>
      <c r="K36" s="308"/>
      <c r="L36" s="308"/>
      <c r="M36" s="308"/>
      <c r="N36" s="308"/>
      <c r="O36" s="308"/>
      <c r="P36" s="309"/>
    </row>
    <row r="37" spans="2:16" s="23" customFormat="1" ht="12.75" customHeight="1">
      <c r="B37" s="78">
        <f>B33+B26</f>
        <v>157404.898275</v>
      </c>
      <c r="C37" s="78">
        <f>C33+C26</f>
        <v>0</v>
      </c>
      <c r="D37" s="78"/>
      <c r="E37" s="78">
        <f>E33+E26</f>
        <v>157404.898275</v>
      </c>
      <c r="F37" s="79">
        <v>8</v>
      </c>
      <c r="G37" s="80" t="s">
        <v>97</v>
      </c>
      <c r="H37" s="81">
        <f>B37/B44*100</f>
        <v>13.715259372131094</v>
      </c>
      <c r="I37" s="82"/>
      <c r="J37" s="83"/>
      <c r="K37" s="83"/>
      <c r="L37" s="83"/>
      <c r="M37" s="83"/>
      <c r="N37" s="83"/>
      <c r="O37" s="83"/>
      <c r="P37" s="84"/>
    </row>
    <row r="38" spans="2:30" s="4" customFormat="1" ht="12.75" customHeight="1">
      <c r="B38" s="85">
        <f>B37+B25</f>
        <v>1025162.973275</v>
      </c>
      <c r="C38" s="85">
        <f>C37+C25</f>
        <v>64167</v>
      </c>
      <c r="D38" s="85"/>
      <c r="E38" s="85">
        <f>E37+E25</f>
        <v>960995.973275</v>
      </c>
      <c r="F38" s="86" t="s">
        <v>74</v>
      </c>
      <c r="G38" s="87" t="s">
        <v>72</v>
      </c>
      <c r="H38" s="47">
        <f>E38/$B44*100</f>
        <v>83.73506271712742</v>
      </c>
      <c r="I38" s="319" t="s">
        <v>80</v>
      </c>
      <c r="J38" s="320"/>
      <c r="K38" s="320"/>
      <c r="L38" s="320"/>
      <c r="M38" s="320"/>
      <c r="N38" s="320"/>
      <c r="O38" s="320"/>
      <c r="P38" s="321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2:30" s="4" customFormat="1" ht="12.75" customHeight="1">
      <c r="B39" s="88">
        <f>C39+E39</f>
        <v>122499.5973275</v>
      </c>
      <c r="C39" s="88">
        <f>SUM(C40:C41)</f>
        <v>0</v>
      </c>
      <c r="D39" s="89"/>
      <c r="E39" s="88">
        <f>SUM(E40:E41)</f>
        <v>122499.5973275</v>
      </c>
      <c r="F39" s="90" t="s">
        <v>77</v>
      </c>
      <c r="G39" s="91" t="s">
        <v>73</v>
      </c>
      <c r="H39" s="47">
        <f>E39/$E$44*100</f>
        <v>11.305961985555843</v>
      </c>
      <c r="I39" s="301" t="s">
        <v>178</v>
      </c>
      <c r="J39" s="302"/>
      <c r="K39" s="302"/>
      <c r="L39" s="302"/>
      <c r="M39" s="302"/>
      <c r="N39" s="302"/>
      <c r="O39" s="302"/>
      <c r="P39" s="303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2:16" s="18" customFormat="1" ht="12.75" customHeight="1">
      <c r="B40" s="52">
        <f>C40+E40</f>
        <v>26400</v>
      </c>
      <c r="C40" s="52"/>
      <c r="D40" s="65"/>
      <c r="E40" s="52">
        <f>H40/100*E38</f>
        <v>26400</v>
      </c>
      <c r="F40" s="54">
        <v>101</v>
      </c>
      <c r="G40" s="55" t="s">
        <v>79</v>
      </c>
      <c r="H40" s="65">
        <f>E109/E38*100</f>
        <v>2.7471499084466338</v>
      </c>
      <c r="I40" s="322" t="s">
        <v>183</v>
      </c>
      <c r="J40" s="323"/>
      <c r="K40" s="323"/>
      <c r="L40" s="323"/>
      <c r="M40" s="323"/>
      <c r="N40" s="323"/>
      <c r="O40" s="323"/>
      <c r="P40" s="324"/>
    </row>
    <row r="41" spans="2:16" s="18" customFormat="1" ht="12.75" customHeight="1">
      <c r="B41" s="52">
        <f>C41+E41</f>
        <v>96099.5973275</v>
      </c>
      <c r="C41" s="52"/>
      <c r="D41" s="65"/>
      <c r="E41" s="52">
        <f>H41/100*E38</f>
        <v>96099.5973275</v>
      </c>
      <c r="F41" s="54">
        <v>102</v>
      </c>
      <c r="G41" s="55" t="s">
        <v>89</v>
      </c>
      <c r="H41" s="65">
        <v>10</v>
      </c>
      <c r="I41" s="322" t="s">
        <v>182</v>
      </c>
      <c r="J41" s="323"/>
      <c r="K41" s="323"/>
      <c r="L41" s="323"/>
      <c r="M41" s="323"/>
      <c r="N41" s="323"/>
      <c r="O41" s="323"/>
      <c r="P41" s="324"/>
    </row>
    <row r="42" spans="2:16" s="22" customFormat="1" ht="12.75" customHeight="1">
      <c r="B42" s="24"/>
      <c r="C42" s="24"/>
      <c r="D42" s="25"/>
      <c r="E42" s="24">
        <f>E53</f>
        <v>54174.778530125</v>
      </c>
      <c r="F42" s="26">
        <v>1021</v>
      </c>
      <c r="G42" s="27" t="s">
        <v>87</v>
      </c>
      <c r="H42" s="25"/>
      <c r="I42" s="28"/>
      <c r="J42" s="29"/>
      <c r="K42" s="29"/>
      <c r="L42" s="29"/>
      <c r="M42" s="29"/>
      <c r="N42" s="29"/>
      <c r="O42" s="29"/>
      <c r="P42" s="30"/>
    </row>
    <row r="43" spans="2:16" s="22" customFormat="1" ht="12.75" customHeight="1">
      <c r="B43" s="24"/>
      <c r="C43" s="24"/>
      <c r="D43" s="25"/>
      <c r="E43" s="24">
        <f>E41-E53</f>
        <v>41924.818797375</v>
      </c>
      <c r="F43" s="26">
        <v>1022</v>
      </c>
      <c r="G43" s="27" t="s">
        <v>88</v>
      </c>
      <c r="H43" s="25"/>
      <c r="I43" s="28"/>
      <c r="J43" s="29"/>
      <c r="K43" s="29"/>
      <c r="L43" s="29"/>
      <c r="M43" s="29"/>
      <c r="N43" s="29"/>
      <c r="O43" s="29"/>
      <c r="P43" s="30"/>
    </row>
    <row r="44" spans="2:30" s="4" customFormat="1" ht="12.75" customHeight="1">
      <c r="B44" s="92">
        <f>B39+B38</f>
        <v>1147662.5706024999</v>
      </c>
      <c r="C44" s="92">
        <f>C39+C38</f>
        <v>64167</v>
      </c>
      <c r="D44" s="93"/>
      <c r="E44" s="92">
        <f>E39+E38</f>
        <v>1083495.5706024999</v>
      </c>
      <c r="F44" s="94" t="s">
        <v>14</v>
      </c>
      <c r="G44" s="95" t="s">
        <v>75</v>
      </c>
      <c r="H44" s="47">
        <f>H7+H8+H12+H17+H26+H33+H39</f>
        <v>100.00000000000001</v>
      </c>
      <c r="I44" s="304"/>
      <c r="J44" s="305"/>
      <c r="K44" s="305"/>
      <c r="L44" s="305"/>
      <c r="M44" s="305"/>
      <c r="N44" s="305"/>
      <c r="O44" s="305"/>
      <c r="P44" s="306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2:30" s="4" customFormat="1" ht="12.75" customHeight="1">
      <c r="B45" s="92"/>
      <c r="C45" s="92"/>
      <c r="D45" s="93"/>
      <c r="E45" s="96">
        <f>H45</f>
        <v>20</v>
      </c>
      <c r="F45" s="94" t="s">
        <v>15</v>
      </c>
      <c r="G45" s="95" t="s">
        <v>78</v>
      </c>
      <c r="H45" s="97">
        <v>20</v>
      </c>
      <c r="I45" s="310" t="s">
        <v>164</v>
      </c>
      <c r="J45" s="311"/>
      <c r="K45" s="311"/>
      <c r="L45" s="311"/>
      <c r="M45" s="311"/>
      <c r="N45" s="311"/>
      <c r="O45" s="311"/>
      <c r="P45" s="31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2:30" s="4" customFormat="1" ht="12.75" customHeight="1">
      <c r="B46" s="92">
        <f>C46+E46</f>
        <v>64467.986450848744</v>
      </c>
      <c r="C46" s="92">
        <f>E46*D46/100</f>
        <v>10293.20792072375</v>
      </c>
      <c r="D46" s="93">
        <v>19</v>
      </c>
      <c r="E46" s="98">
        <f>E44/$E$45</f>
        <v>54174.778530125</v>
      </c>
      <c r="F46" s="94" t="s">
        <v>16</v>
      </c>
      <c r="G46" s="95" t="s">
        <v>76</v>
      </c>
      <c r="H46" s="97"/>
      <c r="I46" s="304"/>
      <c r="J46" s="305"/>
      <c r="K46" s="305"/>
      <c r="L46" s="305"/>
      <c r="M46" s="305"/>
      <c r="N46" s="305"/>
      <c r="O46" s="305"/>
      <c r="P46" s="306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2:30" s="4" customFormat="1" ht="12.75" customHeight="1">
      <c r="B47" s="92">
        <f>C47+E47</f>
        <v>1289359.7290169748</v>
      </c>
      <c r="C47" s="92">
        <f>D47/100*E47</f>
        <v>205864.15841447498</v>
      </c>
      <c r="D47" s="93">
        <f>D46</f>
        <v>19</v>
      </c>
      <c r="E47" s="92">
        <f>E46*E45</f>
        <v>1083495.5706024999</v>
      </c>
      <c r="F47" s="94" t="s">
        <v>100</v>
      </c>
      <c r="G47" s="95" t="s">
        <v>168</v>
      </c>
      <c r="H47" s="47"/>
      <c r="I47" s="304"/>
      <c r="J47" s="305"/>
      <c r="K47" s="305"/>
      <c r="L47" s="305"/>
      <c r="M47" s="305"/>
      <c r="N47" s="305"/>
      <c r="O47" s="305"/>
      <c r="P47" s="30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2:30" s="4" customFormat="1" ht="12.75" customHeight="1"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2:30" s="4" customFormat="1" ht="12.75" customHeight="1">
      <c r="B49" s="99"/>
      <c r="C49" s="99"/>
      <c r="D49" s="99"/>
      <c r="E49" s="99">
        <f>E50+E53</f>
        <v>134533.886030125</v>
      </c>
      <c r="F49" s="100">
        <v>15</v>
      </c>
      <c r="G49" s="99" t="s">
        <v>86</v>
      </c>
      <c r="H49" s="99">
        <f>H50+H53</f>
        <v>12.416653069962685</v>
      </c>
      <c r="I49" s="307" t="s">
        <v>80</v>
      </c>
      <c r="J49" s="308"/>
      <c r="K49" s="308"/>
      <c r="L49" s="308"/>
      <c r="M49" s="308"/>
      <c r="N49" s="308"/>
      <c r="O49" s="308"/>
      <c r="P49" s="309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2:16" s="17" customFormat="1" ht="12.75">
      <c r="B50" s="31"/>
      <c r="C50" s="31"/>
      <c r="D50" s="31"/>
      <c r="E50" s="32">
        <f>E36</f>
        <v>80359.1075</v>
      </c>
      <c r="F50" s="33">
        <v>151</v>
      </c>
      <c r="G50" s="31" t="s">
        <v>165</v>
      </c>
      <c r="H50" s="31">
        <f>E50/E44*100</f>
        <v>7.416653069962684</v>
      </c>
      <c r="I50" s="329" t="s">
        <v>170</v>
      </c>
      <c r="J50" s="332"/>
      <c r="K50" s="332"/>
      <c r="L50" s="332"/>
      <c r="M50" s="332"/>
      <c r="N50" s="332"/>
      <c r="O50" s="332"/>
      <c r="P50" s="333"/>
    </row>
    <row r="51" spans="2:30" s="4" customFormat="1" ht="12.75">
      <c r="B51" s="31"/>
      <c r="C51" s="31"/>
      <c r="D51" s="31"/>
      <c r="E51" s="31">
        <f>E41</f>
        <v>96099.5973275</v>
      </c>
      <c r="F51" s="33" t="s">
        <v>3</v>
      </c>
      <c r="G51" s="31" t="s">
        <v>169</v>
      </c>
      <c r="H51" s="31">
        <f>E51/E44*100</f>
        <v>8.869403801444417</v>
      </c>
      <c r="I51" s="329" t="s">
        <v>81</v>
      </c>
      <c r="J51" s="330"/>
      <c r="K51" s="330"/>
      <c r="L51" s="330"/>
      <c r="M51" s="330"/>
      <c r="N51" s="330"/>
      <c r="O51" s="330"/>
      <c r="P51" s="331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2:30" s="4" customFormat="1" ht="12.75">
      <c r="B52" s="31"/>
      <c r="C52" s="31"/>
      <c r="D52" s="31"/>
      <c r="E52" s="32">
        <f>IF(E41&gt;E53,E41-(E41-E53),"zvýšit zisk ř.102")</f>
        <v>54174.778530125</v>
      </c>
      <c r="F52" s="33">
        <v>152</v>
      </c>
      <c r="G52" s="27" t="s">
        <v>87</v>
      </c>
      <c r="H52" s="31">
        <f>E52/E44*100</f>
        <v>5</v>
      </c>
      <c r="I52" s="329" t="s">
        <v>171</v>
      </c>
      <c r="J52" s="332"/>
      <c r="K52" s="332"/>
      <c r="L52" s="332"/>
      <c r="M52" s="332"/>
      <c r="N52" s="332"/>
      <c r="O52" s="332"/>
      <c r="P52" s="333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2:30" s="4" customFormat="1" ht="12.75">
      <c r="B53" s="67"/>
      <c r="C53" s="67"/>
      <c r="D53" s="67"/>
      <c r="E53" s="67">
        <f>H53/100*E44</f>
        <v>54174.778530125</v>
      </c>
      <c r="F53" s="101" t="s">
        <v>90</v>
      </c>
      <c r="G53" s="67" t="s">
        <v>73</v>
      </c>
      <c r="H53" s="67">
        <v>5</v>
      </c>
      <c r="I53" s="310" t="s">
        <v>172</v>
      </c>
      <c r="J53" s="311"/>
      <c r="K53" s="311"/>
      <c r="L53" s="311"/>
      <c r="M53" s="311"/>
      <c r="N53" s="311"/>
      <c r="O53" s="311"/>
      <c r="P53" s="31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2:30" s="4" customFormat="1" ht="12.75">
      <c r="B54" s="31"/>
      <c r="C54" s="31"/>
      <c r="D54" s="31"/>
      <c r="E54" s="32">
        <f>E51-E52</f>
        <v>41924.818797375</v>
      </c>
      <c r="F54" s="33">
        <v>153</v>
      </c>
      <c r="G54" s="27" t="s">
        <v>88</v>
      </c>
      <c r="H54" s="31">
        <f>E54/E44*100</f>
        <v>3.8694038014444168</v>
      </c>
      <c r="I54" s="329" t="s">
        <v>179</v>
      </c>
      <c r="J54" s="332"/>
      <c r="K54" s="332"/>
      <c r="L54" s="332"/>
      <c r="M54" s="332"/>
      <c r="N54" s="332"/>
      <c r="O54" s="332"/>
      <c r="P54" s="333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2:30" s="4" customFormat="1" ht="12.75"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2:17" s="13" customFormat="1" ht="27" customHeight="1">
      <c r="B56" s="326" t="s">
        <v>131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8"/>
      <c r="Q56" s="14"/>
    </row>
    <row r="57" spans="2:16" s="12" customFormat="1" ht="27" customHeight="1">
      <c r="B57" s="102" t="s">
        <v>64</v>
      </c>
      <c r="C57" s="103" t="s">
        <v>12</v>
      </c>
      <c r="D57" s="104" t="s">
        <v>11</v>
      </c>
      <c r="E57" s="103" t="s">
        <v>53</v>
      </c>
      <c r="F57" s="42"/>
      <c r="G57" s="41"/>
      <c r="H57" s="40" t="s">
        <v>7</v>
      </c>
      <c r="I57" s="40" t="s">
        <v>8</v>
      </c>
      <c r="J57" s="105" t="s">
        <v>9</v>
      </c>
      <c r="K57" s="40" t="s">
        <v>173</v>
      </c>
      <c r="L57" s="40" t="s">
        <v>8</v>
      </c>
      <c r="M57" s="40" t="s">
        <v>174</v>
      </c>
      <c r="N57" s="40" t="s">
        <v>8</v>
      </c>
      <c r="O57" s="40" t="s">
        <v>175</v>
      </c>
      <c r="P57" s="40" t="s">
        <v>8</v>
      </c>
    </row>
    <row r="58" spans="2:16" s="4" customFormat="1" ht="12.75" customHeight="1">
      <c r="B58" s="106">
        <f>SUM(B59:B62)</f>
        <v>51646</v>
      </c>
      <c r="C58" s="106">
        <f>SUM(C59:C62)</f>
        <v>8246</v>
      </c>
      <c r="D58" s="107"/>
      <c r="E58" s="106">
        <f>SUM(E59:E62)</f>
        <v>43400</v>
      </c>
      <c r="F58" s="94" t="s">
        <v>13</v>
      </c>
      <c r="G58" s="95" t="s">
        <v>23</v>
      </c>
      <c r="H58" s="92"/>
      <c r="I58" s="92"/>
      <c r="J58" s="92"/>
      <c r="K58" s="92"/>
      <c r="L58" s="92"/>
      <c r="M58" s="92"/>
      <c r="N58" s="92"/>
      <c r="O58" s="92"/>
      <c r="P58" s="95" t="s">
        <v>0</v>
      </c>
    </row>
    <row r="59" spans="2:16" s="5" customFormat="1" ht="12.75" customHeight="1">
      <c r="B59" s="108">
        <f>C59+E59</f>
        <v>8925</v>
      </c>
      <c r="C59" s="108">
        <f>D59/100*E59</f>
        <v>1425</v>
      </c>
      <c r="D59" s="109">
        <v>19</v>
      </c>
      <c r="E59" s="108">
        <f>H59*J59*IF(AND(K59&lt;&gt;0,NOT(ISBLANK(K59))),K59,1)*IF(AND(M59&lt;&gt;0,NOT(ISBLANK(M59))),M59,1)*IF(AND(O59&lt;&gt;0,NOT(ISBLANK(O59))),O59,1)</f>
        <v>7500</v>
      </c>
      <c r="F59" s="110" t="s">
        <v>14</v>
      </c>
      <c r="G59" s="111" t="s">
        <v>110</v>
      </c>
      <c r="H59" s="108">
        <v>150</v>
      </c>
      <c r="I59" s="108" t="s">
        <v>111</v>
      </c>
      <c r="J59" s="108">
        <v>1</v>
      </c>
      <c r="K59" s="108">
        <v>5</v>
      </c>
      <c r="L59" s="108" t="s">
        <v>132</v>
      </c>
      <c r="M59" s="108">
        <v>10</v>
      </c>
      <c r="N59" s="108" t="s">
        <v>112</v>
      </c>
      <c r="O59" s="108">
        <v>1</v>
      </c>
      <c r="P59" s="111"/>
    </row>
    <row r="60" spans="2:16" s="5" customFormat="1" ht="12.75" customHeight="1">
      <c r="B60" s="108">
        <f>C60+E60</f>
        <v>41650</v>
      </c>
      <c r="C60" s="108">
        <f>D60/100*E60</f>
        <v>6650</v>
      </c>
      <c r="D60" s="109">
        <v>19</v>
      </c>
      <c r="E60" s="108">
        <f>H60*J60*IF(AND(K60&lt;&gt;0,NOT(ISBLANK(K60))),K60,1)*IF(AND(M60&lt;&gt;0,NOT(ISBLANK(M60))),M60,1)*IF(AND(O60&lt;&gt;0,NOT(ISBLANK(O60))),O60,1)</f>
        <v>35000</v>
      </c>
      <c r="F60" s="110" t="s">
        <v>15</v>
      </c>
      <c r="G60" s="111" t="s">
        <v>133</v>
      </c>
      <c r="H60" s="108">
        <v>35000</v>
      </c>
      <c r="I60" s="108" t="s">
        <v>10</v>
      </c>
      <c r="J60" s="108">
        <v>1</v>
      </c>
      <c r="K60" s="108">
        <v>1</v>
      </c>
      <c r="L60" s="108"/>
      <c r="M60" s="108">
        <v>1</v>
      </c>
      <c r="N60" s="108"/>
      <c r="O60" s="108">
        <v>1</v>
      </c>
      <c r="P60" s="111"/>
    </row>
    <row r="61" spans="2:16" s="5" customFormat="1" ht="12.75" customHeight="1">
      <c r="B61" s="108">
        <f>C61+E61</f>
        <v>1071</v>
      </c>
      <c r="C61" s="108">
        <f>D61/100*E61</f>
        <v>171</v>
      </c>
      <c r="D61" s="109">
        <v>19</v>
      </c>
      <c r="E61" s="108">
        <f>H61*J61*IF(AND(K61&lt;&gt;0,NOT(ISBLANK(K61))),K61,1)*IF(AND(M61&lt;&gt;0,NOT(ISBLANK(M61))),M61,1)*IF(AND(O61&lt;&gt;0,NOT(ISBLANK(O61))),O61,1)</f>
        <v>900</v>
      </c>
      <c r="F61" s="110" t="s">
        <v>16</v>
      </c>
      <c r="G61" s="111" t="s">
        <v>46</v>
      </c>
      <c r="H61" s="108">
        <v>900</v>
      </c>
      <c r="I61" s="108" t="s">
        <v>10</v>
      </c>
      <c r="J61" s="108">
        <v>1</v>
      </c>
      <c r="K61" s="108">
        <v>1</v>
      </c>
      <c r="L61" s="108"/>
      <c r="M61" s="108">
        <v>1</v>
      </c>
      <c r="N61" s="108"/>
      <c r="O61" s="108">
        <v>1</v>
      </c>
      <c r="P61" s="111"/>
    </row>
    <row r="62" spans="2:16" s="5" customFormat="1" ht="12.75" customHeight="1">
      <c r="B62" s="108"/>
      <c r="C62" s="108"/>
      <c r="D62" s="109"/>
      <c r="E62" s="108"/>
      <c r="F62" s="110"/>
      <c r="G62" s="111"/>
      <c r="H62" s="108"/>
      <c r="I62" s="108"/>
      <c r="J62" s="108"/>
      <c r="K62" s="108"/>
      <c r="L62" s="108"/>
      <c r="M62" s="108"/>
      <c r="N62" s="108"/>
      <c r="O62" s="108"/>
      <c r="P62" s="111"/>
    </row>
    <row r="63" spans="2:18" s="4" customFormat="1" ht="12.75" customHeight="1">
      <c r="B63" s="106">
        <f>B64+B72</f>
        <v>324750</v>
      </c>
      <c r="C63" s="106">
        <f>C64+C72</f>
        <v>0</v>
      </c>
      <c r="D63" s="107"/>
      <c r="E63" s="106">
        <f>E64+E72</f>
        <v>324750</v>
      </c>
      <c r="F63" s="112" t="s">
        <v>17</v>
      </c>
      <c r="G63" s="113" t="s">
        <v>22</v>
      </c>
      <c r="H63" s="106"/>
      <c r="I63" s="106"/>
      <c r="J63" s="106"/>
      <c r="K63" s="106"/>
      <c r="L63" s="106"/>
      <c r="M63" s="106"/>
      <c r="N63" s="106"/>
      <c r="O63" s="106"/>
      <c r="P63" s="113"/>
      <c r="R63" s="15"/>
    </row>
    <row r="64" spans="2:16" s="4" customFormat="1" ht="12.75" customHeight="1">
      <c r="B64" s="106">
        <f>SUM(B65:B71)</f>
        <v>221750</v>
      </c>
      <c r="C64" s="106">
        <f>SUM(C65:C71)</f>
        <v>0</v>
      </c>
      <c r="D64" s="107"/>
      <c r="E64" s="106">
        <f>SUM(E65:E71)</f>
        <v>221750</v>
      </c>
      <c r="F64" s="112" t="s">
        <v>18</v>
      </c>
      <c r="G64" s="113" t="s">
        <v>141</v>
      </c>
      <c r="H64" s="106"/>
      <c r="I64" s="106"/>
      <c r="J64" s="106"/>
      <c r="K64" s="106"/>
      <c r="L64" s="106"/>
      <c r="M64" s="106"/>
      <c r="N64" s="106"/>
      <c r="O64" s="106"/>
      <c r="P64" s="113"/>
    </row>
    <row r="65" spans="2:16" s="5" customFormat="1" ht="12.75" customHeight="1">
      <c r="B65" s="108">
        <f aca="true" t="shared" si="4" ref="B65:B70">C65+E65</f>
        <v>60000</v>
      </c>
      <c r="C65" s="108">
        <f aca="true" t="shared" si="5" ref="C65:C70">D65/100*E65</f>
        <v>0</v>
      </c>
      <c r="D65" s="109">
        <v>0</v>
      </c>
      <c r="E65" s="108">
        <f aca="true" t="shared" si="6" ref="E65:E70">H65*J65*IF(AND(K65&lt;&gt;0,NOT(ISBLANK(K65))),K65,1)*IF(AND(M65&lt;&gt;0,NOT(ISBLANK(M65))),M65,1)*IF(AND(O65&lt;&gt;0,NOT(ISBLANK(O65))),O65,1)</f>
        <v>60000</v>
      </c>
      <c r="F65" s="110" t="s">
        <v>19</v>
      </c>
      <c r="G65" s="111" t="s">
        <v>134</v>
      </c>
      <c r="H65" s="108">
        <v>600</v>
      </c>
      <c r="I65" s="108" t="s">
        <v>137</v>
      </c>
      <c r="J65" s="108">
        <v>20</v>
      </c>
      <c r="K65" s="108">
        <v>5</v>
      </c>
      <c r="L65" s="108" t="s">
        <v>132</v>
      </c>
      <c r="M65" s="108">
        <v>1</v>
      </c>
      <c r="N65" s="108" t="s">
        <v>113</v>
      </c>
      <c r="O65" s="108">
        <v>1</v>
      </c>
      <c r="P65" s="111"/>
    </row>
    <row r="66" spans="2:16" s="5" customFormat="1" ht="12.75" customHeight="1">
      <c r="B66" s="108">
        <f t="shared" si="4"/>
        <v>40000</v>
      </c>
      <c r="C66" s="108">
        <f t="shared" si="5"/>
        <v>0</v>
      </c>
      <c r="D66" s="109">
        <v>0</v>
      </c>
      <c r="E66" s="108">
        <f t="shared" si="6"/>
        <v>40000</v>
      </c>
      <c r="F66" s="110" t="s">
        <v>20</v>
      </c>
      <c r="G66" s="111" t="s">
        <v>135</v>
      </c>
      <c r="H66" s="108">
        <v>400</v>
      </c>
      <c r="I66" s="108" t="s">
        <v>137</v>
      </c>
      <c r="J66" s="108">
        <v>20</v>
      </c>
      <c r="K66" s="108">
        <v>5</v>
      </c>
      <c r="L66" s="108" t="s">
        <v>132</v>
      </c>
      <c r="M66" s="108">
        <v>1</v>
      </c>
      <c r="N66" s="108" t="s">
        <v>113</v>
      </c>
      <c r="O66" s="108">
        <v>1</v>
      </c>
      <c r="P66" s="111"/>
    </row>
    <row r="67" spans="2:16" s="5" customFormat="1" ht="12.75" customHeight="1">
      <c r="B67" s="108">
        <f t="shared" si="4"/>
        <v>18750</v>
      </c>
      <c r="C67" s="108">
        <f t="shared" si="5"/>
        <v>0</v>
      </c>
      <c r="D67" s="109">
        <v>0</v>
      </c>
      <c r="E67" s="108">
        <f t="shared" si="6"/>
        <v>18750</v>
      </c>
      <c r="F67" s="110" t="s">
        <v>21</v>
      </c>
      <c r="G67" s="111" t="s">
        <v>136</v>
      </c>
      <c r="H67" s="108">
        <v>150</v>
      </c>
      <c r="I67" s="108" t="s">
        <v>137</v>
      </c>
      <c r="J67" s="108">
        <v>25</v>
      </c>
      <c r="K67" s="108">
        <v>5</v>
      </c>
      <c r="L67" s="108" t="s">
        <v>132</v>
      </c>
      <c r="M67" s="108">
        <v>1</v>
      </c>
      <c r="N67" s="108"/>
      <c r="O67" s="108">
        <v>1</v>
      </c>
      <c r="P67" s="111"/>
    </row>
    <row r="68" spans="2:16" s="5" customFormat="1" ht="12.75" customHeight="1">
      <c r="B68" s="108">
        <f t="shared" si="4"/>
        <v>40000</v>
      </c>
      <c r="C68" s="108">
        <f t="shared" si="5"/>
        <v>0</v>
      </c>
      <c r="D68" s="109">
        <v>0</v>
      </c>
      <c r="E68" s="108">
        <f t="shared" si="6"/>
        <v>40000</v>
      </c>
      <c r="F68" s="110" t="s">
        <v>116</v>
      </c>
      <c r="G68" s="111" t="s">
        <v>119</v>
      </c>
      <c r="H68" s="108">
        <v>8000</v>
      </c>
      <c r="I68" s="108" t="s">
        <v>120</v>
      </c>
      <c r="J68" s="108">
        <v>5</v>
      </c>
      <c r="K68" s="108">
        <v>1</v>
      </c>
      <c r="L68" s="108"/>
      <c r="M68" s="108">
        <v>1</v>
      </c>
      <c r="N68" s="108"/>
      <c r="O68" s="108">
        <v>1</v>
      </c>
      <c r="P68" s="111"/>
    </row>
    <row r="69" spans="2:16" s="5" customFormat="1" ht="12.75" customHeight="1">
      <c r="B69" s="108">
        <f t="shared" si="4"/>
        <v>60000</v>
      </c>
      <c r="C69" s="108">
        <f t="shared" si="5"/>
        <v>0</v>
      </c>
      <c r="D69" s="109">
        <v>0</v>
      </c>
      <c r="E69" s="108">
        <f t="shared" si="6"/>
        <v>60000</v>
      </c>
      <c r="F69" s="110" t="s">
        <v>117</v>
      </c>
      <c r="G69" s="111" t="s">
        <v>139</v>
      </c>
      <c r="H69" s="108">
        <v>5000</v>
      </c>
      <c r="I69" s="108" t="s">
        <v>120</v>
      </c>
      <c r="J69" s="108">
        <v>12</v>
      </c>
      <c r="K69" s="108">
        <v>1</v>
      </c>
      <c r="L69" s="108"/>
      <c r="M69" s="108">
        <v>1</v>
      </c>
      <c r="N69" s="108"/>
      <c r="O69" s="108">
        <v>1</v>
      </c>
      <c r="P69" s="111"/>
    </row>
    <row r="70" spans="2:16" s="5" customFormat="1" ht="12.75" customHeight="1">
      <c r="B70" s="108">
        <f t="shared" si="4"/>
        <v>3000</v>
      </c>
      <c r="C70" s="108">
        <f t="shared" si="5"/>
        <v>0</v>
      </c>
      <c r="D70" s="109">
        <v>0</v>
      </c>
      <c r="E70" s="108">
        <f t="shared" si="6"/>
        <v>3000</v>
      </c>
      <c r="F70" s="110" t="s">
        <v>118</v>
      </c>
      <c r="G70" s="111" t="s">
        <v>138</v>
      </c>
      <c r="H70" s="108">
        <v>300</v>
      </c>
      <c r="I70" s="108" t="s">
        <v>140</v>
      </c>
      <c r="J70" s="108">
        <v>1</v>
      </c>
      <c r="K70" s="108">
        <v>2</v>
      </c>
      <c r="L70" s="108" t="s">
        <v>114</v>
      </c>
      <c r="M70" s="108">
        <v>5</v>
      </c>
      <c r="N70" s="108" t="s">
        <v>115</v>
      </c>
      <c r="O70" s="108">
        <v>1</v>
      </c>
      <c r="P70" s="111"/>
    </row>
    <row r="71" spans="2:16" s="5" customFormat="1" ht="12.75" customHeight="1">
      <c r="B71" s="108"/>
      <c r="C71" s="108"/>
      <c r="D71" s="109"/>
      <c r="E71" s="108"/>
      <c r="F71" s="110"/>
      <c r="G71" s="111"/>
      <c r="H71" s="108"/>
      <c r="I71" s="108"/>
      <c r="J71" s="108"/>
      <c r="K71" s="108"/>
      <c r="L71" s="108"/>
      <c r="M71" s="108"/>
      <c r="N71" s="108"/>
      <c r="O71" s="108"/>
      <c r="P71" s="111"/>
    </row>
    <row r="72" spans="2:18" s="4" customFormat="1" ht="12.75" customHeight="1">
      <c r="B72" s="106">
        <f>SUM(B73:B76)</f>
        <v>103000</v>
      </c>
      <c r="C72" s="106">
        <f>SUM(C73:C76)</f>
        <v>0</v>
      </c>
      <c r="D72" s="107"/>
      <c r="E72" s="106">
        <f>SUM(E73:E76)</f>
        <v>103000</v>
      </c>
      <c r="F72" s="112" t="s">
        <v>24</v>
      </c>
      <c r="G72" s="113" t="s">
        <v>28</v>
      </c>
      <c r="H72" s="106"/>
      <c r="I72" s="106"/>
      <c r="J72" s="106"/>
      <c r="K72" s="106"/>
      <c r="L72" s="106"/>
      <c r="M72" s="106"/>
      <c r="N72" s="106"/>
      <c r="O72" s="106"/>
      <c r="P72" s="113"/>
      <c r="R72" s="15"/>
    </row>
    <row r="73" spans="2:16" s="5" customFormat="1" ht="12.75" customHeight="1">
      <c r="B73" s="108">
        <f>C73+E73</f>
        <v>60000</v>
      </c>
      <c r="C73" s="108">
        <f>D73/100*E73</f>
        <v>0</v>
      </c>
      <c r="D73" s="109">
        <v>0</v>
      </c>
      <c r="E73" s="108">
        <f>H73*J73*IF(AND(K73&lt;&gt;0,NOT(ISBLANK(K73))),K73,1)*IF(AND(M73&lt;&gt;0,NOT(ISBLANK(M73))),M73,1)*IF(AND(O73&lt;&gt;0,NOT(ISBLANK(O73))),O73,1)</f>
        <v>60000</v>
      </c>
      <c r="F73" s="110" t="s">
        <v>25</v>
      </c>
      <c r="G73" s="111" t="s">
        <v>134</v>
      </c>
      <c r="H73" s="108">
        <v>600</v>
      </c>
      <c r="I73" s="108" t="s">
        <v>137</v>
      </c>
      <c r="J73" s="108">
        <v>20</v>
      </c>
      <c r="K73" s="108">
        <v>5</v>
      </c>
      <c r="L73" s="108" t="s">
        <v>132</v>
      </c>
      <c r="M73" s="108">
        <v>1</v>
      </c>
      <c r="N73" s="108" t="s">
        <v>113</v>
      </c>
      <c r="O73" s="108">
        <v>1</v>
      </c>
      <c r="P73" s="111"/>
    </row>
    <row r="74" spans="2:16" s="5" customFormat="1" ht="12.75" customHeight="1">
      <c r="B74" s="108">
        <f>C74+E74</f>
        <v>40000</v>
      </c>
      <c r="C74" s="108">
        <f>D74/100*E74</f>
        <v>0</v>
      </c>
      <c r="D74" s="109">
        <v>0</v>
      </c>
      <c r="E74" s="108">
        <f>H74*J74*IF(AND(K74&lt;&gt;0,NOT(ISBLANK(K74))),K74,1)*IF(AND(M74&lt;&gt;0,NOT(ISBLANK(M74))),M74,1)*IF(AND(O74&lt;&gt;0,NOT(ISBLANK(O74))),O74,1)</f>
        <v>40000</v>
      </c>
      <c r="F74" s="110" t="s">
        <v>26</v>
      </c>
      <c r="G74" s="111" t="s">
        <v>135</v>
      </c>
      <c r="H74" s="108">
        <v>400</v>
      </c>
      <c r="I74" s="108" t="s">
        <v>137</v>
      </c>
      <c r="J74" s="108">
        <v>20</v>
      </c>
      <c r="K74" s="108">
        <v>5</v>
      </c>
      <c r="L74" s="108" t="s">
        <v>132</v>
      </c>
      <c r="M74" s="108">
        <v>1</v>
      </c>
      <c r="N74" s="108" t="s">
        <v>113</v>
      </c>
      <c r="O74" s="108">
        <v>1</v>
      </c>
      <c r="P74" s="111"/>
    </row>
    <row r="75" spans="2:16" s="5" customFormat="1" ht="12.75" customHeight="1">
      <c r="B75" s="108">
        <f>C75+E75</f>
        <v>3000</v>
      </c>
      <c r="C75" s="108">
        <f>D75/100*E75</f>
        <v>0</v>
      </c>
      <c r="D75" s="109">
        <v>0</v>
      </c>
      <c r="E75" s="108">
        <f>H75*J75*IF(AND(K75&lt;&gt;0,NOT(ISBLANK(K75))),K75,1)*IF(AND(M75&lt;&gt;0,NOT(ISBLANK(M75))),M75,1)*IF(AND(O75&lt;&gt;0,NOT(ISBLANK(O75))),O75,1)</f>
        <v>3000</v>
      </c>
      <c r="F75" s="110" t="s">
        <v>27</v>
      </c>
      <c r="G75" s="111" t="s">
        <v>138</v>
      </c>
      <c r="H75" s="108">
        <v>300</v>
      </c>
      <c r="I75" s="108" t="s">
        <v>140</v>
      </c>
      <c r="J75" s="108">
        <v>1</v>
      </c>
      <c r="K75" s="108">
        <v>2</v>
      </c>
      <c r="L75" s="108" t="s">
        <v>114</v>
      </c>
      <c r="M75" s="108">
        <v>5</v>
      </c>
      <c r="N75" s="108" t="s">
        <v>115</v>
      </c>
      <c r="O75" s="108">
        <v>1</v>
      </c>
      <c r="P75" s="111"/>
    </row>
    <row r="76" spans="2:16" s="5" customFormat="1" ht="12.75" customHeight="1">
      <c r="B76" s="108"/>
      <c r="C76" s="108"/>
      <c r="D76" s="109"/>
      <c r="E76" s="108"/>
      <c r="F76" s="110"/>
      <c r="G76" s="111"/>
      <c r="H76" s="108"/>
      <c r="I76" s="108"/>
      <c r="J76" s="108"/>
      <c r="K76" s="108"/>
      <c r="L76" s="108"/>
      <c r="M76" s="108"/>
      <c r="N76" s="108"/>
      <c r="O76" s="108"/>
      <c r="P76" s="111"/>
    </row>
    <row r="77" spans="2:16" s="4" customFormat="1" ht="12.75" customHeight="1">
      <c r="B77" s="106">
        <f>B78+B81+B84+B89+B97+B99+B101</f>
        <v>398471</v>
      </c>
      <c r="C77" s="106">
        <f>C78+C81+C84+C89+C97+C99+C101</f>
        <v>55921</v>
      </c>
      <c r="D77" s="106"/>
      <c r="E77" s="106">
        <f>E78+E81+E84+E89+E97+E99+E101</f>
        <v>342550</v>
      </c>
      <c r="F77" s="112" t="s">
        <v>31</v>
      </c>
      <c r="G77" s="113" t="s">
        <v>99</v>
      </c>
      <c r="H77" s="106"/>
      <c r="I77" s="106"/>
      <c r="J77" s="106"/>
      <c r="K77" s="106"/>
      <c r="L77" s="106"/>
      <c r="M77" s="106"/>
      <c r="N77" s="106"/>
      <c r="O77" s="106"/>
      <c r="P77" s="113"/>
    </row>
    <row r="78" spans="2:16" s="4" customFormat="1" ht="12.75" customHeight="1">
      <c r="B78" s="106">
        <f>SUM(B79:B80)</f>
        <v>29000</v>
      </c>
      <c r="C78" s="106">
        <f>SUM(C79:C80)</f>
        <v>0</v>
      </c>
      <c r="D78" s="107"/>
      <c r="E78" s="106">
        <f>SUM(E79:E80)</f>
        <v>29000</v>
      </c>
      <c r="F78" s="112" t="s">
        <v>33</v>
      </c>
      <c r="G78" s="113" t="s">
        <v>155</v>
      </c>
      <c r="H78" s="106"/>
      <c r="I78" s="106"/>
      <c r="J78" s="106"/>
      <c r="K78" s="106"/>
      <c r="L78" s="106"/>
      <c r="M78" s="106"/>
      <c r="N78" s="106"/>
      <c r="O78" s="106"/>
      <c r="P78" s="113"/>
    </row>
    <row r="79" spans="2:16" s="5" customFormat="1" ht="12.75" customHeight="1">
      <c r="B79" s="108">
        <f>C79+E79</f>
        <v>11000</v>
      </c>
      <c r="C79" s="108">
        <f>D79/100*E79</f>
        <v>0</v>
      </c>
      <c r="D79" s="109">
        <v>0</v>
      </c>
      <c r="E79" s="108">
        <f>H79*J79*IF(AND(K79&lt;&gt;0,NOT(ISBLANK(K79))),K79,1)*IF(AND(M79&lt;&gt;0,NOT(ISBLANK(M79))),M79,1)*IF(AND(O79&lt;&gt;0,NOT(ISBLANK(O79))),O79,1)</f>
        <v>11000</v>
      </c>
      <c r="F79" s="110" t="s">
        <v>35</v>
      </c>
      <c r="G79" s="111" t="s">
        <v>153</v>
      </c>
      <c r="H79" s="108">
        <v>1100</v>
      </c>
      <c r="I79" s="108" t="s">
        <v>121</v>
      </c>
      <c r="J79" s="108">
        <v>10</v>
      </c>
      <c r="K79" s="108">
        <v>1</v>
      </c>
      <c r="L79" s="108"/>
      <c r="M79" s="108">
        <v>1</v>
      </c>
      <c r="N79" s="108"/>
      <c r="O79" s="108">
        <v>1</v>
      </c>
      <c r="P79" s="111"/>
    </row>
    <row r="80" spans="2:16" s="5" customFormat="1" ht="12.75" customHeight="1">
      <c r="B80" s="108">
        <f>C80+E80</f>
        <v>18000</v>
      </c>
      <c r="C80" s="108">
        <f>D80/100*E80</f>
        <v>0</v>
      </c>
      <c r="D80" s="109">
        <v>0</v>
      </c>
      <c r="E80" s="108">
        <f>H80*J80*IF(AND(K80&lt;&gt;0,NOT(ISBLANK(K80))),K80,1)*IF(AND(M80&lt;&gt;0,NOT(ISBLANK(M80))),M80,1)*IF(AND(O80&lt;&gt;0,NOT(ISBLANK(O80))),O80,1)</f>
        <v>18000</v>
      </c>
      <c r="F80" s="110" t="s">
        <v>36</v>
      </c>
      <c r="G80" s="111" t="s">
        <v>154</v>
      </c>
      <c r="H80" s="108">
        <v>1500</v>
      </c>
      <c r="I80" s="108" t="s">
        <v>124</v>
      </c>
      <c r="J80" s="108">
        <v>2</v>
      </c>
      <c r="K80" s="108">
        <v>3</v>
      </c>
      <c r="L80" s="108" t="s">
        <v>6</v>
      </c>
      <c r="M80" s="108">
        <v>2</v>
      </c>
      <c r="N80" s="108" t="s">
        <v>123</v>
      </c>
      <c r="O80" s="108">
        <v>1</v>
      </c>
      <c r="P80" s="111"/>
    </row>
    <row r="81" spans="2:16" s="5" customFormat="1" ht="12.75" customHeight="1">
      <c r="B81" s="106">
        <f>SUM(B82:B83)</f>
        <v>61950</v>
      </c>
      <c r="C81" s="106">
        <f>SUM(C82:C83)</f>
        <v>6950</v>
      </c>
      <c r="D81" s="107"/>
      <c r="E81" s="106">
        <f>SUM(E82:E83)</f>
        <v>55000</v>
      </c>
      <c r="F81" s="112" t="s">
        <v>41</v>
      </c>
      <c r="G81" s="113" t="s">
        <v>57</v>
      </c>
      <c r="H81" s="108"/>
      <c r="I81" s="108"/>
      <c r="J81" s="108"/>
      <c r="K81" s="108"/>
      <c r="L81" s="108"/>
      <c r="M81" s="108"/>
      <c r="N81" s="108"/>
      <c r="O81" s="108"/>
      <c r="P81" s="111"/>
    </row>
    <row r="82" spans="2:16" s="5" customFormat="1" ht="12.75" customHeight="1">
      <c r="B82" s="108">
        <f>C82+E82</f>
        <v>35700</v>
      </c>
      <c r="C82" s="108">
        <f>D82/100*E82</f>
        <v>5700</v>
      </c>
      <c r="D82" s="109">
        <v>19</v>
      </c>
      <c r="E82" s="108">
        <f>H82*J82*IF(AND(K82&lt;&gt;0,NOT(ISBLANK(K82))),K82,1)*IF(AND(M82&lt;&gt;0,NOT(ISBLANK(M82))),M82,1)*IF(AND(O82&lt;&gt;0,NOT(ISBLANK(O82))),O82,1)</f>
        <v>30000</v>
      </c>
      <c r="F82" s="110" t="s">
        <v>42</v>
      </c>
      <c r="G82" s="111" t="s">
        <v>56</v>
      </c>
      <c r="H82" s="108">
        <v>5000</v>
      </c>
      <c r="I82" s="108" t="s">
        <v>125</v>
      </c>
      <c r="J82" s="108">
        <v>3</v>
      </c>
      <c r="K82" s="108">
        <v>2</v>
      </c>
      <c r="L82" s="108" t="s">
        <v>126</v>
      </c>
      <c r="M82" s="108">
        <v>1</v>
      </c>
      <c r="N82" s="108"/>
      <c r="O82" s="108">
        <v>1</v>
      </c>
      <c r="P82" s="111"/>
    </row>
    <row r="83" spans="2:16" s="5" customFormat="1" ht="12.75" customHeight="1">
      <c r="B83" s="108">
        <f>C83+E83</f>
        <v>26250</v>
      </c>
      <c r="C83" s="108">
        <f>D83/100*E83</f>
        <v>1250</v>
      </c>
      <c r="D83" s="109">
        <v>5</v>
      </c>
      <c r="E83" s="108">
        <f>H83*J83*IF(AND(K83&lt;&gt;0,NOT(ISBLANK(K83))),K83,1)*IF(AND(M83&lt;&gt;0,NOT(ISBLANK(M83))),M83,1)*IF(AND(O83&lt;&gt;0,NOT(ISBLANK(O83))),O83,1)</f>
        <v>25000</v>
      </c>
      <c r="F83" s="110" t="s">
        <v>43</v>
      </c>
      <c r="G83" s="111" t="s">
        <v>57</v>
      </c>
      <c r="H83" s="108">
        <v>50</v>
      </c>
      <c r="I83" s="108" t="s">
        <v>127</v>
      </c>
      <c r="J83" s="108">
        <v>500</v>
      </c>
      <c r="K83" s="108">
        <v>1</v>
      </c>
      <c r="L83" s="108"/>
      <c r="M83" s="108">
        <v>1</v>
      </c>
      <c r="N83" s="108"/>
      <c r="O83" s="108">
        <v>1</v>
      </c>
      <c r="P83" s="111"/>
    </row>
    <row r="84" spans="2:16" s="5" customFormat="1" ht="12.75" customHeight="1">
      <c r="B84" s="106">
        <f>SUM(B85:B87)</f>
        <v>204680</v>
      </c>
      <c r="C84" s="106">
        <f>SUM(C85:C87)</f>
        <v>32680</v>
      </c>
      <c r="D84" s="107"/>
      <c r="E84" s="106">
        <f>SUM(E85:E87)</f>
        <v>172000</v>
      </c>
      <c r="F84" s="112" t="s">
        <v>44</v>
      </c>
      <c r="G84" s="113" t="s">
        <v>59</v>
      </c>
      <c r="H84" s="108"/>
      <c r="I84" s="108"/>
      <c r="J84" s="108"/>
      <c r="K84" s="108"/>
      <c r="L84" s="108"/>
      <c r="M84" s="108"/>
      <c r="N84" s="108"/>
      <c r="O84" s="108"/>
      <c r="P84" s="111"/>
    </row>
    <row r="85" spans="2:16" s="5" customFormat="1" ht="12.75" customHeight="1">
      <c r="B85" s="108">
        <f>C85+E85</f>
        <v>192780</v>
      </c>
      <c r="C85" s="108">
        <f>D85/100*E85</f>
        <v>30780</v>
      </c>
      <c r="D85" s="109">
        <v>19</v>
      </c>
      <c r="E85" s="108">
        <f>H85*J85*IF(AND(K85&lt;&gt;0,NOT(ISBLANK(K85))),K85,1)*IF(AND(M85&lt;&gt;0,NOT(ISBLANK(M85))),M85,1)*IF(AND(O85&lt;&gt;0,NOT(ISBLANK(O85))),O85,1)</f>
        <v>162000</v>
      </c>
      <c r="F85" s="110" t="s">
        <v>54</v>
      </c>
      <c r="G85" s="111" t="s">
        <v>128</v>
      </c>
      <c r="H85" s="108">
        <v>180</v>
      </c>
      <c r="I85" s="108" t="s">
        <v>130</v>
      </c>
      <c r="J85" s="108">
        <v>45</v>
      </c>
      <c r="K85" s="108">
        <v>20</v>
      </c>
      <c r="L85" s="108" t="s">
        <v>112</v>
      </c>
      <c r="M85" s="108">
        <v>1</v>
      </c>
      <c r="N85" s="108"/>
      <c r="O85" s="108">
        <v>1</v>
      </c>
      <c r="P85" s="111"/>
    </row>
    <row r="86" spans="2:16" s="5" customFormat="1" ht="12.75" customHeight="1">
      <c r="B86" s="108">
        <f>C86+E86</f>
        <v>0</v>
      </c>
      <c r="C86" s="108">
        <f>D86/100*E86</f>
        <v>0</v>
      </c>
      <c r="D86" s="109">
        <v>19</v>
      </c>
      <c r="E86" s="108">
        <f>H86*J86*IF(AND(K86&lt;&gt;0,NOT(ISBLANK(K86))),K86,1)*IF(AND(M86&lt;&gt;0,NOT(ISBLANK(M86))),M86,1)*IF(AND(O86&lt;&gt;0,NOT(ISBLANK(O86))),O86,1)</f>
        <v>0</v>
      </c>
      <c r="F86" s="110" t="s">
        <v>55</v>
      </c>
      <c r="G86" s="111" t="s">
        <v>59</v>
      </c>
      <c r="H86" s="108">
        <v>0</v>
      </c>
      <c r="I86" s="108" t="s">
        <v>10</v>
      </c>
      <c r="J86" s="108">
        <v>1</v>
      </c>
      <c r="K86" s="108">
        <v>1</v>
      </c>
      <c r="L86" s="108"/>
      <c r="M86" s="108">
        <v>1</v>
      </c>
      <c r="N86" s="108"/>
      <c r="O86" s="108">
        <v>1</v>
      </c>
      <c r="P86" s="111"/>
    </row>
    <row r="87" spans="2:16" s="5" customFormat="1" ht="12.75" customHeight="1">
      <c r="B87" s="108">
        <f>C87+E87</f>
        <v>11900</v>
      </c>
      <c r="C87" s="108">
        <f>D87/100*E87</f>
        <v>1900</v>
      </c>
      <c r="D87" s="109">
        <v>19</v>
      </c>
      <c r="E87" s="108">
        <f>H87*J87*IF(AND(K87&lt;&gt;0,NOT(ISBLANK(K87))),K87,1)*IF(AND(M87&lt;&gt;0,NOT(ISBLANK(M87))),M87,1)*IF(AND(O87&lt;&gt;0,NOT(ISBLANK(O87))),O87,1)</f>
        <v>10000</v>
      </c>
      <c r="F87" s="110" t="s">
        <v>160</v>
      </c>
      <c r="G87" s="111" t="s">
        <v>61</v>
      </c>
      <c r="H87" s="108">
        <v>10000</v>
      </c>
      <c r="I87" s="108" t="s">
        <v>10</v>
      </c>
      <c r="J87" s="108">
        <v>1</v>
      </c>
      <c r="K87" s="108">
        <v>1</v>
      </c>
      <c r="L87" s="108"/>
      <c r="M87" s="108">
        <v>1</v>
      </c>
      <c r="N87" s="108"/>
      <c r="O87" s="108">
        <v>1</v>
      </c>
      <c r="P87" s="111"/>
    </row>
    <row r="88" spans="2:16" s="5" customFormat="1" ht="12.75" customHeight="1">
      <c r="B88" s="108"/>
      <c r="C88" s="108"/>
      <c r="D88" s="109"/>
      <c r="E88" s="108"/>
      <c r="F88" s="110"/>
      <c r="G88" s="111"/>
      <c r="H88" s="108"/>
      <c r="I88" s="108"/>
      <c r="J88" s="108"/>
      <c r="K88" s="108"/>
      <c r="L88" s="108"/>
      <c r="M88" s="108"/>
      <c r="N88" s="108"/>
      <c r="O88" s="108"/>
      <c r="P88" s="111"/>
    </row>
    <row r="89" spans="2:16" s="4" customFormat="1" ht="12.75" customHeight="1">
      <c r="B89" s="106">
        <f>SUM(B90:B96)</f>
        <v>99435</v>
      </c>
      <c r="C89" s="106">
        <f>SUM(C90:C96)</f>
        <v>15835</v>
      </c>
      <c r="D89" s="107"/>
      <c r="E89" s="106">
        <f>SUM(E90:E96)</f>
        <v>83600</v>
      </c>
      <c r="F89" s="112" t="s">
        <v>45</v>
      </c>
      <c r="G89" s="113" t="s">
        <v>148</v>
      </c>
      <c r="H89" s="106"/>
      <c r="I89" s="106"/>
      <c r="J89" s="106"/>
      <c r="K89" s="106"/>
      <c r="L89" s="106"/>
      <c r="M89" s="106"/>
      <c r="N89" s="106"/>
      <c r="O89" s="106"/>
      <c r="P89" s="113"/>
    </row>
    <row r="90" spans="2:16" s="5" customFormat="1" ht="12.75" customHeight="1">
      <c r="B90" s="108">
        <f aca="true" t="shared" si="7" ref="B90:B95">C90+E90</f>
        <v>35700</v>
      </c>
      <c r="C90" s="108">
        <f aca="true" t="shared" si="8" ref="C90:C95">D90/100*E90</f>
        <v>5700</v>
      </c>
      <c r="D90" s="109">
        <v>19</v>
      </c>
      <c r="E90" s="108">
        <f>H90*J90*IF(AND(K90&lt;&gt;0,NOT(ISBLANK(K90))),K90,1)*IF(AND(M90&lt;&gt;0,NOT(ISBLANK(M90))),M90,1)*IF(AND(O90&lt;&gt;0,NOT(ISBLANK(O90))),O90,1)</f>
        <v>30000</v>
      </c>
      <c r="F90" s="110" t="s">
        <v>58</v>
      </c>
      <c r="G90" s="111" t="s">
        <v>37</v>
      </c>
      <c r="H90" s="108">
        <v>1500</v>
      </c>
      <c r="I90" s="108" t="s">
        <v>4</v>
      </c>
      <c r="J90" s="108">
        <v>20</v>
      </c>
      <c r="K90" s="108">
        <v>1</v>
      </c>
      <c r="L90" s="108"/>
      <c r="M90" s="108">
        <v>1</v>
      </c>
      <c r="N90" s="108"/>
      <c r="O90" s="108">
        <v>1</v>
      </c>
      <c r="P90" s="111"/>
    </row>
    <row r="91" spans="2:16" s="5" customFormat="1" ht="12.75" customHeight="1">
      <c r="B91" s="108">
        <f t="shared" si="7"/>
        <v>367.5</v>
      </c>
      <c r="C91" s="108">
        <f t="shared" si="8"/>
        <v>17.5</v>
      </c>
      <c r="D91" s="109">
        <v>5</v>
      </c>
      <c r="E91" s="108">
        <v>350</v>
      </c>
      <c r="F91" s="110" t="s">
        <v>60</v>
      </c>
      <c r="G91" s="111" t="s">
        <v>38</v>
      </c>
      <c r="H91" s="108">
        <v>1000</v>
      </c>
      <c r="I91" s="108" t="s">
        <v>4</v>
      </c>
      <c r="J91" s="108">
        <v>20</v>
      </c>
      <c r="K91" s="108">
        <v>1</v>
      </c>
      <c r="L91" s="108"/>
      <c r="M91" s="108">
        <v>1</v>
      </c>
      <c r="N91" s="108"/>
      <c r="O91" s="108">
        <v>1</v>
      </c>
      <c r="P91" s="111"/>
    </row>
    <row r="92" spans="2:16" s="5" customFormat="1" ht="12.75" customHeight="1">
      <c r="B92" s="108">
        <f t="shared" si="7"/>
        <v>7140</v>
      </c>
      <c r="C92" s="108">
        <f t="shared" si="8"/>
        <v>1140</v>
      </c>
      <c r="D92" s="109">
        <v>19</v>
      </c>
      <c r="E92" s="108">
        <f>H92*J92*IF(AND(K92&lt;&gt;0,NOT(ISBLANK(K92))),K92,1)*IF(AND(M92&lt;&gt;0,NOT(ISBLANK(M92))),M92,1)*IF(AND(O92&lt;&gt;0,NOT(ISBLANK(O92))),O92,1)</f>
        <v>6000</v>
      </c>
      <c r="F92" s="110" t="s">
        <v>129</v>
      </c>
      <c r="G92" s="111" t="s">
        <v>146</v>
      </c>
      <c r="H92" s="108">
        <v>12</v>
      </c>
      <c r="I92" s="108" t="s">
        <v>5</v>
      </c>
      <c r="J92" s="108">
        <v>100</v>
      </c>
      <c r="K92" s="108">
        <v>5</v>
      </c>
      <c r="L92" s="108" t="s">
        <v>152</v>
      </c>
      <c r="M92" s="108">
        <v>1</v>
      </c>
      <c r="N92" s="108"/>
      <c r="O92" s="108">
        <v>1</v>
      </c>
      <c r="P92" s="111"/>
    </row>
    <row r="93" spans="2:16" s="5" customFormat="1" ht="12.75" customHeight="1">
      <c r="B93" s="108">
        <f t="shared" si="7"/>
        <v>12495</v>
      </c>
      <c r="C93" s="108">
        <f t="shared" si="8"/>
        <v>1995</v>
      </c>
      <c r="D93" s="109">
        <v>19</v>
      </c>
      <c r="E93" s="108">
        <f>H93*J93*IF(AND(K93&lt;&gt;0,NOT(ISBLANK(K93))),K93,1)*IF(AND(M93&lt;&gt;0,NOT(ISBLANK(M93))),M93,1)*IF(AND(O93&lt;&gt;0,NOT(ISBLANK(O93))),O93,1)</f>
        <v>10500</v>
      </c>
      <c r="F93" s="110" t="s">
        <v>161</v>
      </c>
      <c r="G93" s="111" t="s">
        <v>150</v>
      </c>
      <c r="H93" s="108">
        <v>300</v>
      </c>
      <c r="I93" s="108" t="s">
        <v>122</v>
      </c>
      <c r="J93" s="108">
        <v>7</v>
      </c>
      <c r="K93" s="108">
        <v>5</v>
      </c>
      <c r="L93" s="108" t="s">
        <v>152</v>
      </c>
      <c r="M93" s="108">
        <v>1</v>
      </c>
      <c r="N93" s="108"/>
      <c r="O93" s="108">
        <v>1</v>
      </c>
      <c r="P93" s="111"/>
    </row>
    <row r="94" spans="2:16" s="5" customFormat="1" ht="12.75" customHeight="1">
      <c r="B94" s="108">
        <f t="shared" si="7"/>
        <v>10412.5</v>
      </c>
      <c r="C94" s="108">
        <f t="shared" si="8"/>
        <v>1662.5</v>
      </c>
      <c r="D94" s="109">
        <v>19</v>
      </c>
      <c r="E94" s="108">
        <f>H94*J94*IF(AND(K94&lt;&gt;0,NOT(ISBLANK(K94))),K94,1)*IF(AND(M94&lt;&gt;0,NOT(ISBLANK(M94))),M94,1)*IF(AND(O94&lt;&gt;0,NOT(ISBLANK(O94))),O94,1)</f>
        <v>8750</v>
      </c>
      <c r="F94" s="110" t="s">
        <v>162</v>
      </c>
      <c r="G94" s="111" t="s">
        <v>151</v>
      </c>
      <c r="H94" s="108">
        <v>250</v>
      </c>
      <c r="I94" s="108" t="s">
        <v>124</v>
      </c>
      <c r="J94" s="108">
        <v>7</v>
      </c>
      <c r="K94" s="108">
        <v>5</v>
      </c>
      <c r="L94" s="108" t="s">
        <v>152</v>
      </c>
      <c r="M94" s="108">
        <v>1</v>
      </c>
      <c r="N94" s="108"/>
      <c r="O94" s="108">
        <v>1</v>
      </c>
      <c r="P94" s="111"/>
    </row>
    <row r="95" spans="2:16" s="5" customFormat="1" ht="12.75" customHeight="1">
      <c r="B95" s="108">
        <f t="shared" si="7"/>
        <v>33320</v>
      </c>
      <c r="C95" s="108">
        <f t="shared" si="8"/>
        <v>5320</v>
      </c>
      <c r="D95" s="109">
        <v>19</v>
      </c>
      <c r="E95" s="108">
        <f>H95*J95*IF(AND(K95&lt;&gt;0,NOT(ISBLANK(K95))),K95,1)*IF(AND(M95&lt;&gt;0,NOT(ISBLANK(M95))),M95,1)*IF(AND(O95&lt;&gt;0,NOT(ISBLANK(O95))),O95,1)</f>
        <v>28000</v>
      </c>
      <c r="F95" s="110" t="s">
        <v>163</v>
      </c>
      <c r="G95" s="111" t="s">
        <v>39</v>
      </c>
      <c r="H95" s="108">
        <v>800</v>
      </c>
      <c r="I95" s="108" t="s">
        <v>124</v>
      </c>
      <c r="J95" s="108">
        <v>7</v>
      </c>
      <c r="K95" s="108">
        <v>5</v>
      </c>
      <c r="L95" s="108" t="s">
        <v>152</v>
      </c>
      <c r="M95" s="108">
        <v>1</v>
      </c>
      <c r="N95" s="108"/>
      <c r="O95" s="108">
        <v>1</v>
      </c>
      <c r="P95" s="111"/>
    </row>
    <row r="96" spans="2:16" s="5" customFormat="1" ht="12.75" customHeight="1">
      <c r="B96" s="108"/>
      <c r="C96" s="108"/>
      <c r="D96" s="109"/>
      <c r="E96" s="108"/>
      <c r="F96" s="110"/>
      <c r="G96" s="111"/>
      <c r="H96" s="108"/>
      <c r="I96" s="108"/>
      <c r="J96" s="108"/>
      <c r="K96" s="108"/>
      <c r="L96" s="108"/>
      <c r="M96" s="108"/>
      <c r="N96" s="108"/>
      <c r="O96" s="108"/>
      <c r="P96" s="111"/>
    </row>
    <row r="97" spans="2:30" s="4" customFormat="1" ht="12.75" customHeight="1">
      <c r="B97" s="106">
        <f>SUM(B98:B98)</f>
        <v>2856</v>
      </c>
      <c r="C97" s="106">
        <f>SUM(C98:C98)</f>
        <v>456</v>
      </c>
      <c r="D97" s="107"/>
      <c r="E97" s="106">
        <f>SUM(E98:E98)</f>
        <v>2400</v>
      </c>
      <c r="F97" s="112" t="s">
        <v>47</v>
      </c>
      <c r="G97" s="113" t="s">
        <v>40</v>
      </c>
      <c r="H97" s="108"/>
      <c r="I97" s="108"/>
      <c r="J97" s="108"/>
      <c r="K97" s="108"/>
      <c r="L97" s="108"/>
      <c r="M97" s="108"/>
      <c r="N97" s="108"/>
      <c r="O97" s="108"/>
      <c r="P97" s="111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2:16" s="5" customFormat="1" ht="12.75" customHeight="1">
      <c r="B98" s="108">
        <f>C98+E98</f>
        <v>2856</v>
      </c>
      <c r="C98" s="108">
        <f>D98/100*E98</f>
        <v>456</v>
      </c>
      <c r="D98" s="109">
        <v>19</v>
      </c>
      <c r="E98" s="108">
        <f>H98*J98*IF(AND(K98&lt;&gt;0,NOT(ISBLANK(K98))),K98,1)*IF(AND(M98&lt;&gt;0,NOT(ISBLANK(M98))),M98,1)*IF(AND(O98&lt;&gt;0,NOT(ISBLANK(O98))),O98,1)</f>
        <v>2400</v>
      </c>
      <c r="F98" s="110" t="s">
        <v>62</v>
      </c>
      <c r="G98" s="111" t="s">
        <v>40</v>
      </c>
      <c r="H98" s="108">
        <v>200</v>
      </c>
      <c r="I98" s="108" t="s">
        <v>120</v>
      </c>
      <c r="J98" s="108">
        <v>12</v>
      </c>
      <c r="K98" s="108">
        <v>1</v>
      </c>
      <c r="L98" s="108"/>
      <c r="M98" s="108">
        <v>1</v>
      </c>
      <c r="N98" s="108"/>
      <c r="O98" s="108">
        <v>1</v>
      </c>
      <c r="P98" s="111"/>
    </row>
    <row r="99" spans="2:30" s="4" customFormat="1" ht="12.75" customHeight="1">
      <c r="B99" s="106">
        <f>B100</f>
        <v>0</v>
      </c>
      <c r="C99" s="106">
        <f>C100</f>
        <v>0</v>
      </c>
      <c r="D99" s="107"/>
      <c r="E99" s="106">
        <f>E100</f>
        <v>0</v>
      </c>
      <c r="F99" s="112" t="s">
        <v>48</v>
      </c>
      <c r="G99" s="113" t="s">
        <v>91</v>
      </c>
      <c r="H99" s="108"/>
      <c r="I99" s="108"/>
      <c r="J99" s="108"/>
      <c r="K99" s="108"/>
      <c r="L99" s="108"/>
      <c r="M99" s="108"/>
      <c r="N99" s="108"/>
      <c r="O99" s="108"/>
      <c r="P99" s="111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2:16" s="5" customFormat="1" ht="12.75" customHeight="1">
      <c r="B100" s="108">
        <f>C100+E100</f>
        <v>0</v>
      </c>
      <c r="C100" s="108">
        <f>D100/100*E100</f>
        <v>0</v>
      </c>
      <c r="D100" s="109"/>
      <c r="E100" s="108">
        <f>H100*J100*IF(AND(K100&lt;&gt;0,NOT(ISBLANK(K100))),K100,1)*IF(AND(M100&lt;&gt;0,NOT(ISBLANK(M100))),M100,1)*IF(AND(O100&lt;&gt;0,NOT(ISBLANK(O100))),O100,1)</f>
        <v>0</v>
      </c>
      <c r="F100" s="110" t="s">
        <v>92</v>
      </c>
      <c r="G100" s="111" t="s">
        <v>91</v>
      </c>
      <c r="H100" s="108">
        <v>0</v>
      </c>
      <c r="I100" s="108" t="s">
        <v>10</v>
      </c>
      <c r="J100" s="108">
        <v>1</v>
      </c>
      <c r="K100" s="108">
        <v>1</v>
      </c>
      <c r="L100" s="108"/>
      <c r="M100" s="108">
        <v>1</v>
      </c>
      <c r="N100" s="108"/>
      <c r="O100" s="108">
        <v>1</v>
      </c>
      <c r="P100" s="111"/>
    </row>
    <row r="101" spans="2:30" s="4" customFormat="1" ht="12.75" customHeight="1">
      <c r="B101" s="106">
        <f>SUM(B102:B104)</f>
        <v>550</v>
      </c>
      <c r="C101" s="106">
        <f>SUM(C102:C104)</f>
        <v>0</v>
      </c>
      <c r="D101" s="106"/>
      <c r="E101" s="106">
        <f>SUM(E102:E104)</f>
        <v>550</v>
      </c>
      <c r="F101" s="112" t="s">
        <v>93</v>
      </c>
      <c r="G101" s="113" t="s">
        <v>142</v>
      </c>
      <c r="H101" s="108"/>
      <c r="I101" s="108"/>
      <c r="J101" s="108"/>
      <c r="K101" s="108"/>
      <c r="L101" s="108"/>
      <c r="M101" s="108"/>
      <c r="N101" s="108"/>
      <c r="O101" s="108"/>
      <c r="P101" s="111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2:16" s="5" customFormat="1" ht="12.75" customHeight="1">
      <c r="B102" s="108">
        <f>C102+E102</f>
        <v>550</v>
      </c>
      <c r="C102" s="108">
        <f>D102/100*E102</f>
        <v>0</v>
      </c>
      <c r="D102" s="109">
        <v>0</v>
      </c>
      <c r="E102" s="108">
        <f>H102*J102*IF(AND(K102&lt;&gt;0,NOT(ISBLANK(K102))),K102,1)*IF(AND(M102&lt;&gt;0,NOT(ISBLANK(M102))),M102,1)*IF(AND(O102&lt;&gt;0,NOT(ISBLANK(O102))),O102,1)</f>
        <v>550</v>
      </c>
      <c r="F102" s="110" t="s">
        <v>94</v>
      </c>
      <c r="G102" s="111" t="s">
        <v>149</v>
      </c>
      <c r="H102" s="108">
        <v>550</v>
      </c>
      <c r="I102" s="108" t="s">
        <v>10</v>
      </c>
      <c r="J102" s="108">
        <v>1</v>
      </c>
      <c r="K102" s="108">
        <v>1</v>
      </c>
      <c r="L102" s="108"/>
      <c r="M102" s="108">
        <v>1</v>
      </c>
      <c r="N102" s="108"/>
      <c r="O102" s="108">
        <v>1</v>
      </c>
      <c r="P102" s="111"/>
    </row>
    <row r="103" spans="2:16" s="5" customFormat="1" ht="12.75" customHeight="1">
      <c r="B103" s="108">
        <f>C103+E103</f>
        <v>0</v>
      </c>
      <c r="C103" s="108">
        <f>D103/100*E103</f>
        <v>0</v>
      </c>
      <c r="D103" s="109">
        <v>19</v>
      </c>
      <c r="E103" s="108">
        <f>H103*J103*IF(AND(K103&lt;&gt;0,NOT(ISBLANK(K103))),K103,1)*IF(AND(M103&lt;&gt;0,NOT(ISBLANK(M103))),M103,1)*IF(AND(O103&lt;&gt;0,NOT(ISBLANK(O103))),O103,1)</f>
        <v>0</v>
      </c>
      <c r="F103" s="110" t="s">
        <v>147</v>
      </c>
      <c r="G103" s="111" t="s">
        <v>63</v>
      </c>
      <c r="H103" s="108"/>
      <c r="I103" s="108"/>
      <c r="J103" s="108"/>
      <c r="K103" s="108"/>
      <c r="L103" s="108"/>
      <c r="M103" s="108"/>
      <c r="N103" s="108"/>
      <c r="O103" s="108"/>
      <c r="P103" s="111"/>
    </row>
    <row r="104" spans="2:30" s="4" customFormat="1" ht="12.75" customHeight="1">
      <c r="B104" s="108"/>
      <c r="C104" s="108"/>
      <c r="D104" s="107"/>
      <c r="E104" s="108"/>
      <c r="F104" s="112"/>
      <c r="G104" s="113"/>
      <c r="H104" s="108"/>
      <c r="I104" s="108"/>
      <c r="J104" s="108"/>
      <c r="K104" s="108"/>
      <c r="L104" s="108"/>
      <c r="M104" s="108"/>
      <c r="N104" s="108"/>
      <c r="O104" s="108"/>
      <c r="P104" s="111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2:16" s="4" customFormat="1" ht="12.75" customHeight="1">
      <c r="B105" s="106">
        <f>SUM(B106:B107)</f>
        <v>23057.25</v>
      </c>
      <c r="C105" s="106">
        <f>SUM(C106:C107)</f>
        <v>0</v>
      </c>
      <c r="D105" s="107"/>
      <c r="E105" s="106">
        <f>SUM(E106:E107)</f>
        <v>23057.25</v>
      </c>
      <c r="F105" s="112" t="s">
        <v>101</v>
      </c>
      <c r="G105" s="113" t="s">
        <v>95</v>
      </c>
      <c r="H105" s="106" t="s">
        <v>180</v>
      </c>
      <c r="I105" s="106"/>
      <c r="J105" s="106"/>
      <c r="K105" s="106"/>
      <c r="L105" s="106"/>
      <c r="M105" s="106"/>
      <c r="N105" s="106"/>
      <c r="O105" s="106"/>
      <c r="P105" s="113"/>
    </row>
    <row r="106" spans="2:16" s="5" customFormat="1" ht="12.75" customHeight="1">
      <c r="B106" s="108">
        <f>C106+E106</f>
        <v>16237.5</v>
      </c>
      <c r="C106" s="108"/>
      <c r="D106" s="109"/>
      <c r="E106" s="108">
        <f>H106/100*(E64+E72)</f>
        <v>16237.5</v>
      </c>
      <c r="F106" s="110" t="s">
        <v>103</v>
      </c>
      <c r="G106" s="111" t="s">
        <v>29</v>
      </c>
      <c r="H106" s="108">
        <v>5</v>
      </c>
      <c r="I106" s="108" t="s">
        <v>177</v>
      </c>
      <c r="J106" s="108"/>
      <c r="K106" s="108"/>
      <c r="L106" s="108"/>
      <c r="M106" s="108"/>
      <c r="N106" s="108"/>
      <c r="O106" s="108"/>
      <c r="P106" s="111"/>
    </row>
    <row r="107" spans="2:16" s="5" customFormat="1" ht="12.75" customHeight="1">
      <c r="B107" s="108">
        <f>C107+E107</f>
        <v>6819.75</v>
      </c>
      <c r="C107" s="108"/>
      <c r="D107" s="109"/>
      <c r="E107" s="108">
        <f>H107/100*(E64+E72+E106)</f>
        <v>6819.75</v>
      </c>
      <c r="F107" s="110" t="s">
        <v>104</v>
      </c>
      <c r="G107" s="111" t="s">
        <v>30</v>
      </c>
      <c r="H107" s="108">
        <v>2</v>
      </c>
      <c r="I107" s="108" t="s">
        <v>176</v>
      </c>
      <c r="J107" s="108"/>
      <c r="K107" s="108"/>
      <c r="L107" s="108"/>
      <c r="M107" s="108"/>
      <c r="N107" s="108"/>
      <c r="O107" s="108"/>
      <c r="P107" s="111"/>
    </row>
    <row r="108" spans="2:16" s="36" customFormat="1" ht="12.75" customHeight="1">
      <c r="B108" s="34">
        <f>C108+E108</f>
        <v>5114.8125</v>
      </c>
      <c r="C108" s="34"/>
      <c r="D108" s="37"/>
      <c r="E108" s="34">
        <f>H108/100*(E64+E72+E106)</f>
        <v>5114.8125</v>
      </c>
      <c r="F108" s="38" t="s">
        <v>105</v>
      </c>
      <c r="G108" s="39" t="s">
        <v>1</v>
      </c>
      <c r="H108" s="34">
        <v>1.5</v>
      </c>
      <c r="I108" s="34" t="s">
        <v>2</v>
      </c>
      <c r="J108" s="34"/>
      <c r="K108" s="34"/>
      <c r="L108" s="34"/>
      <c r="M108" s="34"/>
      <c r="N108" s="34"/>
      <c r="O108" s="34"/>
      <c r="P108" s="35"/>
    </row>
    <row r="109" spans="2:16" s="4" customFormat="1" ht="12.75" customHeight="1">
      <c r="B109" s="106">
        <f>SUM(B110:B112)</f>
        <v>31416</v>
      </c>
      <c r="C109" s="106">
        <f>SUM(C110:C112)</f>
        <v>5016</v>
      </c>
      <c r="D109" s="107"/>
      <c r="E109" s="106">
        <f>SUM(E110:E112)</f>
        <v>26400</v>
      </c>
      <c r="F109" s="112" t="s">
        <v>49</v>
      </c>
      <c r="G109" s="113" t="s">
        <v>50</v>
      </c>
      <c r="H109" s="106"/>
      <c r="I109" s="106"/>
      <c r="J109" s="106"/>
      <c r="K109" s="106"/>
      <c r="L109" s="106"/>
      <c r="M109" s="106"/>
      <c r="N109" s="106"/>
      <c r="O109" s="106"/>
      <c r="P109" s="113"/>
    </row>
    <row r="110" spans="2:16" s="5" customFormat="1" ht="12.75" customHeight="1">
      <c r="B110" s="108">
        <f>C110+E110</f>
        <v>1666</v>
      </c>
      <c r="C110" s="108">
        <f>D110/100*E110</f>
        <v>266</v>
      </c>
      <c r="D110" s="109">
        <v>19</v>
      </c>
      <c r="E110" s="108">
        <f>H110*J110*IF(AND(K110&lt;&gt;0,NOT(ISBLANK(K110))),K110,1)*IF(AND(M110&lt;&gt;0,NOT(ISBLANK(M110))),M110,1)*IF(AND(O110&lt;&gt;0,NOT(ISBLANK(O110))),O110,1)</f>
        <v>1400</v>
      </c>
      <c r="F110" s="110" t="s">
        <v>51</v>
      </c>
      <c r="G110" s="111" t="s">
        <v>144</v>
      </c>
      <c r="H110" s="108">
        <v>350</v>
      </c>
      <c r="I110" s="108" t="s">
        <v>143</v>
      </c>
      <c r="J110" s="108">
        <v>2</v>
      </c>
      <c r="K110" s="108">
        <v>1</v>
      </c>
      <c r="L110" s="108"/>
      <c r="M110" s="108">
        <v>2</v>
      </c>
      <c r="N110" s="108" t="s">
        <v>6</v>
      </c>
      <c r="O110" s="108">
        <v>1</v>
      </c>
      <c r="P110" s="111"/>
    </row>
    <row r="111" spans="2:16" s="5" customFormat="1" ht="12.75" customHeight="1">
      <c r="B111" s="108">
        <f>C111+E111</f>
        <v>29750</v>
      </c>
      <c r="C111" s="108">
        <f>D111/100*E111</f>
        <v>4750</v>
      </c>
      <c r="D111" s="109">
        <v>19</v>
      </c>
      <c r="E111" s="108">
        <f>H111*J111*IF(AND(K111&lt;&gt;0,NOT(ISBLANK(K111))),K111,1)*IF(AND(M111&lt;&gt;0,NOT(ISBLANK(M111))),M111,1)*IF(AND(O111&lt;&gt;0,NOT(ISBLANK(O111))),O111,1)</f>
        <v>25000</v>
      </c>
      <c r="F111" s="110" t="s">
        <v>52</v>
      </c>
      <c r="G111" s="111" t="s">
        <v>145</v>
      </c>
      <c r="H111" s="108">
        <v>5000</v>
      </c>
      <c r="I111" s="108" t="s">
        <v>10</v>
      </c>
      <c r="J111" s="108">
        <v>1</v>
      </c>
      <c r="K111" s="108">
        <v>5</v>
      </c>
      <c r="L111" s="108" t="s">
        <v>132</v>
      </c>
      <c r="M111" s="108">
        <v>1</v>
      </c>
      <c r="N111" s="108"/>
      <c r="O111" s="108">
        <v>1</v>
      </c>
      <c r="P111" s="111"/>
    </row>
    <row r="112" spans="2:16" s="5" customFormat="1" ht="12.75" customHeight="1">
      <c r="B112" s="108">
        <f>C112+E112</f>
        <v>0</v>
      </c>
      <c r="C112" s="108">
        <f>D112/100*E112</f>
        <v>0</v>
      </c>
      <c r="D112" s="109"/>
      <c r="E112" s="108">
        <f>H112*J112*IF(AND(K112&lt;&gt;0,NOT(ISBLANK(K112))),K112,1)*IF(AND(M112&lt;&gt;0,NOT(ISBLANK(M112))),M112,1)*IF(AND(O112&lt;&gt;0,NOT(ISBLANK(O112))),O112,1)</f>
        <v>0</v>
      </c>
      <c r="F112" s="110"/>
      <c r="G112" s="111"/>
      <c r="H112" s="108"/>
      <c r="I112" s="108"/>
      <c r="J112" s="108"/>
      <c r="K112" s="108"/>
      <c r="L112" s="108"/>
      <c r="M112" s="108"/>
      <c r="N112" s="108"/>
      <c r="O112" s="108"/>
      <c r="P112" s="111"/>
    </row>
    <row r="113" spans="2:15" s="5" customFormat="1" ht="12.75" customHeight="1">
      <c r="B113" s="6"/>
      <c r="C113" s="6"/>
      <c r="D113" s="20"/>
      <c r="E113" s="6"/>
      <c r="F113" s="8"/>
      <c r="H113" s="6"/>
      <c r="I113" s="6"/>
      <c r="J113" s="6"/>
      <c r="K113" s="6"/>
      <c r="L113" s="6"/>
      <c r="M113" s="6"/>
      <c r="N113" s="6"/>
      <c r="O113" s="6"/>
    </row>
    <row r="114" spans="2:4" ht="12.75">
      <c r="B114" s="10"/>
      <c r="C114" s="10"/>
      <c r="D114" s="21"/>
    </row>
    <row r="115" spans="2:4" ht="12.75">
      <c r="B115" s="10"/>
      <c r="C115" s="10"/>
      <c r="D115" s="21"/>
    </row>
    <row r="116" spans="2:4" ht="12.75">
      <c r="B116" s="10"/>
      <c r="C116" s="10"/>
      <c r="D116" s="21"/>
    </row>
    <row r="117" spans="2:4" ht="12.75">
      <c r="B117" s="10"/>
      <c r="C117" s="10"/>
      <c r="D117" s="21"/>
    </row>
    <row r="118" spans="2:4" ht="12.75">
      <c r="B118" s="10"/>
      <c r="C118" s="10"/>
      <c r="D118" s="21"/>
    </row>
    <row r="119" spans="2:4" ht="12.75">
      <c r="B119" s="10"/>
      <c r="C119" s="10"/>
      <c r="D119" s="21"/>
    </row>
    <row r="120" spans="2:4" ht="12.75">
      <c r="B120" s="10"/>
      <c r="C120" s="10"/>
      <c r="D120" s="21"/>
    </row>
    <row r="121" spans="2:4" ht="12.75">
      <c r="B121" s="10"/>
      <c r="C121" s="10"/>
      <c r="D121" s="21"/>
    </row>
    <row r="122" spans="2:4" ht="12.75">
      <c r="B122" s="10"/>
      <c r="C122" s="10"/>
      <c r="D122" s="21"/>
    </row>
    <row r="123" spans="2:4" ht="12.75">
      <c r="B123" s="10"/>
      <c r="C123" s="10"/>
      <c r="D123" s="21"/>
    </row>
    <row r="124" spans="2:4" ht="12.75">
      <c r="B124" s="10"/>
      <c r="C124" s="10"/>
      <c r="D124" s="21"/>
    </row>
    <row r="125" spans="2:4" ht="12.75">
      <c r="B125" s="10"/>
      <c r="C125" s="10"/>
      <c r="D125" s="21"/>
    </row>
    <row r="126" spans="2:4" ht="12.75">
      <c r="B126" s="10"/>
      <c r="C126" s="10"/>
      <c r="D126" s="21"/>
    </row>
    <row r="127" spans="2:4" ht="12.75">
      <c r="B127" s="10"/>
      <c r="C127" s="10"/>
      <c r="D127" s="21"/>
    </row>
    <row r="128" spans="2:4" ht="12.75">
      <c r="B128" s="10"/>
      <c r="C128" s="10"/>
      <c r="D128" s="21"/>
    </row>
    <row r="129" spans="2:4" ht="12.75">
      <c r="B129" s="10"/>
      <c r="C129" s="10"/>
      <c r="D129" s="21"/>
    </row>
    <row r="130" spans="2:4" ht="12.75">
      <c r="B130" s="10"/>
      <c r="C130" s="10"/>
      <c r="D130" s="21"/>
    </row>
    <row r="131" spans="2:4" ht="12.75">
      <c r="B131" s="10"/>
      <c r="C131" s="10"/>
      <c r="D131" s="21"/>
    </row>
    <row r="132" spans="2:4" ht="12.75">
      <c r="B132" s="10"/>
      <c r="C132" s="10"/>
      <c r="D132" s="21"/>
    </row>
    <row r="133" spans="2:4" ht="12.75">
      <c r="B133" s="10"/>
      <c r="C133" s="10"/>
      <c r="D133" s="21"/>
    </row>
    <row r="134" spans="2:4" ht="12.75">
      <c r="B134" s="10"/>
      <c r="C134" s="10"/>
      <c r="D134" s="21"/>
    </row>
    <row r="135" spans="2:4" ht="12.75">
      <c r="B135" s="10"/>
      <c r="C135" s="10"/>
      <c r="D135" s="21"/>
    </row>
    <row r="136" spans="2:4" ht="12.75">
      <c r="B136" s="10"/>
      <c r="C136" s="10"/>
      <c r="D136" s="21"/>
    </row>
    <row r="137" spans="2:4" ht="12.75">
      <c r="B137" s="10"/>
      <c r="C137" s="10"/>
      <c r="D137" s="21"/>
    </row>
    <row r="138" spans="2:4" ht="12.75">
      <c r="B138" s="10"/>
      <c r="C138" s="10"/>
      <c r="D138" s="21"/>
    </row>
    <row r="139" spans="2:4" ht="12.75">
      <c r="B139" s="10"/>
      <c r="C139" s="10"/>
      <c r="D139" s="21"/>
    </row>
    <row r="140" spans="2:4" ht="12.75">
      <c r="B140" s="10"/>
      <c r="C140" s="10"/>
      <c r="D140" s="21"/>
    </row>
    <row r="141" spans="2:4" ht="12.75">
      <c r="B141" s="10"/>
      <c r="C141" s="10"/>
      <c r="D141" s="21"/>
    </row>
    <row r="142" spans="2:4" ht="12.75">
      <c r="B142" s="10"/>
      <c r="C142" s="10"/>
      <c r="D142" s="21"/>
    </row>
    <row r="143" spans="2:4" ht="12.75">
      <c r="B143" s="10"/>
      <c r="C143" s="10"/>
      <c r="D143" s="21"/>
    </row>
    <row r="144" spans="2:4" ht="12.75">
      <c r="B144" s="10"/>
      <c r="C144" s="10"/>
      <c r="D144" s="21"/>
    </row>
    <row r="145" spans="2:4" ht="12.75">
      <c r="B145" s="10"/>
      <c r="C145" s="10"/>
      <c r="D145" s="21"/>
    </row>
    <row r="146" spans="2:4" ht="12.75">
      <c r="B146" s="10"/>
      <c r="C146" s="10"/>
      <c r="D146" s="21"/>
    </row>
    <row r="147" spans="2:4" ht="12.75">
      <c r="B147" s="10"/>
      <c r="C147" s="10"/>
      <c r="D147" s="21"/>
    </row>
    <row r="148" spans="2:4" ht="12.75">
      <c r="B148" s="10"/>
      <c r="C148" s="10"/>
      <c r="D148" s="21"/>
    </row>
    <row r="149" spans="2:4" ht="12.75">
      <c r="B149" s="10"/>
      <c r="C149" s="10"/>
      <c r="D149" s="21"/>
    </row>
    <row r="150" spans="2:4" ht="12.75">
      <c r="B150" s="10"/>
      <c r="C150" s="10"/>
      <c r="D150" s="21"/>
    </row>
    <row r="151" spans="2:4" ht="12.75">
      <c r="B151" s="10"/>
      <c r="C151" s="10"/>
      <c r="D151" s="21"/>
    </row>
    <row r="152" spans="2:4" ht="12.75">
      <c r="B152" s="10"/>
      <c r="C152" s="10"/>
      <c r="D152" s="21"/>
    </row>
    <row r="153" spans="2:4" ht="12.75">
      <c r="B153" s="10"/>
      <c r="C153" s="10"/>
      <c r="D153" s="21"/>
    </row>
    <row r="154" spans="2:4" ht="12.75">
      <c r="B154" s="10"/>
      <c r="C154" s="10"/>
      <c r="D154" s="21"/>
    </row>
    <row r="155" spans="2:4" ht="12.75">
      <c r="B155" s="10"/>
      <c r="C155" s="10"/>
      <c r="D155" s="21"/>
    </row>
    <row r="156" spans="2:4" ht="12.75">
      <c r="B156" s="10"/>
      <c r="C156" s="10"/>
      <c r="D156" s="21"/>
    </row>
    <row r="157" spans="2:4" ht="12.75">
      <c r="B157" s="10"/>
      <c r="C157" s="10"/>
      <c r="D157" s="21"/>
    </row>
    <row r="158" spans="2:4" ht="12.75">
      <c r="B158" s="10"/>
      <c r="C158" s="10"/>
      <c r="D158" s="21"/>
    </row>
    <row r="159" spans="2:4" ht="12.75">
      <c r="B159" s="10"/>
      <c r="C159" s="10"/>
      <c r="D159" s="21"/>
    </row>
    <row r="160" spans="2:4" ht="12.75">
      <c r="B160" s="10"/>
      <c r="C160" s="10"/>
      <c r="D160" s="21"/>
    </row>
    <row r="161" spans="2:4" ht="12.75">
      <c r="B161" s="10"/>
      <c r="C161" s="10"/>
      <c r="D161" s="21"/>
    </row>
    <row r="162" spans="2:4" ht="12.75">
      <c r="B162" s="10"/>
      <c r="C162" s="10"/>
      <c r="D162" s="21"/>
    </row>
    <row r="163" spans="2:4" ht="12.75">
      <c r="B163" s="10"/>
      <c r="C163" s="10"/>
      <c r="D163" s="21"/>
    </row>
    <row r="164" spans="2:4" ht="12.75">
      <c r="B164" s="10"/>
      <c r="C164" s="10"/>
      <c r="D164" s="21"/>
    </row>
    <row r="165" spans="2:4" ht="12.75">
      <c r="B165" s="10"/>
      <c r="C165" s="10"/>
      <c r="D165" s="21"/>
    </row>
    <row r="166" spans="2:4" ht="12.75">
      <c r="B166" s="10"/>
      <c r="C166" s="10"/>
      <c r="D166" s="21"/>
    </row>
    <row r="167" spans="2:4" ht="12.75">
      <c r="B167" s="10"/>
      <c r="C167" s="10"/>
      <c r="D167" s="21"/>
    </row>
    <row r="168" spans="2:4" ht="12.75">
      <c r="B168" s="10"/>
      <c r="C168" s="10"/>
      <c r="D168" s="21"/>
    </row>
    <row r="169" spans="2:4" ht="12.75">
      <c r="B169" s="10"/>
      <c r="C169" s="10"/>
      <c r="D169" s="21"/>
    </row>
    <row r="170" spans="2:4" ht="12.75">
      <c r="B170" s="10"/>
      <c r="C170" s="10"/>
      <c r="D170" s="21"/>
    </row>
    <row r="171" spans="2:4" ht="12.75">
      <c r="B171" s="10"/>
      <c r="C171" s="10"/>
      <c r="D171" s="21"/>
    </row>
    <row r="172" spans="2:4" ht="12.75">
      <c r="B172" s="10"/>
      <c r="C172" s="10"/>
      <c r="D172" s="21"/>
    </row>
    <row r="173" spans="2:4" ht="12.75">
      <c r="B173" s="10"/>
      <c r="C173" s="10"/>
      <c r="D173" s="21"/>
    </row>
    <row r="174" spans="2:4" ht="12.75">
      <c r="B174" s="10"/>
      <c r="C174" s="10"/>
      <c r="D174" s="21"/>
    </row>
    <row r="175" spans="2:4" ht="12.75">
      <c r="B175" s="10"/>
      <c r="C175" s="10"/>
      <c r="D175" s="21"/>
    </row>
    <row r="176" spans="2:4" ht="12.75">
      <c r="B176" s="10"/>
      <c r="C176" s="10"/>
      <c r="D176" s="21"/>
    </row>
    <row r="177" spans="2:4" ht="12.75">
      <c r="B177" s="10"/>
      <c r="C177" s="10"/>
      <c r="D177" s="21"/>
    </row>
    <row r="178" spans="2:4" ht="12.75">
      <c r="B178" s="10"/>
      <c r="C178" s="10"/>
      <c r="D178" s="21"/>
    </row>
    <row r="179" spans="2:4" ht="12.75">
      <c r="B179" s="10"/>
      <c r="C179" s="10"/>
      <c r="D179" s="21"/>
    </row>
    <row r="180" spans="2:4" ht="12.75">
      <c r="B180" s="10"/>
      <c r="C180" s="10"/>
      <c r="D180" s="21"/>
    </row>
    <row r="181" spans="2:4" ht="12.75">
      <c r="B181" s="10"/>
      <c r="C181" s="10"/>
      <c r="D181" s="21"/>
    </row>
    <row r="182" spans="2:4" ht="12.75">
      <c r="B182" s="10"/>
      <c r="C182" s="10"/>
      <c r="D182" s="21"/>
    </row>
    <row r="183" spans="2:4" ht="12.75">
      <c r="B183" s="10"/>
      <c r="C183" s="10"/>
      <c r="D183" s="21"/>
    </row>
    <row r="184" spans="2:4" ht="12.75">
      <c r="B184" s="10"/>
      <c r="C184" s="10"/>
      <c r="D184" s="21"/>
    </row>
    <row r="185" spans="2:4" ht="12.75">
      <c r="B185" s="10"/>
      <c r="C185" s="10"/>
      <c r="D185" s="21"/>
    </row>
    <row r="186" spans="2:4" ht="12.75">
      <c r="B186" s="10"/>
      <c r="C186" s="10"/>
      <c r="D186" s="21"/>
    </row>
    <row r="187" spans="2:4" ht="12.75">
      <c r="B187" s="10"/>
      <c r="C187" s="10"/>
      <c r="D187" s="21"/>
    </row>
    <row r="188" spans="2:4" ht="12.75">
      <c r="B188" s="10"/>
      <c r="C188" s="10"/>
      <c r="D188" s="21"/>
    </row>
    <row r="189" spans="2:4" ht="12.75">
      <c r="B189" s="10"/>
      <c r="C189" s="10"/>
      <c r="D189" s="21"/>
    </row>
    <row r="190" spans="2:4" ht="12.75">
      <c r="B190" s="10"/>
      <c r="C190" s="10"/>
      <c r="D190" s="21"/>
    </row>
    <row r="191" spans="2:4" ht="12.75">
      <c r="B191" s="10"/>
      <c r="C191" s="10"/>
      <c r="D191" s="21"/>
    </row>
    <row r="192" spans="2:4" ht="12.75">
      <c r="B192" s="10"/>
      <c r="C192" s="10"/>
      <c r="D192" s="21"/>
    </row>
    <row r="193" spans="2:4" ht="12.75">
      <c r="B193" s="10"/>
      <c r="C193" s="10"/>
      <c r="D193" s="21"/>
    </row>
    <row r="194" spans="2:4" ht="12.75">
      <c r="B194" s="10"/>
      <c r="C194" s="10"/>
      <c r="D194" s="21"/>
    </row>
    <row r="195" spans="2:4" ht="12.75">
      <c r="B195" s="10"/>
      <c r="C195" s="10"/>
      <c r="D195" s="21"/>
    </row>
    <row r="196" spans="2:4" ht="12.75">
      <c r="B196" s="10"/>
      <c r="C196" s="10"/>
      <c r="D196" s="21"/>
    </row>
    <row r="197" spans="2:4" ht="12.75">
      <c r="B197" s="10"/>
      <c r="C197" s="10"/>
      <c r="D197" s="21"/>
    </row>
    <row r="198" spans="2:4" ht="12.75">
      <c r="B198" s="10"/>
      <c r="C198" s="10"/>
      <c r="D198" s="21"/>
    </row>
    <row r="199" spans="2:4" ht="12.75">
      <c r="B199" s="10"/>
      <c r="C199" s="10"/>
      <c r="D199" s="21"/>
    </row>
    <row r="200" spans="2:4" ht="12.75">
      <c r="B200" s="10"/>
      <c r="C200" s="10"/>
      <c r="D200" s="21"/>
    </row>
    <row r="201" spans="2:4" ht="12.75">
      <c r="B201" s="10"/>
      <c r="C201" s="10"/>
      <c r="D201" s="21"/>
    </row>
    <row r="202" spans="2:4" ht="12.75">
      <c r="B202" s="10"/>
      <c r="C202" s="10"/>
      <c r="D202" s="21"/>
    </row>
    <row r="203" spans="2:4" ht="12.75">
      <c r="B203" s="10"/>
      <c r="C203" s="10"/>
      <c r="D203" s="21"/>
    </row>
    <row r="204" spans="2:4" ht="12.75">
      <c r="B204" s="10"/>
      <c r="C204" s="10"/>
      <c r="D204" s="21"/>
    </row>
    <row r="205" spans="2:4" ht="12.75">
      <c r="B205" s="10"/>
      <c r="C205" s="10"/>
      <c r="D205" s="21"/>
    </row>
    <row r="206" spans="2:4" ht="12.75">
      <c r="B206" s="10"/>
      <c r="C206" s="10"/>
      <c r="D206" s="21"/>
    </row>
    <row r="207" spans="2:4" ht="12.75">
      <c r="B207" s="10"/>
      <c r="C207" s="10"/>
      <c r="D207" s="21"/>
    </row>
    <row r="208" spans="2:4" ht="12.75">
      <c r="B208" s="10"/>
      <c r="C208" s="10"/>
      <c r="D208" s="21"/>
    </row>
    <row r="209" spans="2:4" ht="12.75">
      <c r="B209" s="10"/>
      <c r="C209" s="10"/>
      <c r="D209" s="21"/>
    </row>
    <row r="210" spans="2:4" ht="12.75">
      <c r="B210" s="10"/>
      <c r="C210" s="10"/>
      <c r="D210" s="21"/>
    </row>
    <row r="211" spans="2:4" ht="12.75">
      <c r="B211" s="10"/>
      <c r="C211" s="10"/>
      <c r="D211" s="21"/>
    </row>
    <row r="212" spans="2:4" ht="12.75">
      <c r="B212" s="10"/>
      <c r="C212" s="10"/>
      <c r="D212" s="21"/>
    </row>
    <row r="213" spans="2:4" ht="12.75">
      <c r="B213" s="10"/>
      <c r="C213" s="10"/>
      <c r="D213" s="21"/>
    </row>
    <row r="214" spans="2:4" ht="12.75">
      <c r="B214" s="10"/>
      <c r="C214" s="10"/>
      <c r="D214" s="21"/>
    </row>
    <row r="215" spans="2:4" ht="12.75">
      <c r="B215" s="10"/>
      <c r="C215" s="10"/>
      <c r="D215" s="21"/>
    </row>
    <row r="216" spans="2:4" ht="12.75">
      <c r="B216" s="10"/>
      <c r="C216" s="10"/>
      <c r="D216" s="21"/>
    </row>
    <row r="217" spans="2:4" ht="12.75">
      <c r="B217" s="10"/>
      <c r="C217" s="10"/>
      <c r="D217" s="21"/>
    </row>
    <row r="218" spans="2:4" ht="12.75">
      <c r="B218" s="10"/>
      <c r="C218" s="10"/>
      <c r="D218" s="21"/>
    </row>
    <row r="219" spans="2:4" ht="12.75">
      <c r="B219" s="10"/>
      <c r="C219" s="10"/>
      <c r="D219" s="21"/>
    </row>
    <row r="220" spans="2:4" ht="12.75">
      <c r="B220" s="10"/>
      <c r="C220" s="10"/>
      <c r="D220" s="21"/>
    </row>
    <row r="221" spans="2:4" ht="12.75">
      <c r="B221" s="10"/>
      <c r="C221" s="10"/>
      <c r="D221" s="21"/>
    </row>
    <row r="222" spans="2:4" ht="12.75">
      <c r="B222" s="10"/>
      <c r="C222" s="10"/>
      <c r="D222" s="21"/>
    </row>
    <row r="223" spans="2:4" ht="12.75">
      <c r="B223" s="10"/>
      <c r="C223" s="10"/>
      <c r="D223" s="21"/>
    </row>
    <row r="224" spans="2:4" ht="12.75">
      <c r="B224" s="10"/>
      <c r="C224" s="10"/>
      <c r="D224" s="21"/>
    </row>
    <row r="225" spans="2:4" ht="12.75">
      <c r="B225" s="10"/>
      <c r="C225" s="10"/>
      <c r="D225" s="21"/>
    </row>
    <row r="226" spans="2:4" ht="12.75">
      <c r="B226" s="10"/>
      <c r="C226" s="10"/>
      <c r="D226" s="21"/>
    </row>
    <row r="227" spans="2:4" ht="12.75">
      <c r="B227" s="10"/>
      <c r="C227" s="10"/>
      <c r="D227" s="21"/>
    </row>
    <row r="228" spans="2:4" ht="12.75">
      <c r="B228" s="10"/>
      <c r="C228" s="10"/>
      <c r="D228" s="21"/>
    </row>
    <row r="229" spans="2:4" ht="12.75">
      <c r="B229" s="10"/>
      <c r="C229" s="10"/>
      <c r="D229" s="21"/>
    </row>
    <row r="230" spans="2:4" ht="12.75">
      <c r="B230" s="10"/>
      <c r="C230" s="10"/>
      <c r="D230" s="21"/>
    </row>
    <row r="231" spans="2:4" ht="12.75">
      <c r="B231" s="10"/>
      <c r="C231" s="10"/>
      <c r="D231" s="21"/>
    </row>
    <row r="232" spans="2:4" ht="12.75">
      <c r="B232" s="10"/>
      <c r="C232" s="10"/>
      <c r="D232" s="21"/>
    </row>
    <row r="233" spans="2:4" ht="12.75">
      <c r="B233" s="10"/>
      <c r="C233" s="10"/>
      <c r="D233" s="21"/>
    </row>
    <row r="234" spans="2:4" ht="12.75">
      <c r="B234" s="10"/>
      <c r="C234" s="10"/>
      <c r="D234" s="21"/>
    </row>
    <row r="235" spans="2:4" ht="12.75">
      <c r="B235" s="10"/>
      <c r="C235" s="10"/>
      <c r="D235" s="21"/>
    </row>
    <row r="236" spans="2:4" ht="12.75">
      <c r="B236" s="10"/>
      <c r="C236" s="10"/>
      <c r="D236" s="21"/>
    </row>
    <row r="237" spans="2:4" ht="12.75">
      <c r="B237" s="10"/>
      <c r="C237" s="10"/>
      <c r="D237" s="21"/>
    </row>
    <row r="238" spans="2:4" ht="12.75">
      <c r="B238" s="10"/>
      <c r="C238" s="10"/>
      <c r="D238" s="21"/>
    </row>
    <row r="239" spans="2:4" ht="12.75">
      <c r="B239" s="10"/>
      <c r="C239" s="10"/>
      <c r="D239" s="21"/>
    </row>
    <row r="240" spans="2:4" ht="12.75">
      <c r="B240" s="10"/>
      <c r="C240" s="10"/>
      <c r="D240" s="21"/>
    </row>
    <row r="241" spans="2:4" ht="12.75">
      <c r="B241" s="10"/>
      <c r="C241" s="10"/>
      <c r="D241" s="21"/>
    </row>
    <row r="242" spans="2:4" ht="12.75">
      <c r="B242" s="10"/>
      <c r="C242" s="10"/>
      <c r="D242" s="21"/>
    </row>
    <row r="243" spans="2:4" ht="12.75">
      <c r="B243" s="10"/>
      <c r="C243" s="10"/>
      <c r="D243" s="21"/>
    </row>
    <row r="244" spans="2:4" ht="12.75">
      <c r="B244" s="10"/>
      <c r="C244" s="10"/>
      <c r="D244" s="21"/>
    </row>
    <row r="245" spans="2:4" ht="12.75">
      <c r="B245" s="10"/>
      <c r="C245" s="10"/>
      <c r="D245" s="21"/>
    </row>
    <row r="246" spans="2:4" ht="12.75">
      <c r="B246" s="10"/>
      <c r="C246" s="10"/>
      <c r="D246" s="21"/>
    </row>
    <row r="247" spans="2:4" ht="12.75">
      <c r="B247" s="10"/>
      <c r="C247" s="10"/>
      <c r="D247" s="21"/>
    </row>
    <row r="248" spans="2:4" ht="12.75">
      <c r="B248" s="10"/>
      <c r="C248" s="10"/>
      <c r="D248" s="21"/>
    </row>
    <row r="249" spans="2:4" ht="12.75">
      <c r="B249" s="10"/>
      <c r="C249" s="10"/>
      <c r="D249" s="21"/>
    </row>
    <row r="250" spans="2:4" ht="12.75">
      <c r="B250" s="10"/>
      <c r="C250" s="10"/>
      <c r="D250" s="21"/>
    </row>
    <row r="251" spans="2:4" ht="12.75">
      <c r="B251" s="10"/>
      <c r="C251" s="10"/>
      <c r="D251" s="21"/>
    </row>
    <row r="252" spans="2:4" ht="12.75">
      <c r="B252" s="10"/>
      <c r="C252" s="10"/>
      <c r="D252" s="21"/>
    </row>
    <row r="253" spans="2:4" ht="12.75">
      <c r="B253" s="10"/>
      <c r="C253" s="10"/>
      <c r="D253" s="21"/>
    </row>
    <row r="254" spans="2:4" ht="12.75">
      <c r="B254" s="10"/>
      <c r="C254" s="10"/>
      <c r="D254" s="21"/>
    </row>
    <row r="255" spans="2:4" ht="12.75">
      <c r="B255" s="10"/>
      <c r="C255" s="10"/>
      <c r="D255" s="21"/>
    </row>
    <row r="256" spans="2:4" ht="12.75">
      <c r="B256" s="10"/>
      <c r="C256" s="10"/>
      <c r="D256" s="21"/>
    </row>
    <row r="257" spans="2:4" ht="12.75">
      <c r="B257" s="10"/>
      <c r="C257" s="10"/>
      <c r="D257" s="21"/>
    </row>
    <row r="258" spans="2:4" ht="12.75">
      <c r="B258" s="10"/>
      <c r="C258" s="10"/>
      <c r="D258" s="21"/>
    </row>
    <row r="259" spans="2:4" ht="12.75">
      <c r="B259" s="10"/>
      <c r="C259" s="10"/>
      <c r="D259" s="21"/>
    </row>
    <row r="260" spans="2:4" ht="12.75">
      <c r="B260" s="10"/>
      <c r="C260" s="10"/>
      <c r="D260" s="21"/>
    </row>
    <row r="261" spans="2:4" ht="12.75">
      <c r="B261" s="10"/>
      <c r="C261" s="10"/>
      <c r="D261" s="21"/>
    </row>
    <row r="262" spans="2:4" ht="12.75">
      <c r="B262" s="10"/>
      <c r="C262" s="10"/>
      <c r="D262" s="21"/>
    </row>
    <row r="263" spans="2:4" ht="12.75">
      <c r="B263" s="10"/>
      <c r="C263" s="10"/>
      <c r="D263" s="21"/>
    </row>
    <row r="264" spans="2:4" ht="12.75">
      <c r="B264" s="10"/>
      <c r="C264" s="10"/>
      <c r="D264" s="21"/>
    </row>
    <row r="265" spans="2:4" ht="12.75">
      <c r="B265" s="10"/>
      <c r="C265" s="10"/>
      <c r="D265" s="21"/>
    </row>
    <row r="266" spans="2:4" ht="12.75">
      <c r="B266" s="10"/>
      <c r="C266" s="10"/>
      <c r="D266" s="21"/>
    </row>
    <row r="267" spans="2:4" ht="12.75">
      <c r="B267" s="10"/>
      <c r="C267" s="10"/>
      <c r="D267" s="21"/>
    </row>
    <row r="268" spans="2:4" ht="12.75">
      <c r="B268" s="10"/>
      <c r="C268" s="10"/>
      <c r="D268" s="21"/>
    </row>
    <row r="269" spans="2:4" ht="12.75">
      <c r="B269" s="10"/>
      <c r="C269" s="10"/>
      <c r="D269" s="21"/>
    </row>
    <row r="270" spans="2:4" ht="12.75">
      <c r="B270" s="10"/>
      <c r="C270" s="10"/>
      <c r="D270" s="21"/>
    </row>
    <row r="271" spans="2:4" ht="12.75">
      <c r="B271" s="10"/>
      <c r="C271" s="10"/>
      <c r="D271" s="21"/>
    </row>
    <row r="272" spans="2:4" ht="12.75">
      <c r="B272" s="10"/>
      <c r="C272" s="10"/>
      <c r="D272" s="21"/>
    </row>
    <row r="273" spans="2:4" ht="12.75">
      <c r="B273" s="10"/>
      <c r="C273" s="10"/>
      <c r="D273" s="21"/>
    </row>
    <row r="274" spans="2:4" ht="12.75">
      <c r="B274" s="10"/>
      <c r="C274" s="10"/>
      <c r="D274" s="21"/>
    </row>
    <row r="275" spans="2:4" ht="12.75">
      <c r="B275" s="10"/>
      <c r="C275" s="10"/>
      <c r="D275" s="21"/>
    </row>
    <row r="276" spans="2:4" ht="12.75">
      <c r="B276" s="10"/>
      <c r="C276" s="10"/>
      <c r="D276" s="21"/>
    </row>
    <row r="277" spans="2:4" ht="12.75">
      <c r="B277" s="10"/>
      <c r="C277" s="10"/>
      <c r="D277" s="21"/>
    </row>
    <row r="278" spans="2:4" ht="12.75">
      <c r="B278" s="10"/>
      <c r="C278" s="10"/>
      <c r="D278" s="21"/>
    </row>
    <row r="279" spans="2:4" ht="12.75">
      <c r="B279" s="10"/>
      <c r="C279" s="10"/>
      <c r="D279" s="21"/>
    </row>
    <row r="280" spans="2:4" ht="12.75">
      <c r="B280" s="10"/>
      <c r="C280" s="10"/>
      <c r="D280" s="21"/>
    </row>
    <row r="281" spans="2:4" ht="12.75">
      <c r="B281" s="10"/>
      <c r="C281" s="10"/>
      <c r="D281" s="21"/>
    </row>
    <row r="282" spans="2:4" ht="12.75">
      <c r="B282" s="10"/>
      <c r="C282" s="10"/>
      <c r="D282" s="21"/>
    </row>
    <row r="283" spans="2:4" ht="12.75">
      <c r="B283" s="10"/>
      <c r="C283" s="10"/>
      <c r="D283" s="21"/>
    </row>
    <row r="284" spans="2:4" ht="12.75">
      <c r="B284" s="10"/>
      <c r="C284" s="10"/>
      <c r="D284" s="21"/>
    </row>
    <row r="285" spans="2:4" ht="12.75">
      <c r="B285" s="10"/>
      <c r="C285" s="10"/>
      <c r="D285" s="21"/>
    </row>
    <row r="286" spans="2:4" ht="12.75">
      <c r="B286" s="10"/>
      <c r="C286" s="10"/>
      <c r="D286" s="21"/>
    </row>
    <row r="287" spans="2:4" ht="12.75">
      <c r="B287" s="10"/>
      <c r="C287" s="10"/>
      <c r="D287" s="21"/>
    </row>
    <row r="288" spans="2:4" ht="12.75">
      <c r="B288" s="10"/>
      <c r="C288" s="10"/>
      <c r="D288" s="21"/>
    </row>
    <row r="289" spans="2:4" ht="12.75">
      <c r="B289" s="10"/>
      <c r="C289" s="10"/>
      <c r="D289" s="21"/>
    </row>
    <row r="290" spans="2:4" ht="12.75">
      <c r="B290" s="10"/>
      <c r="C290" s="10"/>
      <c r="D290" s="21"/>
    </row>
    <row r="291" spans="2:4" ht="12.75">
      <c r="B291" s="10"/>
      <c r="C291" s="10"/>
      <c r="D291" s="21"/>
    </row>
    <row r="292" spans="2:4" ht="12.75">
      <c r="B292" s="10"/>
      <c r="C292" s="10"/>
      <c r="D292" s="21"/>
    </row>
    <row r="293" spans="2:4" ht="12.75">
      <c r="B293" s="10"/>
      <c r="C293" s="10"/>
      <c r="D293" s="10"/>
    </row>
    <row r="294" spans="2:4" ht="12.75">
      <c r="B294" s="10"/>
      <c r="C294" s="10"/>
      <c r="D294" s="10"/>
    </row>
    <row r="295" spans="2:4" ht="12.75">
      <c r="B295" s="10"/>
      <c r="C295" s="10"/>
      <c r="D295" s="10"/>
    </row>
    <row r="296" spans="2:4" ht="12.75">
      <c r="B296" s="10"/>
      <c r="C296" s="10"/>
      <c r="D296" s="10"/>
    </row>
    <row r="297" spans="2:4" ht="12.75">
      <c r="B297" s="10"/>
      <c r="C297" s="10"/>
      <c r="D297" s="10"/>
    </row>
    <row r="298" spans="2:4" ht="12.75">
      <c r="B298" s="10"/>
      <c r="C298" s="10"/>
      <c r="D298" s="10"/>
    </row>
    <row r="299" spans="2:4" ht="12.75">
      <c r="B299" s="10"/>
      <c r="C299" s="10"/>
      <c r="D299" s="10"/>
    </row>
    <row r="300" spans="2:4" ht="12.75">
      <c r="B300" s="10"/>
      <c r="C300" s="10"/>
      <c r="D300" s="10"/>
    </row>
    <row r="301" spans="2:4" ht="12.75">
      <c r="B301" s="10"/>
      <c r="C301" s="10"/>
      <c r="D301" s="10"/>
    </row>
    <row r="302" spans="2:4" ht="12.75">
      <c r="B302" s="10"/>
      <c r="C302" s="10"/>
      <c r="D302" s="10"/>
    </row>
    <row r="303" spans="2:4" ht="12.75">
      <c r="B303" s="10"/>
      <c r="C303" s="10"/>
      <c r="D303" s="10"/>
    </row>
    <row r="304" spans="2:4" ht="12.75">
      <c r="B304" s="10"/>
      <c r="C304" s="10"/>
      <c r="D304" s="10"/>
    </row>
    <row r="305" spans="2:4" ht="12.75">
      <c r="B305" s="10"/>
      <c r="C305" s="10"/>
      <c r="D305" s="10"/>
    </row>
    <row r="306" spans="2:4" ht="12.75">
      <c r="B306" s="10"/>
      <c r="C306" s="10"/>
      <c r="D306" s="10"/>
    </row>
    <row r="307" spans="2:4" ht="12.75">
      <c r="B307" s="10"/>
      <c r="C307" s="10"/>
      <c r="D307" s="10"/>
    </row>
    <row r="308" spans="2:4" ht="12.75">
      <c r="B308" s="10"/>
      <c r="C308" s="10"/>
      <c r="D308" s="10"/>
    </row>
    <row r="309" spans="2:4" ht="12.75">
      <c r="B309" s="10"/>
      <c r="C309" s="10"/>
      <c r="D309" s="10"/>
    </row>
    <row r="310" spans="2:4" ht="12.75">
      <c r="B310" s="10"/>
      <c r="C310" s="10"/>
      <c r="D310" s="10"/>
    </row>
    <row r="311" spans="2:4" ht="12.75">
      <c r="B311" s="10"/>
      <c r="C311" s="10"/>
      <c r="D311" s="10"/>
    </row>
    <row r="312" spans="2:4" ht="12.75">
      <c r="B312" s="10"/>
      <c r="C312" s="10"/>
      <c r="D312" s="10"/>
    </row>
    <row r="313" spans="2:4" ht="12.75">
      <c r="B313" s="10"/>
      <c r="C313" s="10"/>
      <c r="D313" s="10"/>
    </row>
    <row r="314" spans="2:4" ht="12.75">
      <c r="B314" s="10"/>
      <c r="C314" s="10"/>
      <c r="D314" s="10"/>
    </row>
    <row r="315" spans="2:4" ht="12.75">
      <c r="B315" s="10"/>
      <c r="C315" s="10"/>
      <c r="D315" s="10"/>
    </row>
    <row r="316" spans="2:4" ht="12.75">
      <c r="B316" s="10"/>
      <c r="C316" s="10"/>
      <c r="D316" s="10"/>
    </row>
    <row r="317" spans="2:4" ht="12.75">
      <c r="B317" s="10"/>
      <c r="C317" s="10"/>
      <c r="D317" s="10"/>
    </row>
    <row r="318" spans="2:4" ht="12.75">
      <c r="B318" s="10"/>
      <c r="C318" s="10"/>
      <c r="D318" s="10"/>
    </row>
    <row r="319" spans="2:4" ht="12.75">
      <c r="B319" s="10"/>
      <c r="C319" s="10"/>
      <c r="D319" s="10"/>
    </row>
    <row r="320" spans="2:4" ht="12.75">
      <c r="B320" s="10"/>
      <c r="C320" s="10"/>
      <c r="D320" s="10"/>
    </row>
    <row r="321" spans="2:4" ht="12.75">
      <c r="B321" s="10"/>
      <c r="C321" s="10"/>
      <c r="D321" s="10"/>
    </row>
    <row r="322" spans="2:4" ht="12.75">
      <c r="B322" s="10"/>
      <c r="C322" s="10"/>
      <c r="D322" s="10"/>
    </row>
    <row r="323" spans="2:4" ht="12.75">
      <c r="B323" s="10"/>
      <c r="C323" s="10"/>
      <c r="D323" s="10"/>
    </row>
    <row r="324" spans="2:4" ht="12.75">
      <c r="B324" s="10"/>
      <c r="C324" s="10"/>
      <c r="D324" s="10"/>
    </row>
    <row r="325" spans="2:4" ht="12.75">
      <c r="B325" s="10"/>
      <c r="C325" s="10"/>
      <c r="D325" s="10"/>
    </row>
    <row r="326" spans="2:4" ht="12.75">
      <c r="B326" s="10"/>
      <c r="C326" s="10"/>
      <c r="D326" s="10"/>
    </row>
    <row r="327" spans="2:4" ht="12.75">
      <c r="B327" s="10"/>
      <c r="C327" s="10"/>
      <c r="D327" s="10"/>
    </row>
    <row r="328" spans="2:4" ht="12.75">
      <c r="B328" s="10"/>
      <c r="C328" s="10"/>
      <c r="D328" s="10"/>
    </row>
    <row r="329" spans="2:4" ht="12.75">
      <c r="B329" s="10"/>
      <c r="C329" s="10"/>
      <c r="D329" s="10"/>
    </row>
    <row r="330" spans="2:4" ht="12.75">
      <c r="B330" s="10"/>
      <c r="C330" s="10"/>
      <c r="D330" s="10"/>
    </row>
    <row r="331" spans="2:4" ht="12.75">
      <c r="B331" s="10"/>
      <c r="C331" s="10"/>
      <c r="D331" s="10"/>
    </row>
    <row r="332" spans="2:4" ht="12.75">
      <c r="B332" s="10"/>
      <c r="C332" s="10"/>
      <c r="D332" s="10"/>
    </row>
    <row r="333" spans="2:4" ht="12.75">
      <c r="B333" s="10"/>
      <c r="C333" s="10"/>
      <c r="D333" s="10"/>
    </row>
    <row r="334" spans="2:4" ht="12.75">
      <c r="B334" s="10"/>
      <c r="C334" s="10"/>
      <c r="D334" s="10"/>
    </row>
    <row r="335" spans="2:4" ht="12.75">
      <c r="B335" s="10"/>
      <c r="C335" s="10"/>
      <c r="D335" s="10"/>
    </row>
    <row r="336" spans="2:4" ht="12.75">
      <c r="B336" s="10"/>
      <c r="C336" s="10"/>
      <c r="D336" s="10"/>
    </row>
    <row r="337" spans="2:4" ht="12.75">
      <c r="B337" s="10"/>
      <c r="C337" s="10"/>
      <c r="D337" s="10"/>
    </row>
    <row r="338" spans="2:4" ht="12.75">
      <c r="B338" s="10"/>
      <c r="C338" s="10"/>
      <c r="D338" s="10"/>
    </row>
    <row r="339" spans="2:4" ht="12.75">
      <c r="B339" s="10"/>
      <c r="C339" s="10"/>
      <c r="D339" s="10"/>
    </row>
    <row r="340" spans="2:4" ht="12.75">
      <c r="B340" s="10"/>
      <c r="C340" s="10"/>
      <c r="D340" s="10"/>
    </row>
    <row r="341" spans="2:4" ht="12.75">
      <c r="B341" s="10"/>
      <c r="C341" s="10"/>
      <c r="D341" s="10"/>
    </row>
    <row r="342" spans="2:4" ht="12.75">
      <c r="B342" s="10"/>
      <c r="C342" s="10"/>
      <c r="D342" s="10"/>
    </row>
    <row r="343" spans="2:4" ht="12.75">
      <c r="B343" s="10"/>
      <c r="C343" s="10"/>
      <c r="D343" s="10"/>
    </row>
    <row r="344" spans="2:4" ht="12.75">
      <c r="B344" s="10"/>
      <c r="C344" s="10"/>
      <c r="D344" s="10"/>
    </row>
    <row r="345" spans="2:4" ht="12.75">
      <c r="B345" s="10"/>
      <c r="C345" s="10"/>
      <c r="D345" s="10"/>
    </row>
    <row r="346" spans="2:4" ht="12.75">
      <c r="B346" s="10"/>
      <c r="C346" s="10"/>
      <c r="D346" s="10"/>
    </row>
    <row r="347" spans="2:4" ht="12.75">
      <c r="B347" s="10"/>
      <c r="C347" s="10"/>
      <c r="D347" s="10"/>
    </row>
    <row r="348" spans="2:4" ht="12.75">
      <c r="B348" s="10"/>
      <c r="C348" s="10"/>
      <c r="D348" s="10"/>
    </row>
    <row r="349" spans="2:4" ht="12.75">
      <c r="B349" s="10"/>
      <c r="C349" s="10"/>
      <c r="D349" s="10"/>
    </row>
    <row r="350" spans="2:4" ht="12.75">
      <c r="B350" s="10"/>
      <c r="C350" s="10"/>
      <c r="D350" s="10"/>
    </row>
    <row r="351" spans="2:4" ht="12.75">
      <c r="B351" s="10"/>
      <c r="C351" s="10"/>
      <c r="D351" s="10"/>
    </row>
    <row r="352" spans="2:4" ht="12.75">
      <c r="B352" s="10"/>
      <c r="C352" s="10"/>
      <c r="D352" s="10"/>
    </row>
    <row r="353" spans="2:4" ht="12.75">
      <c r="B353" s="10"/>
      <c r="C353" s="10"/>
      <c r="D353" s="10"/>
    </row>
    <row r="354" spans="2:4" ht="12.75">
      <c r="B354" s="10"/>
      <c r="C354" s="10"/>
      <c r="D354" s="10"/>
    </row>
    <row r="355" spans="2:4" ht="12.75">
      <c r="B355" s="10"/>
      <c r="C355" s="10"/>
      <c r="D355" s="10"/>
    </row>
    <row r="356" spans="2:4" ht="12.75">
      <c r="B356" s="10"/>
      <c r="C356" s="10"/>
      <c r="D356" s="10"/>
    </row>
    <row r="357" spans="2:4" ht="12.75">
      <c r="B357" s="10"/>
      <c r="C357" s="10"/>
      <c r="D357" s="10"/>
    </row>
    <row r="358" spans="2:4" ht="12.75">
      <c r="B358" s="10"/>
      <c r="C358" s="10"/>
      <c r="D358" s="10"/>
    </row>
    <row r="359" spans="2:4" ht="12.75">
      <c r="B359" s="10"/>
      <c r="C359" s="10"/>
      <c r="D359" s="10"/>
    </row>
    <row r="360" spans="2:4" ht="12.75">
      <c r="B360" s="10"/>
      <c r="C360" s="10"/>
      <c r="D360" s="10"/>
    </row>
    <row r="361" spans="2:4" ht="12.75">
      <c r="B361" s="10"/>
      <c r="C361" s="10"/>
      <c r="D361" s="10"/>
    </row>
    <row r="362" spans="2:4" ht="12.75">
      <c r="B362" s="10"/>
      <c r="C362" s="10"/>
      <c r="D362" s="10"/>
    </row>
    <row r="363" spans="2:4" ht="12.75">
      <c r="B363" s="10"/>
      <c r="C363" s="10"/>
      <c r="D363" s="10"/>
    </row>
    <row r="364" spans="2:4" ht="12.75">
      <c r="B364" s="10"/>
      <c r="C364" s="10"/>
      <c r="D364" s="10"/>
    </row>
    <row r="365" spans="2:4" ht="12.75">
      <c r="B365" s="10"/>
      <c r="C365" s="10"/>
      <c r="D365" s="10"/>
    </row>
    <row r="366" spans="2:4" ht="12.75">
      <c r="B366" s="10"/>
      <c r="C366" s="10"/>
      <c r="D366" s="10"/>
    </row>
    <row r="367" spans="2:4" ht="12.75">
      <c r="B367" s="10"/>
      <c r="C367" s="10"/>
      <c r="D367" s="10"/>
    </row>
    <row r="368" spans="2:4" ht="12.75">
      <c r="B368" s="10"/>
      <c r="C368" s="10"/>
      <c r="D368" s="10"/>
    </row>
    <row r="369" spans="2:4" ht="12.75">
      <c r="B369" s="10"/>
      <c r="C369" s="10"/>
      <c r="D369" s="10"/>
    </row>
    <row r="370" spans="2:4" ht="12.75">
      <c r="B370" s="10"/>
      <c r="C370" s="10"/>
      <c r="D370" s="10"/>
    </row>
    <row r="371" spans="2:4" ht="12.75">
      <c r="B371" s="10"/>
      <c r="C371" s="10"/>
      <c r="D371" s="10"/>
    </row>
    <row r="372" spans="2:4" ht="12.75">
      <c r="B372" s="10"/>
      <c r="C372" s="10"/>
      <c r="D372" s="10"/>
    </row>
    <row r="373" spans="2:4" ht="12.75">
      <c r="B373" s="10"/>
      <c r="C373" s="10"/>
      <c r="D373" s="10"/>
    </row>
  </sheetData>
  <sheetProtection/>
  <mergeCells count="53">
    <mergeCell ref="B2:P2"/>
    <mergeCell ref="B3:G3"/>
    <mergeCell ref="B4:G4"/>
    <mergeCell ref="H4:P4"/>
    <mergeCell ref="H3:P3"/>
    <mergeCell ref="I15:P15"/>
    <mergeCell ref="I13:P13"/>
    <mergeCell ref="I7:P7"/>
    <mergeCell ref="I8:P8"/>
    <mergeCell ref="I9:P9"/>
    <mergeCell ref="I10:P10"/>
    <mergeCell ref="I47:P47"/>
    <mergeCell ref="B5:G5"/>
    <mergeCell ref="H5:P5"/>
    <mergeCell ref="I6:P6"/>
    <mergeCell ref="I38:P38"/>
    <mergeCell ref="I39:P39"/>
    <mergeCell ref="I40:P40"/>
    <mergeCell ref="I19:P19"/>
    <mergeCell ref="I20:P20"/>
    <mergeCell ref="B48:P48"/>
    <mergeCell ref="B56:P56"/>
    <mergeCell ref="I51:P51"/>
    <mergeCell ref="I53:P53"/>
    <mergeCell ref="I49:P49"/>
    <mergeCell ref="I50:P50"/>
    <mergeCell ref="B55:P55"/>
    <mergeCell ref="I52:P52"/>
    <mergeCell ref="I54:P54"/>
    <mergeCell ref="I46:P46"/>
    <mergeCell ref="I45:P45"/>
    <mergeCell ref="I31:P31"/>
    <mergeCell ref="I32:P32"/>
    <mergeCell ref="I44:P44"/>
    <mergeCell ref="I41:P41"/>
    <mergeCell ref="I33:P33"/>
    <mergeCell ref="I11:P11"/>
    <mergeCell ref="I28:P28"/>
    <mergeCell ref="I27:P27"/>
    <mergeCell ref="I17:P17"/>
    <mergeCell ref="I25:P25"/>
    <mergeCell ref="I18:P18"/>
    <mergeCell ref="I23:P23"/>
    <mergeCell ref="I24:P24"/>
    <mergeCell ref="I16:P16"/>
    <mergeCell ref="I26:P26"/>
    <mergeCell ref="I12:P12"/>
    <mergeCell ref="I14:P14"/>
    <mergeCell ref="I35:P35"/>
    <mergeCell ref="I36:P36"/>
    <mergeCell ref="I34:P34"/>
    <mergeCell ref="I29:P29"/>
    <mergeCell ref="I30:P30"/>
  </mergeCells>
  <printOptions/>
  <pageMargins left="0.72" right="0.45" top="0.4" bottom="0.29" header="0.27" footer="0.18"/>
  <pageSetup horizontalDpi="600" verticalDpi="600" orientation="landscape" paperSize="9" scale="74" r:id="rId3"/>
  <rowBreaks count="1" manualBreakCount="1"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podklady pro kalkulaci pro hospodáøskou èinnost</dc:title>
  <dc:subject/>
  <dc:creator>Michal Sellner</dc:creator>
  <cp:keywords>kalkulace, náklady, rozpoèet, mzdy, režie, zisk, cena</cp:keywords>
  <dc:description/>
  <cp:lastModifiedBy>Dagmar Černáková</cp:lastModifiedBy>
  <cp:lastPrinted>2019-02-28T09:47:41Z</cp:lastPrinted>
  <dcterms:created xsi:type="dcterms:W3CDTF">1998-04-17T06:05:45Z</dcterms:created>
  <dcterms:modified xsi:type="dcterms:W3CDTF">2024-02-20T08:56:54Z</dcterms:modified>
  <cp:category/>
  <cp:version/>
  <cp:contentType/>
  <cp:contentStatus/>
</cp:coreProperties>
</file>