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385" tabRatio="922" activeTab="0"/>
  </bookViews>
  <sheets>
    <sheet name="Návod" sheetId="1" r:id="rId1"/>
    <sheet name="Povolení cesty" sheetId="2" r:id="rId2"/>
    <sheet name="Žádost o valuty" sheetId="3" r:id="rId3"/>
    <sheet name="Použití soukr.vozidla" sheetId="4" r:id="rId4"/>
    <sheet name="Vyúčtování cesty" sheetId="5" r:id="rId5"/>
    <sheet name="Prohlášení ke stravnému" sheetId="6" r:id="rId6"/>
    <sheet name="Dodatečný souhlas s autem" sheetId="7" r:id="rId7"/>
  </sheets>
  <externalReferences>
    <externalReference r:id="rId10"/>
  </externalReferences>
  <definedNames>
    <definedName name="Bydliste" localSheetId="6">'[1]Udaje o osobe a vozidle'!$E$9</definedName>
    <definedName name="Bydliste" localSheetId="5">'[1]Udaje o osobe a vozidle'!$E$9</definedName>
    <definedName name="Bydliste">'Povolení cesty'!$E$11</definedName>
    <definedName name="Cele_jmeno">'Povolení cesty'!$F$9</definedName>
    <definedName name="Cena_benzinu">'[1]Udaje o osobe a vozidle'!$M$26</definedName>
    <definedName name="CSdo" localSheetId="6">'[1]Udaje o osobe a vozidle'!$L$10</definedName>
    <definedName name="CSdo" localSheetId="5">'[1]Udaje o osobe a vozidle'!$L$10</definedName>
    <definedName name="CSdo">'Použití soukr.vozidla'!$AG$17</definedName>
    <definedName name="EUdo" localSheetId="6">'[1]Udaje o osobe a vozidle'!$L$12</definedName>
    <definedName name="EUdo" localSheetId="5">'[1]Udaje o osobe a vozidle'!$L$12</definedName>
    <definedName name="EUdo">'Použití soukr.vozidla'!$AG$19</definedName>
    <definedName name="EXTRACT" localSheetId="2">'Žádost o valuty'!$W$26:$W$35</definedName>
    <definedName name="Jmeno">'[1]Udaje o osobe a vozidle'!$E$6</definedName>
    <definedName name="kapesne">'Povolení cesty'!$T$29</definedName>
    <definedName name="kc_celk">'Použití soukr.vozidla'!$L$39</definedName>
    <definedName name="Kc_za_km">'[1]Udaje o osobe a vozidle'!$M$22</definedName>
    <definedName name="mena_1">'Použití soukr.vozidla'!$L$33</definedName>
    <definedName name="mena_2">'Použití soukr.vozidla'!$P$33</definedName>
    <definedName name="mena_3">'Použití soukr.vozidla'!$T$33</definedName>
    <definedName name="mena_4">'Použití soukr.vozidla'!$X$33</definedName>
    <definedName name="Motor">'[1]Udaje o osobe a vozidle'!$L$6</definedName>
    <definedName name="Nahr_za_km">'[1]Udaje o osobe a vozidle'!$M$28</definedName>
    <definedName name="Naroz">'Povolení cesty'!$R$9</definedName>
    <definedName name="Norm_spotr" localSheetId="6">'[1]Udaje o osobe a vozidle'!$M$21</definedName>
    <definedName name="Norm_spotr" localSheetId="5">'[1]Udaje o osobe a vozidle'!$M$21</definedName>
    <definedName name="norm_spotr">'Použití soukr.vozidla'!$AG$15</definedName>
    <definedName name="_xlnm.Print_Area" localSheetId="6">'Dodatečný souhlas s autem'!$B$2:$AA$39</definedName>
    <definedName name="_xlnm.Print_Area" localSheetId="0">'Návod'!$B$2:$J$26</definedName>
    <definedName name="_xlnm.Print_Area" localSheetId="3">'Použití soukr.vozidla'!$B$3:$AA$42</definedName>
    <definedName name="_xlnm.Print_Area" localSheetId="1">'Povolení cesty'!$B$2:$V$63</definedName>
    <definedName name="_xlnm.Print_Area" localSheetId="5">'Prohlášení ke stravnému'!$B$2:$AA$33</definedName>
    <definedName name="_xlnm.Print_Area" localSheetId="4">'Vyúčtování cesty'!$C$2:$AF$180</definedName>
    <definedName name="_xlnm.Print_Area" localSheetId="2">'Žádost o valuty'!$B$2:$W$45</definedName>
    <definedName name="palivo">'Použití soukr.vozidla'!$AG$9</definedName>
    <definedName name="PHM">'[1]Udaje o osobe a vozidle'!$M$25</definedName>
    <definedName name="PojCS" localSheetId="6">'[1]Udaje o osobe a vozidle'!$L$9</definedName>
    <definedName name="PojCS" localSheetId="5">'[1]Udaje o osobe a vozidle'!$L$9</definedName>
    <definedName name="pojCS">'Použití soukr.vozidla'!$AG$16</definedName>
    <definedName name="PojEU" localSheetId="6">'[1]Udaje o osobe a vozidle'!$L$11</definedName>
    <definedName name="PojEU" localSheetId="5">'[1]Udaje o osobe a vozidle'!$L$11</definedName>
    <definedName name="pojEU">'Použití soukr.vozidla'!$AG$18</definedName>
    <definedName name="Prac">'Povolení cesty'!$D$10</definedName>
    <definedName name="Pracoviste">'[1]Udaje o osobe a vozidle'!$E$10</definedName>
    <definedName name="Prijmeni">'[1]Udaje o osobe a vozidle'!$E$7</definedName>
    <definedName name="RCislo">'[1]Udaje o osobe a vozidle'!#REF!</definedName>
    <definedName name="sazba_za_km">'Použití soukr.vozidla'!$AG$20</definedName>
    <definedName name="Spolucest" localSheetId="6">'[1]Pouziti soukr.vozidla'!$G$21</definedName>
    <definedName name="Spolucest" localSheetId="5">'[1]Pouziti soukr.vozidla'!$G$21</definedName>
    <definedName name="Spolucest">'Povolení cesty'!$E$27</definedName>
    <definedName name="Spolucest1">'[1]Pouziti vozidla z pujcovny'!$G$18</definedName>
    <definedName name="SPZ" localSheetId="6">'[1]Udaje o osobe a vozidle'!$L$7</definedName>
    <definedName name="SPZ" localSheetId="5">'[1]Udaje o osobe a vozidle'!$L$7</definedName>
    <definedName name="SPZ">'Použití soukr.vozidla'!$AG$8</definedName>
    <definedName name="Telef">'Povolení cesty'!$S$10</definedName>
    <definedName name="Titul">'[1]Udaje o osobe a vozidle'!$E$8</definedName>
    <definedName name="Tlf">'[1]Udaje o osobe a vozidle'!$E$11</definedName>
    <definedName name="Typ_auta">'[1]Udaje o osobe a vozidle'!$L$5</definedName>
    <definedName name="Typ_vozidla">'Použití soukr.vozidla'!$AG$7</definedName>
    <definedName name="volba1">"stahovací 27"</definedName>
    <definedName name="za_km">'Použití soukr.vozidla'!$L$38</definedName>
    <definedName name="za_PHM_1">'Použití soukr.vozidla'!$L$37</definedName>
    <definedName name="za_PHM_2">'Použití soukr.vozidla'!$P$37</definedName>
    <definedName name="za_PHM_3">'Použití soukr.vozidla'!$T$37</definedName>
    <definedName name="za_PHM_4">'Použití soukr.vozidla'!$X$37</definedName>
    <definedName name="Zaškrtávací3" localSheetId="1">'Povolení cesty'!$B$29</definedName>
    <definedName name="Zaškrtávací5" localSheetId="1">'Povolení cesty'!$B$12</definedName>
    <definedName name="Zaškrtávací7" localSheetId="1">'Povolení cesty'!$S$35</definedName>
  </definedNames>
  <calcPr fullCalcOnLoad="1"/>
</workbook>
</file>

<file path=xl/comments4.xml><?xml version="1.0" encoding="utf-8"?>
<comments xmlns="http://schemas.openxmlformats.org/spreadsheetml/2006/main">
  <authors>
    <author>Čestmír Greger</author>
  </authors>
  <commentList>
    <comment ref="AG20" authorId="0">
      <text>
        <r>
          <rPr>
            <b/>
            <sz val="8"/>
            <rFont val="Tahoma"/>
            <family val="2"/>
          </rPr>
          <t xml:space="preserve">
Aktuální hodnota, platná od 1.1.2016, je pro </t>
        </r>
        <r>
          <rPr>
            <b/>
            <sz val="8"/>
            <color indexed="10"/>
            <rFont val="Tahoma"/>
            <family val="2"/>
          </rPr>
          <t>osobní automobil 3,80 Kč</t>
        </r>
        <r>
          <rPr>
            <b/>
            <sz val="8"/>
            <rFont val="Tahoma"/>
            <family val="2"/>
          </rPr>
          <t xml:space="preserve">, pro </t>
        </r>
        <r>
          <rPr>
            <b/>
            <sz val="8"/>
            <color indexed="10"/>
            <rFont val="Tahoma"/>
            <family val="2"/>
          </rPr>
          <t>motocykl a tříkolku 1,00 Kč</t>
        </r>
        <r>
          <rPr>
            <b/>
            <sz val="8"/>
            <rFont val="Tahoma"/>
            <family val="2"/>
          </rPr>
          <t>.</t>
        </r>
        <r>
          <rPr>
            <sz val="8"/>
            <rFont val="Tahoma"/>
            <family val="2"/>
          </rPr>
          <t xml:space="preserve">
</t>
        </r>
      </text>
    </comment>
  </commentList>
</comments>
</file>

<file path=xl/comments5.xml><?xml version="1.0" encoding="utf-8"?>
<comments xmlns="http://schemas.openxmlformats.org/spreadsheetml/2006/main">
  <authors>
    <author>Čestmír Greger</author>
  </authors>
  <commentList>
    <comment ref="U6" authorId="0">
      <text>
        <r>
          <rPr>
            <b/>
            <sz val="8"/>
            <rFont val="Tahoma"/>
            <family val="2"/>
          </rPr>
          <t xml:space="preserve">
                          </t>
        </r>
        <r>
          <rPr>
            <b/>
            <sz val="8"/>
            <color indexed="12"/>
            <rFont val="Tahoma"/>
            <family val="2"/>
          </rPr>
          <t>V ý š e   s t r a v n é h o  (</t>
        </r>
        <r>
          <rPr>
            <b/>
            <sz val="8"/>
            <color indexed="10"/>
            <rFont val="Tahoma"/>
            <family val="2"/>
          </rPr>
          <t>platí od 1.1.2016</t>
        </r>
        <r>
          <rPr>
            <b/>
            <sz val="8"/>
            <color indexed="12"/>
            <rFont val="Tahoma"/>
            <family val="2"/>
          </rPr>
          <t>):</t>
        </r>
        <r>
          <rPr>
            <b/>
            <sz val="8"/>
            <rFont val="Tahoma"/>
            <family val="2"/>
          </rPr>
          <t xml:space="preserve">
                                      Plné                     Výše kráceného stravného:
                                  stravné:    </t>
        </r>
        <r>
          <rPr>
            <sz val="8"/>
            <rFont val="Tahoma"/>
            <family val="2"/>
          </rPr>
          <t>Počet bezplatně poskytnutých jídel v daném dni:</t>
        </r>
        <r>
          <rPr>
            <b/>
            <sz val="8"/>
            <rFont val="Tahoma"/>
            <family val="2"/>
          </rPr>
          <t xml:space="preserve">
     </t>
        </r>
        <r>
          <rPr>
            <b/>
            <u val="single"/>
            <sz val="8"/>
            <rFont val="Tahoma"/>
            <family val="2"/>
          </rPr>
          <t xml:space="preserve">Trvání cesty:                                           1                   2                   3                 </t>
        </r>
        <r>
          <rPr>
            <b/>
            <sz val="8"/>
            <rFont val="Tahoma"/>
            <family val="2"/>
          </rPr>
          <t xml:space="preserve">
           &lt; 5 hodin            0 Kč         
       5 - 12 hodin          83 Kč               24,90 Kč               0 Kč             0 Kč
     12 - 18 hodin        127 Kč               82,55 Kč        38,10 Kč             0 Kč
         &gt; 18 hodin        198 Kč             148,50 Kč        99,00 Kč      49,50 Kč   
                     </t>
        </r>
        <r>
          <rPr>
            <b/>
            <sz val="9"/>
            <rFont val="Tahoma"/>
            <family val="2"/>
          </rPr>
          <t>Pole nevyplňujte, stravné se vypočítá automaticky</t>
        </r>
      </text>
    </comment>
    <comment ref="Z31" authorId="0">
      <text>
        <r>
          <rPr>
            <sz val="8"/>
            <rFont val="Tahoma"/>
            <family val="2"/>
          </rPr>
          <t xml:space="preserve">
</t>
        </r>
        <r>
          <rPr>
            <b/>
            <sz val="8"/>
            <color indexed="12"/>
            <rFont val="Tahoma"/>
            <family val="2"/>
          </rPr>
          <t xml:space="preserve">Stravné je vypláceno v závislosti na délce pobytu na území státu v daném dni 
a počtu bezplatně poskytnutých jídel, a to podle následujícího schématu:
</t>
        </r>
        <r>
          <rPr>
            <sz val="8"/>
            <rFont val="Tahoma"/>
            <family val="2"/>
          </rPr>
          <t xml:space="preserve">__________________________________________________________________________
                                    </t>
        </r>
        <r>
          <rPr>
            <u val="single"/>
            <sz val="8"/>
            <rFont val="Tahoma"/>
            <family val="2"/>
          </rPr>
          <t xml:space="preserve">               </t>
        </r>
        <r>
          <rPr>
            <b/>
            <u val="single"/>
            <sz val="8"/>
            <rFont val="Tahoma"/>
            <family val="2"/>
          </rPr>
          <t>Výše stravného v % celodenní částky</t>
        </r>
        <r>
          <rPr>
            <u val="single"/>
            <sz val="8"/>
            <rFont val="Tahoma"/>
            <family val="2"/>
          </rPr>
          <t xml:space="preserve">                __</t>
        </r>
        <r>
          <rPr>
            <sz val="8"/>
            <rFont val="Tahoma"/>
            <family val="2"/>
          </rPr>
          <t xml:space="preserve">_
Počet bezplatně                                  Délka pobytu na území státu          
poskytnutých jídel         od </t>
        </r>
        <r>
          <rPr>
            <b/>
            <sz val="8"/>
            <rFont val="Tahoma"/>
            <family val="2"/>
          </rPr>
          <t>1</t>
        </r>
        <r>
          <rPr>
            <sz val="8"/>
            <rFont val="Tahoma"/>
            <family val="2"/>
          </rPr>
          <t xml:space="preserve"> do </t>
        </r>
        <r>
          <rPr>
            <b/>
            <sz val="8"/>
            <rFont val="Tahoma"/>
            <family val="2"/>
          </rPr>
          <t>12</t>
        </r>
        <r>
          <rPr>
            <sz val="8"/>
            <rFont val="Tahoma"/>
            <family val="2"/>
          </rPr>
          <t xml:space="preserve"> hod.     déle než </t>
        </r>
        <r>
          <rPr>
            <b/>
            <sz val="8"/>
            <rFont val="Tahoma"/>
            <family val="2"/>
          </rPr>
          <t>12</t>
        </r>
        <r>
          <rPr>
            <sz val="8"/>
            <rFont val="Tahoma"/>
            <family val="2"/>
          </rPr>
          <t xml:space="preserve"> do </t>
        </r>
        <r>
          <rPr>
            <b/>
            <sz val="8"/>
            <rFont val="Tahoma"/>
            <family val="2"/>
          </rPr>
          <t>18</t>
        </r>
        <r>
          <rPr>
            <sz val="8"/>
            <rFont val="Tahoma"/>
            <family val="2"/>
          </rPr>
          <t xml:space="preserve"> hod.       déle než </t>
        </r>
        <r>
          <rPr>
            <b/>
            <sz val="8"/>
            <rFont val="Tahoma"/>
            <family val="2"/>
          </rPr>
          <t>18</t>
        </r>
        <r>
          <rPr>
            <sz val="8"/>
            <rFont val="Tahoma"/>
            <family val="2"/>
          </rPr>
          <t xml:space="preserve"> hod.
__________________________________________________________________________
        </t>
        </r>
        <r>
          <rPr>
            <b/>
            <sz val="8"/>
            <rFont val="Tahoma"/>
            <family val="2"/>
          </rPr>
          <t xml:space="preserve">  0</t>
        </r>
        <r>
          <rPr>
            <sz val="8"/>
            <rFont val="Tahoma"/>
            <family val="2"/>
          </rPr>
          <t xml:space="preserve">                                 33,3%                         66,7%                             100%  
          </t>
        </r>
        <r>
          <rPr>
            <b/>
            <sz val="8"/>
            <rFont val="Tahoma"/>
            <family val="2"/>
          </rPr>
          <t xml:space="preserve">1 </t>
        </r>
        <r>
          <rPr>
            <sz val="8"/>
            <rFont val="Tahoma"/>
            <family val="2"/>
          </rPr>
          <t xml:space="preserve">                                   10%                         43,3%                               75%
         </t>
        </r>
        <r>
          <rPr>
            <b/>
            <sz val="8"/>
            <rFont val="Tahoma"/>
            <family val="2"/>
          </rPr>
          <t xml:space="preserve"> 2  </t>
        </r>
        <r>
          <rPr>
            <sz val="8"/>
            <rFont val="Tahoma"/>
            <family val="2"/>
          </rPr>
          <t xml:space="preserve">                                    0%                            20%                               50%
</t>
        </r>
        <r>
          <rPr>
            <sz val="8"/>
            <rFont val="Tahoma"/>
            <family val="2"/>
          </rPr>
          <t xml:space="preserve">         </t>
        </r>
        <r>
          <rPr>
            <b/>
            <sz val="8"/>
            <rFont val="Tahoma"/>
            <family val="2"/>
          </rPr>
          <t xml:space="preserve"> 3  </t>
        </r>
        <r>
          <rPr>
            <sz val="8"/>
            <rFont val="Tahoma"/>
            <family val="2"/>
          </rPr>
          <t xml:space="preserve">                                    0%                              0%                               25%                 </t>
        </r>
        <r>
          <rPr>
            <sz val="8"/>
            <rFont val="Tahoma"/>
            <family val="2"/>
          </rPr>
          <t xml:space="preserve">
__________________________________________________________________________
Ve dni, kdy vznikl nárok na vyplacení tuzemského stravného, se zahraniční stravné nevyplácí, 
pokud je doba pobytu na území cizího státu kratší než 5 hodin. Tato doba se však připočítává k době strávené na území ČR a má vliv na výši tuzemského stravného.
Dojde-li v jednom dni k pobytu ve více státech, vypočítá se stravné podle sazby, platné ve státě s nejdelší dobou pobytu v daném dni.
                                                     </t>
        </r>
        <r>
          <rPr>
            <sz val="8"/>
            <color indexed="10"/>
            <rFont val="Tahoma"/>
            <family val="2"/>
          </rPr>
          <t xml:space="preserve">   Platnost od</t>
        </r>
        <r>
          <rPr>
            <b/>
            <sz val="8"/>
            <color indexed="10"/>
            <rFont val="Tahoma"/>
            <family val="2"/>
          </rPr>
          <t xml:space="preserve"> 1.1.2012
</t>
        </r>
      </text>
    </comment>
    <comment ref="AC31" authorId="0">
      <text>
        <r>
          <rPr>
            <b/>
            <sz val="8"/>
            <rFont val="Tahoma"/>
            <family val="2"/>
          </rPr>
          <t xml:space="preserve">Hvězdička v tomto poli indikuje, že mohlo dojít k  úpravě zahraničního stravného na základě toho, že v daném dni bylo pracovníkovi poskytnto  stravné v Kč </t>
        </r>
        <r>
          <rPr>
            <sz val="8"/>
            <rFont val="Tahoma"/>
            <family val="2"/>
          </rPr>
          <t>(týká se prvního a posledního dne pobytu)</t>
        </r>
        <r>
          <rPr>
            <b/>
            <sz val="8"/>
            <rFont val="Tahoma"/>
            <family val="2"/>
          </rPr>
          <t>.</t>
        </r>
      </text>
    </comment>
    <comment ref="Z57" authorId="0">
      <text>
        <r>
          <rPr>
            <sz val="8"/>
            <rFont val="Tahoma"/>
            <family val="2"/>
          </rPr>
          <t xml:space="preserve">
</t>
        </r>
        <r>
          <rPr>
            <b/>
            <sz val="8"/>
            <color indexed="12"/>
            <rFont val="Tahoma"/>
            <family val="2"/>
          </rPr>
          <t xml:space="preserve">Stravné je vypláceno v závislosti na délce pobytu na území státu v daném dni 
a počtu bezplatně poskytnutých jídel, a to podle následujícího schématu:
</t>
        </r>
        <r>
          <rPr>
            <sz val="8"/>
            <rFont val="Tahoma"/>
            <family val="2"/>
          </rPr>
          <t xml:space="preserve">__________________________________________________________________________
                                    </t>
        </r>
        <r>
          <rPr>
            <u val="single"/>
            <sz val="8"/>
            <rFont val="Tahoma"/>
            <family val="2"/>
          </rPr>
          <t xml:space="preserve">               </t>
        </r>
        <r>
          <rPr>
            <b/>
            <u val="single"/>
            <sz val="8"/>
            <rFont val="Tahoma"/>
            <family val="2"/>
          </rPr>
          <t>Výše stravného v % celodenní částky</t>
        </r>
        <r>
          <rPr>
            <u val="single"/>
            <sz val="8"/>
            <rFont val="Tahoma"/>
            <family val="2"/>
          </rPr>
          <t xml:space="preserve">                __</t>
        </r>
        <r>
          <rPr>
            <sz val="8"/>
            <rFont val="Tahoma"/>
            <family val="2"/>
          </rPr>
          <t xml:space="preserve">_
Počet bezplatně                                  Délka pobytu na území státu          
poskytnutých jídel         od </t>
        </r>
        <r>
          <rPr>
            <b/>
            <sz val="8"/>
            <rFont val="Tahoma"/>
            <family val="2"/>
          </rPr>
          <t>1</t>
        </r>
        <r>
          <rPr>
            <sz val="8"/>
            <rFont val="Tahoma"/>
            <family val="2"/>
          </rPr>
          <t xml:space="preserve"> do </t>
        </r>
        <r>
          <rPr>
            <b/>
            <sz val="8"/>
            <rFont val="Tahoma"/>
            <family val="2"/>
          </rPr>
          <t>12</t>
        </r>
        <r>
          <rPr>
            <sz val="8"/>
            <rFont val="Tahoma"/>
            <family val="2"/>
          </rPr>
          <t xml:space="preserve"> hod.     déle než </t>
        </r>
        <r>
          <rPr>
            <b/>
            <sz val="8"/>
            <rFont val="Tahoma"/>
            <family val="2"/>
          </rPr>
          <t>12</t>
        </r>
        <r>
          <rPr>
            <sz val="8"/>
            <rFont val="Tahoma"/>
            <family val="2"/>
          </rPr>
          <t xml:space="preserve"> do </t>
        </r>
        <r>
          <rPr>
            <b/>
            <sz val="8"/>
            <rFont val="Tahoma"/>
            <family val="2"/>
          </rPr>
          <t>18</t>
        </r>
        <r>
          <rPr>
            <sz val="8"/>
            <rFont val="Tahoma"/>
            <family val="2"/>
          </rPr>
          <t xml:space="preserve"> hod.       déle než </t>
        </r>
        <r>
          <rPr>
            <b/>
            <sz val="8"/>
            <rFont val="Tahoma"/>
            <family val="2"/>
          </rPr>
          <t>18</t>
        </r>
        <r>
          <rPr>
            <sz val="8"/>
            <rFont val="Tahoma"/>
            <family val="2"/>
          </rPr>
          <t xml:space="preserve"> hod.
__________________________________________________________________________
        </t>
        </r>
        <r>
          <rPr>
            <b/>
            <sz val="8"/>
            <rFont val="Tahoma"/>
            <family val="2"/>
          </rPr>
          <t xml:space="preserve">  0</t>
        </r>
        <r>
          <rPr>
            <sz val="8"/>
            <rFont val="Tahoma"/>
            <family val="2"/>
          </rPr>
          <t xml:space="preserve">                                 33,3%                         66,7%                             100%  
          </t>
        </r>
        <r>
          <rPr>
            <b/>
            <sz val="8"/>
            <rFont val="Tahoma"/>
            <family val="2"/>
          </rPr>
          <t xml:space="preserve">1 </t>
        </r>
        <r>
          <rPr>
            <sz val="8"/>
            <rFont val="Tahoma"/>
            <family val="2"/>
          </rPr>
          <t xml:space="preserve">                                   10%                         43,3%                               75%
         </t>
        </r>
        <r>
          <rPr>
            <b/>
            <sz val="8"/>
            <rFont val="Tahoma"/>
            <family val="2"/>
          </rPr>
          <t xml:space="preserve"> 2  </t>
        </r>
        <r>
          <rPr>
            <sz val="8"/>
            <rFont val="Tahoma"/>
            <family val="2"/>
          </rPr>
          <t xml:space="preserve">                                    0%                            20%                               50%
</t>
        </r>
        <r>
          <rPr>
            <sz val="8"/>
            <rFont val="Tahoma"/>
            <family val="2"/>
          </rPr>
          <t xml:space="preserve">         </t>
        </r>
        <r>
          <rPr>
            <b/>
            <sz val="8"/>
            <rFont val="Tahoma"/>
            <family val="2"/>
          </rPr>
          <t xml:space="preserve"> 3  </t>
        </r>
        <r>
          <rPr>
            <sz val="8"/>
            <rFont val="Tahoma"/>
            <family val="2"/>
          </rPr>
          <t xml:space="preserve">                                    0%                              0%                               25%                 </t>
        </r>
        <r>
          <rPr>
            <sz val="8"/>
            <rFont val="Tahoma"/>
            <family val="2"/>
          </rPr>
          <t xml:space="preserve">
__________________________________________________________________________
Ve dni, kdy vznikl nárok na vyplacení tuzemského stravného, se zahraniční stravné nevyplácí, 
pokud je doba pobytu na území cizího státu kratší než 5 hodin. Tato doba se však připočítává k době strávené na území ČR a má vliv na výši tuzemského stravného.
Dojde-li v jednom dni k pobytu ve více státech, vypočítá se stravné podle sazby, platné ve státě s nejdelší dobou pobytu v daném dni.
                                                     </t>
        </r>
        <r>
          <rPr>
            <sz val="8"/>
            <color indexed="10"/>
            <rFont val="Tahoma"/>
            <family val="2"/>
          </rPr>
          <t xml:space="preserve">   Platnost od</t>
        </r>
        <r>
          <rPr>
            <b/>
            <sz val="8"/>
            <color indexed="10"/>
            <rFont val="Tahoma"/>
            <family val="2"/>
          </rPr>
          <t xml:space="preserve"> 1.1.2012</t>
        </r>
      </text>
    </comment>
    <comment ref="AC57" authorId="0">
      <text>
        <r>
          <rPr>
            <b/>
            <sz val="8"/>
            <rFont val="Tahoma"/>
            <family val="2"/>
          </rPr>
          <t xml:space="preserve">Hvězdička v tomto poli indikuje, že mohlo dojít k úpravě zahraničního stravného na základě toho, že v daném dni bylo pracovníkovi poskytnto  stravné v Kč </t>
        </r>
        <r>
          <rPr>
            <sz val="8"/>
            <rFont val="Tahoma"/>
            <family val="2"/>
          </rPr>
          <t>(týká se prvního a posledního dne pobytu)</t>
        </r>
        <r>
          <rPr>
            <b/>
            <sz val="8"/>
            <rFont val="Tahoma"/>
            <family val="2"/>
          </rPr>
          <t>.</t>
        </r>
      </text>
    </comment>
  </commentList>
</comments>
</file>

<file path=xl/sharedStrings.xml><?xml version="1.0" encoding="utf-8"?>
<sst xmlns="http://schemas.openxmlformats.org/spreadsheetml/2006/main" count="818" uniqueCount="524">
  <si>
    <t xml:space="preserve">Ve sloupci "Stát" používejte k výběru země opět rozbalovací nabídku. Podle výběru země se automaticky určuje denní sazba a měna stravného, na základě vypočtené doby pobytu v jednotlivých řádcích se pak počítají celkové sumy stravného i kapesného (výše stravného je ovlivněna označením bezplatně poskytnuté stravy). </t>
  </si>
  <si>
    <r>
      <t xml:space="preserve">V případě cesty letadlem odpovídá doba překročení hranic odletu a příletu letadla.
</t>
    </r>
    <r>
      <rPr>
        <i/>
        <sz val="10"/>
        <rFont val="Verdana"/>
        <family val="2"/>
      </rPr>
      <t xml:space="preserve">Pokud při cestě do zahraničí na území ČR přenocujete, každý den pobytu na území ČR uvádějte na zvláštní řádek. První den uveďte čas </t>
    </r>
    <r>
      <rPr>
        <b/>
        <i/>
        <sz val="10"/>
        <rFont val="Verdana"/>
        <family val="2"/>
      </rPr>
      <t>Do:</t>
    </r>
    <r>
      <rPr>
        <i/>
        <sz val="10"/>
        <rFont val="Verdana"/>
        <family val="2"/>
      </rPr>
      <t xml:space="preserve"> jako 24:00 hodin, druhý den pak zapište do kolonky </t>
    </r>
    <r>
      <rPr>
        <b/>
        <i/>
        <sz val="10"/>
        <rFont val="Verdana"/>
        <family val="2"/>
      </rPr>
      <t>Od:</t>
    </r>
    <r>
      <rPr>
        <i/>
        <sz val="10"/>
        <rFont val="Verdana"/>
        <family val="2"/>
      </rPr>
      <t xml:space="preserve"> údaj 0:00. Stravné se spočítá automaticky. Stejné pravidlo platí i pro případ, že na území ČR přenocujete při návratu.
</t>
    </r>
    <r>
      <rPr>
        <b/>
        <i/>
        <sz val="10"/>
        <rFont val="Verdana"/>
        <family val="2"/>
      </rPr>
      <t>Vyúčtování pracovní cesty po ČR vyplňte dříve než budete provádět výpočet zahraničního stravného.</t>
    </r>
    <r>
      <rPr>
        <i/>
        <sz val="10"/>
        <rFont val="Verdana"/>
        <family val="2"/>
      </rPr>
      <t xml:space="preserve"> Podle doby strávené v zahranicí v den odjezdu nebo příjezdu může  totiž dojít k úpravě i tuzemského stravného (viz Zákoník práce). Úpravy se při výpočtu provádějí automaticky.</t>
    </r>
  </si>
  <si>
    <r>
      <t xml:space="preserve">Stravné a kapesné se nezobrazují ihned při vyplňování, ale spočítají se až po vyplnění všech časových údajů </t>
    </r>
    <r>
      <rPr>
        <b/>
        <sz val="10"/>
        <color indexed="10"/>
        <rFont val="Verdana"/>
        <family val="2"/>
      </rPr>
      <t xml:space="preserve"> kliknutím na tlačítko "Spočítat/přepočítat stravné"</t>
    </r>
    <r>
      <rPr>
        <sz val="10"/>
        <color indexed="10"/>
        <rFont val="Verdana"/>
        <family val="2"/>
      </rPr>
      <t xml:space="preserve">. Budete-li ve vyplňovaných údajích provádět nějaké změny, nezapoměňte po jejich dokončení znovu přepočítat stravné kliknutím na uvedené tlačítko. Spočítané stravné a kapesné je možno smazat klepnutím na tlačítko </t>
    </r>
    <r>
      <rPr>
        <b/>
        <sz val="10"/>
        <color indexed="10"/>
        <rFont val="Verdana"/>
        <family val="2"/>
      </rPr>
      <t>"Vymazat stravné"</t>
    </r>
    <r>
      <rPr>
        <sz val="10"/>
        <color indexed="10"/>
        <rFont val="Verdana"/>
        <family val="2"/>
      </rPr>
      <t xml:space="preserve">.
Nebude-li vám postačovat počet řádků tabulky, je možno přidat celou další stránku tabulky kliknutím na tlačítko </t>
    </r>
    <r>
      <rPr>
        <b/>
        <sz val="10"/>
        <color indexed="10"/>
        <rFont val="Verdana"/>
        <family val="2"/>
      </rPr>
      <t>"Přidat řádky"</t>
    </r>
    <r>
      <rPr>
        <sz val="10"/>
        <color indexed="10"/>
        <rFont val="Verdana"/>
        <family val="2"/>
      </rPr>
      <t xml:space="preserve">. Pokud byste přidané řádky nepoužili, je možno je opět skrýt kliknutím na tlačítko </t>
    </r>
    <r>
      <rPr>
        <b/>
        <sz val="10"/>
        <color indexed="10"/>
        <rFont val="Verdana"/>
        <family val="2"/>
      </rPr>
      <t>"Skrýt přidané řádky"</t>
    </r>
    <r>
      <rPr>
        <sz val="10"/>
        <color indexed="10"/>
        <rFont val="Verdana"/>
        <family val="2"/>
      </rPr>
      <t>. Takto skryté řádky se při tisku Cestovního příkazu netisknou.</t>
    </r>
  </si>
  <si>
    <r>
      <t>Oddíl 4 - "Vyúčtování zahraniční pracovní cesty"</t>
    </r>
    <r>
      <rPr>
        <sz val="10"/>
        <rFont val="Verdana"/>
        <family val="2"/>
      </rPr>
      <t xml:space="preserve"> - slouží k vlastnímu vyúčtování cesty v jednotlivých měnách. Pečlivě vyplňte dobu přechodu hranic republiky nebo odletu a příletu letadla, poněvaž tyto údaje jsou rozhodující pro výši diet prvního a posledního dne cesty.</t>
    </r>
  </si>
  <si>
    <r>
      <t>Vyplnění tabulky</t>
    </r>
    <r>
      <rPr>
        <b/>
        <u val="single"/>
        <sz val="10"/>
        <rFont val="Verdana"/>
        <family val="2"/>
      </rPr>
      <t xml:space="preserve"> </t>
    </r>
    <r>
      <rPr>
        <b/>
        <u val="single"/>
        <sz val="10"/>
        <color indexed="10"/>
        <rFont val="Verdana"/>
        <family val="2"/>
      </rPr>
      <t xml:space="preserve">"Pobyt na území" </t>
    </r>
    <r>
      <rPr>
        <b/>
        <i/>
        <u val="single"/>
        <sz val="10"/>
        <color indexed="10"/>
        <rFont val="Verdana"/>
        <family val="2"/>
      </rPr>
      <t>věnujte zvýšenou pozornost.</t>
    </r>
    <r>
      <rPr>
        <sz val="10"/>
        <rFont val="Verdana"/>
        <family val="2"/>
      </rPr>
      <t xml:space="preserve">
</t>
    </r>
    <r>
      <rPr>
        <sz val="10"/>
        <color indexed="10"/>
        <rFont val="Verdana"/>
        <family val="2"/>
      </rPr>
      <t>Je nutno vyplnit všechna potřebná data "od - do", údaje hodin a navštívený stát. Data zapisujte ve formátu "</t>
    </r>
    <r>
      <rPr>
        <b/>
        <sz val="10"/>
        <color indexed="10"/>
        <rFont val="Verdana"/>
        <family val="2"/>
      </rPr>
      <t>d.m.rr</t>
    </r>
    <r>
      <rPr>
        <sz val="10"/>
        <color indexed="10"/>
        <rFont val="Verdana"/>
        <family val="2"/>
      </rPr>
      <t>" (6.7.12) nebo "</t>
    </r>
    <r>
      <rPr>
        <b/>
        <sz val="10"/>
        <color indexed="10"/>
        <rFont val="Verdana"/>
        <family val="2"/>
      </rPr>
      <t>d.m.rrrr</t>
    </r>
    <r>
      <rPr>
        <sz val="10"/>
        <color indexed="10"/>
        <rFont val="Verdana"/>
        <family val="2"/>
      </rPr>
      <t>" (6.7.2012), hodiny pak ve formátu "</t>
    </r>
    <r>
      <rPr>
        <b/>
        <sz val="10"/>
        <color indexed="10"/>
        <rFont val="Verdana"/>
        <family val="2"/>
      </rPr>
      <t>h:mm</t>
    </r>
    <r>
      <rPr>
        <sz val="10"/>
        <color indexed="10"/>
        <rFont val="Verdana"/>
        <family val="2"/>
      </rPr>
      <t xml:space="preserve">" (9:45). </t>
    </r>
    <r>
      <rPr>
        <b/>
        <sz val="10"/>
        <color indexed="10"/>
        <rFont val="Verdana"/>
        <family val="2"/>
      </rPr>
      <t xml:space="preserve">Necelé dny (kdy je doba pobytu na území příslušného státu kratší než 24 hodin) uvádějte </t>
    </r>
    <r>
      <rPr>
        <b/>
        <u val="single"/>
        <sz val="10"/>
        <color indexed="10"/>
        <rFont val="Verdana"/>
        <family val="2"/>
      </rPr>
      <t>vždy na samostatný řádek</t>
    </r>
    <r>
      <rPr>
        <sz val="10"/>
        <color indexed="10"/>
        <rFont val="Verdana"/>
        <family val="2"/>
      </rPr>
      <t xml:space="preserve">. Celé dny s různým počtem bezplatně poskytnutých jídel uvádějte rovněž na samostných řádcích. Blok po sobě následujících celých dnů se stejnou skladbou bezplatně poskytnutých jídel je možno uvést na jednom řádku. </t>
    </r>
    <r>
      <rPr>
        <b/>
        <sz val="10"/>
        <color indexed="10"/>
        <rFont val="Verdana"/>
        <family val="2"/>
      </rPr>
      <t>Den začíná vždy v 0:00 hodin a končí ve 24:00 hodin.</t>
    </r>
    <r>
      <rPr>
        <sz val="10"/>
        <color indexed="10"/>
        <rFont val="Verdana"/>
        <family val="2"/>
      </rPr>
      <t xml:space="preserve"> Poslední tři sloupce tabulky obsahují zaškrtávací políčka, kterými označíte tu část stravy, která vám byla poskytnuta v uvedené skupině dní bezplatně. Na základě zaškrtnutí políček se automaticky krátí o příslušné procento částka stravného.</t>
    </r>
  </si>
  <si>
    <t>Nevyužívá se</t>
  </si>
  <si>
    <t>České stravné bez krácení za jídla zdarma</t>
  </si>
  <si>
    <r>
      <t>Po vyplnění prvních dvou nebo tří (při použití vlastního vozidla) listů celý formulář  uložte pod vhodným názvem na disk svého počítače (</t>
    </r>
    <r>
      <rPr>
        <b/>
        <u val="single"/>
        <sz val="10"/>
        <color indexed="10"/>
        <rFont val="Verdana"/>
        <family val="2"/>
      </rPr>
      <t>budete jej potřebovat po ukončení cesty!!!</t>
    </r>
    <r>
      <rPr>
        <b/>
        <sz val="10"/>
        <color indexed="10"/>
        <rFont val="Verdana"/>
        <family val="2"/>
      </rPr>
      <t xml:space="preserve">). </t>
    </r>
  </si>
  <si>
    <t>Odjezd - příjezd (místo)**</t>
  </si>
  <si>
    <t>CZK</t>
  </si>
  <si>
    <t>Cena paliva / 1litr</t>
  </si>
  <si>
    <r>
      <t>2)</t>
    </r>
    <r>
      <rPr>
        <sz val="7"/>
        <rFont val="Tahoma"/>
        <family val="2"/>
      </rPr>
      <t xml:space="preserve"> Program EU (6.RP; jiný-uveďte jaký), jiný zahr. program / projekt (uveďte jaký), Konkursní listina MŠMT ČR (KL), 
   Partnerská univerzita MU („Družba“) , Dvoustranná spolupráce (mezi), jiný - uveďte jaký </t>
    </r>
  </si>
  <si>
    <t>Pracoviště:</t>
  </si>
  <si>
    <t>Příjmení, jméno, titul:</t>
  </si>
  <si>
    <t>Telefon pracoviště:</t>
  </si>
  <si>
    <t>Bydliště:</t>
  </si>
  <si>
    <t>Cílový stát / město-místo / instituce:</t>
  </si>
  <si>
    <t>Spolucestující:</t>
  </si>
  <si>
    <t>Další podmínky pracovní cesty:</t>
  </si>
  <si>
    <t>ZAV/</t>
  </si>
  <si>
    <t>/</t>
  </si>
  <si>
    <t>% kapesného:</t>
  </si>
  <si>
    <t>Počátek cesty (místo, datum, čas):</t>
  </si>
  <si>
    <t>Konec cesty (místo, datum, čas):</t>
  </si>
  <si>
    <t>Německo</t>
  </si>
  <si>
    <t>Datum</t>
  </si>
  <si>
    <t>Stravné</t>
  </si>
  <si>
    <t>Ubytování</t>
  </si>
  <si>
    <t>Jízdné a místní přeprava</t>
  </si>
  <si>
    <t>Mimořádné výdaje</t>
  </si>
  <si>
    <t>Prokázané výdaje</t>
  </si>
  <si>
    <t>Nutno doložit žádost
a výpočet požadovaných náhrad</t>
  </si>
  <si>
    <t>Částka nároku za PHM</t>
  </si>
  <si>
    <t>C E L K E M   Kč</t>
  </si>
  <si>
    <t>Odlet (přejezd hranic ČR):</t>
  </si>
  <si>
    <t>Přílet (přejezd hranic ČR):</t>
  </si>
  <si>
    <t>Dne:</t>
  </si>
  <si>
    <t>v hod.:</t>
  </si>
  <si>
    <t>Σ</t>
  </si>
  <si>
    <t>Datum
od - do</t>
  </si>
  <si>
    <t>Měna</t>
  </si>
  <si>
    <t>Stát</t>
  </si>
  <si>
    <t>KAPESNÉ</t>
  </si>
  <si>
    <t>EUR</t>
  </si>
  <si>
    <t>C E L K E M</t>
  </si>
  <si>
    <t>číslo dokladu</t>
  </si>
  <si>
    <t>částka</t>
  </si>
  <si>
    <t>Kapesné</t>
  </si>
  <si>
    <t>Zpráva o výsledku pracovní cesty byla podána dne:</t>
  </si>
  <si>
    <t>Prohlašuji, že jsem všechny údaje uvedl úplně a správně.</t>
  </si>
  <si>
    <t>Ekonom fakulty:</t>
  </si>
  <si>
    <t>Vyúčtování</t>
  </si>
  <si>
    <t>Prokázané výdaje CELKEM Kč</t>
  </si>
  <si>
    <t>M ě n a   n á r o k u</t>
  </si>
  <si>
    <t>v  hod.</t>
  </si>
  <si>
    <t>Použitý doprav. prostř.</t>
  </si>
  <si>
    <t>**)  U zahraniční pracovní cesty uvádějte jako konec nebo počátek</t>
  </si>
  <si>
    <t>M ě n a</t>
  </si>
  <si>
    <t>snídaně</t>
  </si>
  <si>
    <t>oběd</t>
  </si>
  <si>
    <t>večeře</t>
  </si>
  <si>
    <t>GBP</t>
  </si>
  <si>
    <t xml:space="preserve">Afghánistán </t>
  </si>
  <si>
    <t>USD</t>
  </si>
  <si>
    <t>Albánie</t>
  </si>
  <si>
    <t xml:space="preserve">Alžírsko </t>
  </si>
  <si>
    <t>Andorra</t>
  </si>
  <si>
    <t>Angola</t>
  </si>
  <si>
    <t>Anguila</t>
  </si>
  <si>
    <t>Antigua a Barbuda</t>
  </si>
  <si>
    <t xml:space="preserve">Argentina </t>
  </si>
  <si>
    <t xml:space="preserve">Arménie </t>
  </si>
  <si>
    <t xml:space="preserve">Aruba </t>
  </si>
  <si>
    <t xml:space="preserve">Austrálie </t>
  </si>
  <si>
    <t xml:space="preserve">Ázerbajdžán </t>
  </si>
  <si>
    <t xml:space="preserve">Bahrajn </t>
  </si>
  <si>
    <t xml:space="preserve">Bangladéš </t>
  </si>
  <si>
    <t xml:space="preserve">Barbados </t>
  </si>
  <si>
    <t xml:space="preserve">Belgie </t>
  </si>
  <si>
    <t xml:space="preserve">Belize </t>
  </si>
  <si>
    <t xml:space="preserve">Benin </t>
  </si>
  <si>
    <t xml:space="preserve">Bermudy </t>
  </si>
  <si>
    <t xml:space="preserve">Bělorusko </t>
  </si>
  <si>
    <t>Bhútán</t>
  </si>
  <si>
    <t xml:space="preserve">Bolívie </t>
  </si>
  <si>
    <t>Bosna a Hercegovina</t>
  </si>
  <si>
    <t xml:space="preserve">Botswana </t>
  </si>
  <si>
    <t xml:space="preserve">Brazílie </t>
  </si>
  <si>
    <t xml:space="preserve">Brunei </t>
  </si>
  <si>
    <t xml:space="preserve">Bulharsko </t>
  </si>
  <si>
    <t>Burkina Faso</t>
  </si>
  <si>
    <t xml:space="preserve">Burundi </t>
  </si>
  <si>
    <t xml:space="preserve">Curacao </t>
  </si>
  <si>
    <t xml:space="preserve">Čad </t>
  </si>
  <si>
    <t xml:space="preserve">Čína </t>
  </si>
  <si>
    <t xml:space="preserve">Dánsko </t>
  </si>
  <si>
    <t>Dominika</t>
  </si>
  <si>
    <t xml:space="preserve">Dominikánská rep. </t>
  </si>
  <si>
    <t xml:space="preserve">Džibuti </t>
  </si>
  <si>
    <t xml:space="preserve">Egypt </t>
  </si>
  <si>
    <t xml:space="preserve">Ekvádor </t>
  </si>
  <si>
    <t>Eritrea</t>
  </si>
  <si>
    <t xml:space="preserve">Estonsko </t>
  </si>
  <si>
    <t xml:space="preserve">Etiopie </t>
  </si>
  <si>
    <t xml:space="preserve">Filipiny </t>
  </si>
  <si>
    <t xml:space="preserve">Finsko </t>
  </si>
  <si>
    <t xml:space="preserve">Francie </t>
  </si>
  <si>
    <t xml:space="preserve">Gabon </t>
  </si>
  <si>
    <t xml:space="preserve">Gambie </t>
  </si>
  <si>
    <t xml:space="preserve">Ghana </t>
  </si>
  <si>
    <t xml:space="preserve">Gibraltar </t>
  </si>
  <si>
    <t xml:space="preserve">Guadeloupe </t>
  </si>
  <si>
    <t xml:space="preserve">Grenada </t>
  </si>
  <si>
    <t xml:space="preserve">Gruzie </t>
  </si>
  <si>
    <t>Guatemala</t>
  </si>
  <si>
    <t xml:space="preserve">Guinea </t>
  </si>
  <si>
    <t xml:space="preserve">Guniea-Bissau </t>
  </si>
  <si>
    <t xml:space="preserve">Guayana </t>
  </si>
  <si>
    <t xml:space="preserve">Haiti </t>
  </si>
  <si>
    <t xml:space="preserve">Holandsko </t>
  </si>
  <si>
    <t xml:space="preserve">Honduras </t>
  </si>
  <si>
    <t xml:space="preserve">Chile </t>
  </si>
  <si>
    <t xml:space="preserve">Chorvatsko </t>
  </si>
  <si>
    <t xml:space="preserve">Indie </t>
  </si>
  <si>
    <t xml:space="preserve">Indonésie </t>
  </si>
  <si>
    <t xml:space="preserve">Irák </t>
  </si>
  <si>
    <t xml:space="preserve">Írán </t>
  </si>
  <si>
    <t xml:space="preserve">Irsko </t>
  </si>
  <si>
    <t xml:space="preserve">Island </t>
  </si>
  <si>
    <t xml:space="preserve">Izrael </t>
  </si>
  <si>
    <t xml:space="preserve">Jamajka </t>
  </si>
  <si>
    <t xml:space="preserve">Japonsko </t>
  </si>
  <si>
    <t xml:space="preserve">Jemenská rep. </t>
  </si>
  <si>
    <t xml:space="preserve">Jihoafrická rep. </t>
  </si>
  <si>
    <t xml:space="preserve">Jordánsko </t>
  </si>
  <si>
    <t>Kajmanské ostr.</t>
  </si>
  <si>
    <t xml:space="preserve">Kambodža </t>
  </si>
  <si>
    <t xml:space="preserve">Kamerun </t>
  </si>
  <si>
    <t xml:space="preserve">Kanada </t>
  </si>
  <si>
    <t>Kapverdy</t>
  </si>
  <si>
    <t xml:space="preserve">Katar </t>
  </si>
  <si>
    <t xml:space="preserve">Kazachstán </t>
  </si>
  <si>
    <t xml:space="preserve">Keňa </t>
  </si>
  <si>
    <t xml:space="preserve">Kolumbie </t>
  </si>
  <si>
    <t xml:space="preserve">Komory </t>
  </si>
  <si>
    <t xml:space="preserve">Konž. republika (Brazzavile) </t>
  </si>
  <si>
    <t>Korea (Korejská republika)</t>
  </si>
  <si>
    <t xml:space="preserve">Kostarika </t>
  </si>
  <si>
    <t xml:space="preserve">Kuba </t>
  </si>
  <si>
    <t xml:space="preserve">Kuvajt </t>
  </si>
  <si>
    <t xml:space="preserve">Kypr </t>
  </si>
  <si>
    <t xml:space="preserve">Kyrgyzstán </t>
  </si>
  <si>
    <t xml:space="preserve">Laos </t>
  </si>
  <si>
    <t>Lesotho</t>
  </si>
  <si>
    <t xml:space="preserve">Libanon </t>
  </si>
  <si>
    <t xml:space="preserve">Libérie </t>
  </si>
  <si>
    <t xml:space="preserve">Libye </t>
  </si>
  <si>
    <t>Lichenštejnsko</t>
  </si>
  <si>
    <t xml:space="preserve">Litva </t>
  </si>
  <si>
    <t xml:space="preserve">Lotyšsko </t>
  </si>
  <si>
    <t xml:space="preserve">Lucembursko </t>
  </si>
  <si>
    <t>Macao</t>
  </si>
  <si>
    <t>Madagaskar</t>
  </si>
  <si>
    <t xml:space="preserve">Maďarsko </t>
  </si>
  <si>
    <t xml:space="preserve">Makedonie </t>
  </si>
  <si>
    <t xml:space="preserve">Malajsie </t>
  </si>
  <si>
    <t xml:space="preserve">Malawi </t>
  </si>
  <si>
    <t>Maledivy</t>
  </si>
  <si>
    <t xml:space="preserve">Mali </t>
  </si>
  <si>
    <t xml:space="preserve">Malta </t>
  </si>
  <si>
    <t xml:space="preserve">Maroko </t>
  </si>
  <si>
    <t>Martinique</t>
  </si>
  <si>
    <t xml:space="preserve">Mauricius </t>
  </si>
  <si>
    <t xml:space="preserve">Mauretánie </t>
  </si>
  <si>
    <t xml:space="preserve">Mexiko </t>
  </si>
  <si>
    <t xml:space="preserve">Moldávie </t>
  </si>
  <si>
    <t>Monako</t>
  </si>
  <si>
    <t xml:space="preserve">Mongolsko </t>
  </si>
  <si>
    <t>Mozambik</t>
  </si>
  <si>
    <t xml:space="preserve">Namibie </t>
  </si>
  <si>
    <t xml:space="preserve">Nepál </t>
  </si>
  <si>
    <t xml:space="preserve">Nikaragua </t>
  </si>
  <si>
    <t xml:space="preserve">Niger </t>
  </si>
  <si>
    <t xml:space="preserve">Nigérie </t>
  </si>
  <si>
    <t xml:space="preserve">Norsko </t>
  </si>
  <si>
    <t xml:space="preserve">Nový Zéland </t>
  </si>
  <si>
    <t xml:space="preserve">Omán </t>
  </si>
  <si>
    <t xml:space="preserve">Pákistán </t>
  </si>
  <si>
    <t xml:space="preserve">Panama </t>
  </si>
  <si>
    <t xml:space="preserve">Papua-Nová Guinea </t>
  </si>
  <si>
    <t xml:space="preserve">Paraguay </t>
  </si>
  <si>
    <t xml:space="preserve">Peru </t>
  </si>
  <si>
    <t xml:space="preserve">Pobřeží slonoviny </t>
  </si>
  <si>
    <t xml:space="preserve">Polsko </t>
  </si>
  <si>
    <t xml:space="preserve">Portoriko </t>
  </si>
  <si>
    <t xml:space="preserve">Portugalsko+Azory </t>
  </si>
  <si>
    <t xml:space="preserve">Rakousko </t>
  </si>
  <si>
    <t>Rovníková Guinea</t>
  </si>
  <si>
    <t>Rumunsko</t>
  </si>
  <si>
    <t xml:space="preserve">Rusko </t>
  </si>
  <si>
    <t xml:space="preserve">Rwanda </t>
  </si>
  <si>
    <t xml:space="preserve">Řecko </t>
  </si>
  <si>
    <t xml:space="preserve">Salvador </t>
  </si>
  <si>
    <t>San Marino</t>
  </si>
  <si>
    <t xml:space="preserve">Saudská Arábie </t>
  </si>
  <si>
    <t xml:space="preserve">Senegal </t>
  </si>
  <si>
    <t xml:space="preserve">Seychellské ostrovy </t>
  </si>
  <si>
    <t xml:space="preserve">Sierra Leone </t>
  </si>
  <si>
    <t xml:space="preserve">Singapur </t>
  </si>
  <si>
    <t>Sjednocené arabské emiráty</t>
  </si>
  <si>
    <t xml:space="preserve">Slovensko </t>
  </si>
  <si>
    <t xml:space="preserve">Slovinsko </t>
  </si>
  <si>
    <t xml:space="preserve">Somálsko </t>
  </si>
  <si>
    <t xml:space="preserve">Srí Lanka </t>
  </si>
  <si>
    <t xml:space="preserve">Středoafrická rep. </t>
  </si>
  <si>
    <t xml:space="preserve">Súdán </t>
  </si>
  <si>
    <t xml:space="preserve">Surinam </t>
  </si>
  <si>
    <t>Svatý Kryštof a Nevis</t>
  </si>
  <si>
    <t>Svatá Lucie</t>
  </si>
  <si>
    <t>Svatý Tomáš a Princův ostrov</t>
  </si>
  <si>
    <t xml:space="preserve">Sýrie </t>
  </si>
  <si>
    <t xml:space="preserve">Svazijsko  </t>
  </si>
  <si>
    <t xml:space="preserve">Španělsko a Kanár. o. </t>
  </si>
  <si>
    <t xml:space="preserve">Švédsko </t>
  </si>
  <si>
    <t xml:space="preserve">Švýcarsko </t>
  </si>
  <si>
    <t>CHF</t>
  </si>
  <si>
    <t xml:space="preserve">Tadžikistán </t>
  </si>
  <si>
    <t xml:space="preserve">Tahiti </t>
  </si>
  <si>
    <t xml:space="preserve">Tanzánie </t>
  </si>
  <si>
    <t xml:space="preserve">Thajsko </t>
  </si>
  <si>
    <t xml:space="preserve">Tchaj-wan </t>
  </si>
  <si>
    <t xml:space="preserve">Togo </t>
  </si>
  <si>
    <t xml:space="preserve">Trinidad a Tobago </t>
  </si>
  <si>
    <t xml:space="preserve">Tunisko </t>
  </si>
  <si>
    <t xml:space="preserve">Turecko </t>
  </si>
  <si>
    <t xml:space="preserve">Turkmenistán </t>
  </si>
  <si>
    <t xml:space="preserve">Uganda </t>
  </si>
  <si>
    <t xml:space="preserve">Ukrajina </t>
  </si>
  <si>
    <t xml:space="preserve">Uruguay </t>
  </si>
  <si>
    <t xml:space="preserve">USA </t>
  </si>
  <si>
    <t xml:space="preserve">Uzbekistán </t>
  </si>
  <si>
    <t>Vatikán</t>
  </si>
  <si>
    <t xml:space="preserve">Velká Británie </t>
  </si>
  <si>
    <t xml:space="preserve">Venezuela </t>
  </si>
  <si>
    <t xml:space="preserve">Vietnam </t>
  </si>
  <si>
    <t xml:space="preserve">Zambie </t>
  </si>
  <si>
    <t xml:space="preserve">Zimbabwe </t>
  </si>
  <si>
    <t>Korea (KLDR)</t>
  </si>
  <si>
    <r>
      <t>------------------------------------------------------------------</t>
    </r>
    <r>
      <rPr>
        <b/>
        <i/>
        <sz val="8"/>
        <rFont val="Arial"/>
        <family val="2"/>
      </rPr>
      <t>Vyplňuje zaměstnanec</t>
    </r>
    <r>
      <rPr>
        <b/>
        <sz val="8"/>
        <rFont val="Arial"/>
        <family val="2"/>
      </rPr>
      <t xml:space="preserve"> -----------------------------------------------------------------</t>
    </r>
  </si>
  <si>
    <t>NÁVOD NA VYPLŇOVÁNÍ ZAHRANIČNÍHO CESTOVNÍHO VÝKAZU</t>
  </si>
  <si>
    <t>*) správnou možnost označte zaškrtnutím políčka</t>
  </si>
  <si>
    <t>V Brně dne:</t>
  </si>
  <si>
    <t>Jméno:</t>
  </si>
  <si>
    <t>Doba trvání:</t>
  </si>
  <si>
    <t>od:</t>
  </si>
  <si>
    <t>do:</t>
  </si>
  <si>
    <t>tj. celkem</t>
  </si>
  <si>
    <t>dní</t>
  </si>
  <si>
    <t>Požadavek na valutové prostředky</t>
  </si>
  <si>
    <t>počet dní:</t>
  </si>
  <si>
    <t>bezplatné</t>
  </si>
  <si>
    <t>Cíl cesty 1:</t>
  </si>
  <si>
    <t>Cíl cesty 2:</t>
  </si>
  <si>
    <t>Země 1:</t>
  </si>
  <si>
    <t>Země 2:</t>
  </si>
  <si>
    <t>Jiná měna:</t>
  </si>
  <si>
    <t>celkem za</t>
  </si>
  <si>
    <t>U b y t o v á n í:</t>
  </si>
  <si>
    <t>M i m o ř á d n é     v ý d a j e:</t>
  </si>
  <si>
    <t>měna</t>
  </si>
  <si>
    <t>měna 1:</t>
  </si>
  <si>
    <t>C e l k o v á    č á s t k a:</t>
  </si>
  <si>
    <r>
      <t xml:space="preserve">Výši zálohy na diety si určíte sami tím, že vyplníte počet dnů, na které zálohu na diety v každé zemi žádáte (tato možnost je zde zvolena proto, že v řadě případů máte stravu hrazenu v konferenčních poplatcích, takže nemáte nárok na diety v plném rozsahu pobytu v dané zemi). Požadujete-li část diet v jiné měně, než ve které se diety oficiálně vyplácejí, použijte řádek označený </t>
    </r>
    <r>
      <rPr>
        <i/>
        <sz val="10"/>
        <rFont val="Verdana"/>
        <family val="2"/>
      </rPr>
      <t>"Jiná měna"</t>
    </r>
    <r>
      <rPr>
        <sz val="10"/>
        <rFont val="Verdana"/>
        <family val="2"/>
      </rPr>
      <t xml:space="preserve">. </t>
    </r>
    <r>
      <rPr>
        <sz val="10"/>
        <color indexed="12"/>
        <rFont val="Verdana"/>
        <family val="2"/>
      </rPr>
      <t>Nezapomeňte vyplnit označení požadované měny.</t>
    </r>
  </si>
  <si>
    <r>
      <t xml:space="preserve">Dále vyplňte sumu a druh měny u zálohy na ubytování a mimořádné výdaje. U obou záloh je možno požadovat dvě různé měny.
Celková suma u každé z požadovaných měn se opět vypočítá automaticky.
</t>
    </r>
    <r>
      <rPr>
        <sz val="10"/>
        <color indexed="12"/>
        <rFont val="Verdana"/>
        <family val="2"/>
      </rPr>
      <t>Také tento list po vyplnění vytiskněte, opatřete podpisy a odevzdejte na ekonomickém oddělení děkanátu.</t>
    </r>
  </si>
  <si>
    <t>sazba</t>
  </si>
  <si>
    <t>…………………………………………….</t>
  </si>
  <si>
    <t>K a p e s n é   v e   v ý š i:</t>
  </si>
  <si>
    <t>měna 2:</t>
  </si>
  <si>
    <t>Datum narození:</t>
  </si>
  <si>
    <t>Úhrada bude provedena z prostředků:</t>
  </si>
  <si>
    <t xml:space="preserve">z výchozího místa   </t>
  </si>
  <si>
    <t>do cílového místa</t>
  </si>
  <si>
    <t>a zpět</t>
  </si>
  <si>
    <t>nebyla</t>
  </si>
  <si>
    <t xml:space="preserve">Jméno a příjmení zaměstnance   </t>
  </si>
  <si>
    <t>Pracoviště</t>
  </si>
  <si>
    <t>byla</t>
  </si>
  <si>
    <t>Typ vozidla</t>
  </si>
  <si>
    <t>druh použitých PHM</t>
  </si>
  <si>
    <t xml:space="preserve">SPZ </t>
  </si>
  <si>
    <t xml:space="preserve">Číslo havarijní pojistky pro tuzemsko </t>
  </si>
  <si>
    <t>Platnost do:</t>
  </si>
  <si>
    <t xml:space="preserve">Číslo havarijní pojistky pro zahraničí  </t>
  </si>
  <si>
    <t xml:space="preserve">Jména spolucestujících </t>
  </si>
  <si>
    <t xml:space="preserve">Důvod použití soukromého vozidla </t>
  </si>
  <si>
    <t>Prohlášení</t>
  </si>
  <si>
    <t>*</t>
  </si>
  <si>
    <t xml:space="preserve">V Brně dne </t>
  </si>
  <si>
    <t>Podpis zaměstnance</t>
  </si>
  <si>
    <t>Výpočet náhrady za použití soukromého motorového vozidla k dokladu</t>
  </si>
  <si>
    <t>„PRACOVNÍ CESTA“ č.</t>
  </si>
  <si>
    <t>A.</t>
  </si>
  <si>
    <t>Počet ujetých km</t>
  </si>
  <si>
    <t>B.</t>
  </si>
  <si>
    <t>Normovaná spotřeba PHM</t>
  </si>
  <si>
    <t>C.</t>
  </si>
  <si>
    <t>D.</t>
  </si>
  <si>
    <t>SPZ:</t>
  </si>
  <si>
    <t>Typ vozidla:</t>
  </si>
  <si>
    <t>Norm.spotřeba</t>
  </si>
  <si>
    <t>Hav.poj.-tuzem.</t>
  </si>
  <si>
    <t>Hav.poj.-zahr.</t>
  </si>
  <si>
    <t>Patnost do:</t>
  </si>
  <si>
    <t>Palivo:</t>
  </si>
  <si>
    <t>Náhrada za km:</t>
  </si>
  <si>
    <t>Za spotřebované PHM:  [(A*B*C) / 100]</t>
  </si>
  <si>
    <t>Celkem v jednotlivých měnách:</t>
  </si>
  <si>
    <t>Počet ujetých km celkem * sazba za 1 km</t>
  </si>
  <si>
    <t>E.</t>
  </si>
  <si>
    <t>F.</t>
  </si>
  <si>
    <r>
      <t xml:space="preserve">Pro tisk této žádosti používejte </t>
    </r>
    <r>
      <rPr>
        <b/>
        <sz val="9"/>
        <color indexed="9"/>
        <rFont val="Tahoma"/>
        <family val="2"/>
      </rPr>
      <t>pouze</t>
    </r>
    <r>
      <rPr>
        <sz val="9"/>
        <color indexed="9"/>
        <rFont val="Tahoma"/>
        <family val="2"/>
      </rPr>
      <t xml:space="preserve"> tlačítka na tomto listu!</t>
    </r>
  </si>
  <si>
    <r>
      <t xml:space="preserve">Červeně označené údaje jsou 
</t>
    </r>
    <r>
      <rPr>
        <b/>
        <sz val="8"/>
        <color indexed="10"/>
        <rFont val="Tahoma"/>
        <family val="2"/>
      </rPr>
      <t>NUTNÉ</t>
    </r>
    <r>
      <rPr>
        <sz val="8"/>
        <color indexed="10"/>
        <rFont val="Tahoma"/>
        <family val="2"/>
      </rPr>
      <t xml:space="preserve"> pro výpočet náhrad!</t>
    </r>
  </si>
  <si>
    <t>Máte-li schváleno kapesné, jeho výše v procentech denních diet se také automaticky přenese z listu "Povolení cesty". Celková výše kapesného pro každou zemi se vypočítá automaticky pro celou dobu pobytu.</t>
  </si>
  <si>
    <t>Pokud nemůžete prokázat důvěryhodným dokladem cenu použitých PHM, použijte při vyúčtování náhrad cenu stanovenou</t>
  </si>
  <si>
    <t>Britské Panenské ostrovy</t>
  </si>
  <si>
    <t>Itálie</t>
  </si>
  <si>
    <t>Karibik-ostrovní státy</t>
  </si>
  <si>
    <t>Monserrat</t>
  </si>
  <si>
    <t>Myanmar (Barma)</t>
  </si>
  <si>
    <t>Oceánie-ostrovní státy</t>
  </si>
  <si>
    <t>Svatý Vincent a Grenadiny</t>
  </si>
  <si>
    <t>Pokud nenaleznete navštívenou zemi v rozevíracím seznamu, zkontrolujte, nepatří-li pod níže uvedená hromadná označení:</t>
  </si>
  <si>
    <t>Oceánie - ostrovní státy:</t>
  </si>
  <si>
    <t>Americká Samoa,  Cookovy ostrovy, Fidži, Guam, Kiribati, Kokosové ostrovy, Marshallovy</t>
  </si>
  <si>
    <t>Karibik - ostrovní státy:</t>
  </si>
  <si>
    <t>Anguila, Antigua a Barbuda, Aruba, Barbados, Curacao, Dominika, Dominikánská republika</t>
  </si>
  <si>
    <t xml:space="preserve">Grenada, Guadeloupe, Haiti, Jamajka, Kajmanské ostrovy, Martinique, Monserrat, </t>
  </si>
  <si>
    <t>Britské Panenské ostrovy, Portoriko, Svatá Lucie, Svatý Kryštof a Nevis, Svatý Vincent a</t>
  </si>
  <si>
    <t>Grenadiny, Trinidad a Tobago</t>
  </si>
  <si>
    <t>Věnujte pozornost poznámce pod formulářem!!</t>
  </si>
  <si>
    <t xml:space="preserve">ostrovy, Midwayské ostrovy, Mikronésie, Nauru, Niue, Nová Kaledonie, Norfolk, Palau, </t>
  </si>
  <si>
    <t>Papua Nová Guinea, Pitcairnův ostrov, Šalamounovy ostrovy, Společenství Severních Marian,</t>
  </si>
  <si>
    <t>S t r a v n é:</t>
  </si>
  <si>
    <t>BA 91 Normál</t>
  </si>
  <si>
    <t>BA 91 Speciál</t>
  </si>
  <si>
    <t>BA 95 Super</t>
  </si>
  <si>
    <t>BA 98 Super</t>
  </si>
  <si>
    <t>Motor. nafta</t>
  </si>
  <si>
    <t>Údaje o spotřebě 
podle technického průkazu</t>
  </si>
  <si>
    <r>
      <t xml:space="preserve">Tento list vyplňte jako  </t>
    </r>
    <r>
      <rPr>
        <b/>
        <sz val="9"/>
        <color indexed="9"/>
        <rFont val="Tahoma"/>
        <family val="2"/>
      </rPr>
      <t>p r v n í</t>
    </r>
    <r>
      <rPr>
        <sz val="9"/>
        <color indexed="9"/>
        <rFont val="Tahoma"/>
        <family val="2"/>
      </rPr>
      <t>, poněvadž některé údaje se automaticky přenášejí do dalších formulářů</t>
    </r>
  </si>
  <si>
    <r>
      <t>Účel pracovní cesty:</t>
    </r>
    <r>
      <rPr>
        <vertAlign val="superscript"/>
        <sz val="9"/>
        <rFont val="Tahoma"/>
        <family val="2"/>
      </rPr>
      <t>1)</t>
    </r>
  </si>
  <si>
    <r>
      <t>V rámci programu/projektu:</t>
    </r>
    <r>
      <rPr>
        <vertAlign val="superscript"/>
        <sz val="9"/>
        <rFont val="Tahoma"/>
        <family val="2"/>
      </rPr>
      <t>2)</t>
    </r>
  </si>
  <si>
    <t>1. pracovní cesta:</t>
  </si>
  <si>
    <t>2. pracovní cesta:</t>
  </si>
  <si>
    <t>Hlavní účetní</t>
  </si>
  <si>
    <t>Jméno</t>
  </si>
  <si>
    <t>Podpis</t>
  </si>
  <si>
    <t xml:space="preserve">Z A H R A N I Č N Í   P R A C O V N Í   C E S T A  </t>
  </si>
  <si>
    <t xml:space="preserve">Bezplatně bude 
poskytnuto: </t>
  </si>
  <si>
    <t>Forma výplaty zálohy:</t>
  </si>
  <si>
    <t>(Pokud na cestu navazuje dovolená nebo neplacené volno, je bezpodmínečně nutné oznámit to sekretářce katedry, která eviduje a vykazuje docházku !)</t>
  </si>
  <si>
    <t>Část nákladů hrazena:</t>
  </si>
  <si>
    <t xml:space="preserve">Forma zaměstnaneckého poměru: </t>
  </si>
  <si>
    <t>Úhrada poplatků platební kartou MU:</t>
  </si>
  <si>
    <r>
      <t xml:space="preserve">-------------------------------------------------------- </t>
    </r>
    <r>
      <rPr>
        <b/>
        <i/>
        <sz val="7"/>
        <rFont val="Tahoma"/>
        <family val="2"/>
      </rPr>
      <t>Vyplňuje ekonomické oddělení -------------------------------------------------------</t>
    </r>
  </si>
  <si>
    <t>Číslo dokladu v EIS Magion:</t>
  </si>
  <si>
    <r>
      <t xml:space="preserve">1. </t>
    </r>
    <r>
      <rPr>
        <sz val="12"/>
        <rFont val="Tahoma"/>
        <family val="2"/>
      </rPr>
      <t xml:space="preserve"> </t>
    </r>
    <r>
      <rPr>
        <sz val="11"/>
        <rFont val="Tahoma"/>
        <family val="2"/>
      </rPr>
      <t>Základní údaje o pracovní cestě</t>
    </r>
  </si>
  <si>
    <t>měna:</t>
  </si>
  <si>
    <t>Pozn.:</t>
  </si>
  <si>
    <t>datum, razítko a podpis vedoucího ústavu</t>
  </si>
  <si>
    <r>
      <t>Věc:</t>
    </r>
    <r>
      <rPr>
        <sz val="10"/>
        <rFont val="Tahoma"/>
        <family val="2"/>
      </rPr>
      <t xml:space="preserve"> </t>
    </r>
    <r>
      <rPr>
        <b/>
        <sz val="10"/>
        <rFont val="Tahoma"/>
        <family val="2"/>
      </rPr>
      <t xml:space="preserve">   </t>
    </r>
    <r>
      <rPr>
        <b/>
        <sz val="11"/>
        <rFont val="Tahoma"/>
        <family val="2"/>
      </rPr>
      <t>Z  a  j  i  š  t  ě  n  í     v  a  l  u  t</t>
    </r>
  </si>
  <si>
    <t>snídaně*</t>
  </si>
  <si>
    <t>oběd*</t>
  </si>
  <si>
    <t>večeře*</t>
  </si>
  <si>
    <t>ubytování*</t>
  </si>
  <si>
    <t>pracovní poměr*</t>
  </si>
  <si>
    <t>dohoda*</t>
  </si>
  <si>
    <t>v hotovosti*</t>
  </si>
  <si>
    <t>šekem*</t>
  </si>
  <si>
    <t>ano*</t>
  </si>
  <si>
    <t>ne*</t>
  </si>
  <si>
    <t>korunový*</t>
  </si>
  <si>
    <t>devizový*</t>
  </si>
  <si>
    <t>převodem na účet č.:*</t>
  </si>
  <si>
    <t>Datum a podpis zaměstnance:</t>
  </si>
  <si>
    <t>K o n t r o l a   p o   v z n i k u   z á v a z k u</t>
  </si>
  <si>
    <t>hodiny</t>
  </si>
  <si>
    <t>počet
bezpl.
jídel</t>
  </si>
  <si>
    <t>základ</t>
  </si>
  <si>
    <r>
      <t xml:space="preserve">cesty po území ČR </t>
    </r>
    <r>
      <rPr>
        <u val="single"/>
        <sz val="8"/>
        <rFont val="Tahoma"/>
        <family val="2"/>
      </rPr>
      <t>místo a čas přejezdu přes hranice z ČR a do ČR</t>
    </r>
  </si>
  <si>
    <r>
      <t>Sazba
stravného
dle vyhlášky</t>
    </r>
    <r>
      <rPr>
        <sz val="7"/>
        <rFont val="Tahoma"/>
        <family val="2"/>
      </rPr>
      <t xml:space="preserve">
(částka/den)</t>
    </r>
  </si>
  <si>
    <r>
      <t xml:space="preserve">STRAVNÉ
</t>
    </r>
    <r>
      <rPr>
        <sz val="7"/>
        <rFont val="Tahoma"/>
        <family val="2"/>
      </rPr>
      <t>(s přihlédnutím
k době pobytu
a bezplatné stravě)</t>
    </r>
  </si>
  <si>
    <t>Tabulka kráceného stravného</t>
  </si>
  <si>
    <t>počet jídel</t>
  </si>
  <si>
    <r>
      <t>-----------------------------------------------</t>
    </r>
    <r>
      <rPr>
        <b/>
        <i/>
        <sz val="8"/>
        <rFont val="Tahoma"/>
        <family val="2"/>
      </rPr>
      <t>Vyplňuje ekonomické oddělení</t>
    </r>
    <r>
      <rPr>
        <b/>
        <sz val="8"/>
        <rFont val="Tahoma"/>
        <family val="2"/>
      </rPr>
      <t>----------------------------------------------</t>
    </r>
  </si>
  <si>
    <t>Předáno dne:</t>
  </si>
  <si>
    <r>
      <t xml:space="preserve">Výdaje - </t>
    </r>
    <r>
      <rPr>
        <b/>
        <sz val="9"/>
        <rFont val="Tahoma"/>
        <family val="2"/>
      </rPr>
      <t>ubytování</t>
    </r>
  </si>
  <si>
    <r>
      <t>Výdaje -</t>
    </r>
    <r>
      <rPr>
        <sz val="9"/>
        <rFont val="Tahoma"/>
        <family val="2"/>
      </rPr>
      <t xml:space="preserve"> </t>
    </r>
    <r>
      <rPr>
        <b/>
        <sz val="9"/>
        <rFont val="Tahoma"/>
        <family val="2"/>
      </rPr>
      <t>jízdné</t>
    </r>
  </si>
  <si>
    <r>
      <t xml:space="preserve">Výdaje - </t>
    </r>
    <r>
      <rPr>
        <b/>
        <sz val="9"/>
        <rFont val="Tahoma"/>
        <family val="2"/>
      </rPr>
      <t>mimořádné</t>
    </r>
  </si>
  <si>
    <t>Bahamy</t>
  </si>
  <si>
    <t>Černá Hora</t>
  </si>
  <si>
    <t>Konž. dem. rep.  (Kinshasa)</t>
  </si>
  <si>
    <t xml:space="preserve">Srbsko </t>
  </si>
  <si>
    <t>krácené
stravné
(celý den)</t>
  </si>
  <si>
    <t>krácené
stravné
(dle hodin)</t>
  </si>
  <si>
    <t>Místo:</t>
  </si>
  <si>
    <r>
      <t xml:space="preserve">2. </t>
    </r>
    <r>
      <rPr>
        <sz val="11"/>
        <rFont val="Tahoma"/>
        <family val="2"/>
      </rPr>
      <t>Vyúčtování pracovní cesty v Kč</t>
    </r>
    <r>
      <rPr>
        <b/>
        <sz val="11"/>
        <rFont val="Tahoma"/>
        <family val="2"/>
      </rPr>
      <t xml:space="preserve"> </t>
    </r>
    <r>
      <rPr>
        <b/>
        <u val="single"/>
        <sz val="11"/>
        <rFont val="Tahoma"/>
        <family val="2"/>
      </rPr>
      <t>po území ČR</t>
    </r>
  </si>
  <si>
    <r>
      <t>3.</t>
    </r>
    <r>
      <rPr>
        <sz val="11"/>
        <rFont val="Tahoma"/>
        <family val="2"/>
      </rPr>
      <t xml:space="preserve"> Požadované náhrady při použití soukromého silničního motorového vozidla</t>
    </r>
  </si>
  <si>
    <r>
      <t xml:space="preserve">4. </t>
    </r>
    <r>
      <rPr>
        <sz val="11"/>
        <rFont val="Tahoma"/>
        <family val="2"/>
      </rPr>
      <t xml:space="preserve">Vyúčtování </t>
    </r>
    <r>
      <rPr>
        <b/>
        <u val="single"/>
        <sz val="11"/>
        <rFont val="Tahoma"/>
        <family val="2"/>
      </rPr>
      <t>zahraniční</t>
    </r>
    <r>
      <rPr>
        <b/>
        <sz val="11"/>
        <rFont val="Tahoma"/>
        <family val="2"/>
      </rPr>
      <t xml:space="preserve"> </t>
    </r>
    <r>
      <rPr>
        <sz val="11"/>
        <rFont val="Tahoma"/>
        <family val="2"/>
      </rPr>
      <t>pracovní cesty</t>
    </r>
  </si>
  <si>
    <r>
      <t xml:space="preserve">1) </t>
    </r>
    <r>
      <rPr>
        <sz val="7"/>
        <rFont val="Tahoma"/>
        <family val="2"/>
      </rPr>
      <t>pracovní, studijní, přednáškový pobyt, účast na konferenci, jiný - jaký)</t>
    </r>
  </si>
  <si>
    <r>
      <t xml:space="preserve">U p o z o r n ě n í :  </t>
    </r>
    <r>
      <rPr>
        <b/>
        <i/>
        <sz val="8"/>
        <rFont val="Tahoma"/>
        <family val="2"/>
      </rPr>
      <t xml:space="preserve">  Před nástupem pracovní cesty je zaměstnanec povinen vyzvednout si pojišťovací kartu. </t>
    </r>
  </si>
  <si>
    <t>H l a v n í    ú č e t n í:</t>
  </si>
  <si>
    <t>S p r á v c e    r o z p o č t u:</t>
  </si>
  <si>
    <t>P ř í m ý    n a d ř í z e n ý:</t>
  </si>
  <si>
    <t>Zakázka</t>
  </si>
  <si>
    <t>Podzakázka</t>
  </si>
  <si>
    <t>Činnost</t>
  </si>
  <si>
    <t>Fakult. účet</t>
  </si>
  <si>
    <t>Částka</t>
  </si>
  <si>
    <t>Poznámka</t>
  </si>
  <si>
    <t>P ř e d b ě ž n á    k o n t r o l a    p ř e d    v z n i k e m    z á v a z k u</t>
  </si>
  <si>
    <t>P ř í k a z c e    o p e r a c e: **</t>
  </si>
  <si>
    <t>**) pokud není shodný s přímým nadřízeným</t>
  </si>
  <si>
    <t>POUŽITÍ SOUKROMÉHO SILNIČNÍHO MOTOROVÉHO VOZIDLA K PRACOVNÍ CESTĚ</t>
  </si>
  <si>
    <t>Pracovní cesta konaná ve dnech:</t>
  </si>
  <si>
    <t>výdajů za spotřebované PHM a sazby za ujeté kilometry</t>
  </si>
  <si>
    <t>odpovídající ceně jízdenky hromadného dopravního prostředku dálkové přepravy, tj.</t>
  </si>
  <si>
    <t>Zaměstnavatel (MU) žádá zaměstnance, aby při níže uvedené pracovní cestě použil soukromé vozidlo.</t>
  </si>
  <si>
    <r>
      <t xml:space="preserve">Ú d a j e   o   v o z i d l e
(vyplňte!! - </t>
    </r>
    <r>
      <rPr>
        <sz val="9"/>
        <rFont val="Tahoma"/>
        <family val="2"/>
      </rPr>
      <t>přenášejí se do formuláře</t>
    </r>
    <r>
      <rPr>
        <b/>
        <sz val="9"/>
        <rFont val="Tahoma"/>
        <family val="2"/>
      </rPr>
      <t>)</t>
    </r>
  </si>
  <si>
    <t>Za použití soukromého vozidla bude zaměstnanci vyplacena náhrada ve výši</t>
  </si>
  <si>
    <r>
      <t xml:space="preserve">*  </t>
    </r>
    <r>
      <rPr>
        <sz val="9"/>
        <color indexed="21"/>
        <rFont val="Tahoma"/>
        <family val="2"/>
      </rPr>
      <t>Vyberte požadovanou možnost</t>
    </r>
  </si>
  <si>
    <r>
      <t xml:space="preserve">S o u h l a s í m </t>
    </r>
    <r>
      <rPr>
        <sz val="9"/>
        <rFont val="Tahoma"/>
        <family val="2"/>
      </rPr>
      <t xml:space="preserve"> s použitím svého soukromého silničního motorového vozidla při výše uvedené pracovní cestě a 
</t>
    </r>
    <r>
      <rPr>
        <b/>
        <sz val="9"/>
        <rFont val="Tahoma"/>
        <family val="2"/>
      </rPr>
      <t>p r o h l a š u j i</t>
    </r>
    <r>
      <rPr>
        <sz val="9"/>
        <rFont val="Tahoma"/>
        <family val="2"/>
      </rPr>
      <t>,  že výše uvedené údaje odpovídají skutečnosti, vozidlo je havarijně pojištěno po celou dobu pracovní cesty a že služební cestu vykonám nejkratší možnou trasou, účelně a hospodárně.</t>
    </r>
  </si>
  <si>
    <t>Podpis zástupce HS</t>
  </si>
  <si>
    <t xml:space="preserve">Normovaná spotřeba PHM dle ES v litrech na 100 km </t>
  </si>
  <si>
    <t>Náhrada za veškeré ujeté km (pouze v Kč)</t>
  </si>
  <si>
    <t>(Přenáší se automaticky z listu Použití soukromého vozidla)</t>
  </si>
  <si>
    <t>Určený dopr. prostř.:</t>
  </si>
  <si>
    <r>
      <t xml:space="preserve">Vyplněnou první část listu vytiskněte klepnutím na tlačítko </t>
    </r>
    <r>
      <rPr>
        <b/>
        <sz val="10"/>
        <color indexed="10"/>
        <rFont val="Verdana"/>
        <family val="2"/>
      </rPr>
      <t>"Tisk první části žádosti"</t>
    </r>
    <r>
      <rPr>
        <sz val="10"/>
        <color indexed="10"/>
        <rFont val="Verdana"/>
        <family val="2"/>
      </rPr>
      <t xml:space="preserve"> v záhlaví listu.</t>
    </r>
    <r>
      <rPr>
        <sz val="10"/>
        <rFont val="Verdana"/>
        <family val="2"/>
      </rPr>
      <t xml:space="preserve"> </t>
    </r>
    <r>
      <rPr>
        <sz val="10"/>
        <color indexed="12"/>
        <rFont val="Verdana"/>
        <family val="2"/>
      </rPr>
      <t>Žádost opatřete potřebnými podpisy a uschovejte do návratu z pracovní cesty.</t>
    </r>
  </si>
  <si>
    <r>
      <t xml:space="preserve">Cestujete-li vlastním vozidlem, do </t>
    </r>
    <r>
      <rPr>
        <b/>
        <sz val="10"/>
        <rFont val="Verdana"/>
        <family val="2"/>
      </rPr>
      <t>oddílu 3</t>
    </r>
    <r>
      <rPr>
        <sz val="10"/>
        <rFont val="Verdana"/>
        <family val="2"/>
      </rPr>
      <t xml:space="preserve"> -</t>
    </r>
    <r>
      <rPr>
        <b/>
        <sz val="10"/>
        <rFont val="Verdana"/>
        <family val="2"/>
      </rPr>
      <t xml:space="preserve">"Požadované náhrady při použití soukromého silničního motorového vozidla" </t>
    </r>
    <r>
      <rPr>
        <sz val="10"/>
        <rFont val="Verdana"/>
        <family val="2"/>
      </rPr>
      <t xml:space="preserve">se údaje přenesou automaticky po vyplnění náhrad na listu "Použitíí soukromého vozidla". 
</t>
    </r>
  </si>
  <si>
    <r>
      <t>Třetí list -</t>
    </r>
    <r>
      <rPr>
        <b/>
        <u val="single"/>
        <sz val="10"/>
        <color indexed="17"/>
        <rFont val="Verdana"/>
        <family val="2"/>
      </rPr>
      <t>"Použití soukromého vozidla"</t>
    </r>
    <r>
      <rPr>
        <sz val="10"/>
        <color indexed="17"/>
        <rFont val="Verdana"/>
        <family val="2"/>
      </rPr>
      <t xml:space="preserve"> </t>
    </r>
    <r>
      <rPr>
        <sz val="10"/>
        <color indexed="12"/>
        <rFont val="Verdana"/>
        <family val="2"/>
      </rPr>
      <t xml:space="preserve">se vyplňuje jak před zahájením cesty, tak po jejím ukončení.
</t>
    </r>
    <r>
      <rPr>
        <sz val="10"/>
        <rFont val="Verdana"/>
        <family val="2"/>
      </rPr>
      <t xml:space="preserve">Slouží k </t>
    </r>
    <r>
      <rPr>
        <b/>
        <sz val="10"/>
        <rFont val="Verdana"/>
        <family val="2"/>
      </rPr>
      <t>povolení použití</t>
    </r>
    <r>
      <rPr>
        <sz val="10"/>
        <rFont val="Verdana"/>
        <family val="2"/>
      </rPr>
      <t xml:space="preserve"> soukromého vozidla a provádí se na něm </t>
    </r>
    <r>
      <rPr>
        <b/>
        <sz val="10"/>
        <rFont val="Verdana"/>
        <family val="2"/>
      </rPr>
      <t>vyúčtování náhrad za spotřebované pohonné hmoty a ujeté kilometry.</t>
    </r>
    <r>
      <rPr>
        <sz val="10"/>
        <rFont val="Verdana"/>
        <family val="2"/>
      </rPr>
      <t xml:space="preserve">
Před zahájením cesty vyplňte jeho první část, sloužící k povolení použití vozidla. Jméno, pracoviště a spolucestující se přenášejí automaticky z listu "Povolení cesty". </t>
    </r>
    <r>
      <rPr>
        <b/>
        <sz val="10"/>
        <rFont val="Verdana"/>
        <family val="2"/>
      </rPr>
      <t>List obsahuje tabulku "Údaje o vozidle", kterou je nutno vyplnit. Údaje z ní se automaticky přenesou do formuláře a slouží k výpočtu náhrad za PHM a ujeté kilometry.</t>
    </r>
    <r>
      <rPr>
        <sz val="10"/>
        <rFont val="Verdana"/>
        <family val="2"/>
      </rPr>
      <t xml:space="preserve">
</t>
    </r>
  </si>
  <si>
    <r>
      <t xml:space="preserve">Čtvrtý list - </t>
    </r>
    <r>
      <rPr>
        <b/>
        <u val="single"/>
        <sz val="10"/>
        <color indexed="17"/>
        <rFont val="Verdana"/>
        <family val="2"/>
      </rPr>
      <t>"Vyúčtování cesty"</t>
    </r>
    <r>
      <rPr>
        <sz val="10"/>
        <color indexed="12"/>
        <rFont val="Verdana"/>
        <family val="2"/>
      </rPr>
      <t xml:space="preserve"> - vyplňte po ukončení cesty. </t>
    </r>
  </si>
  <si>
    <t>Souhlas se způsobem provedení</t>
  </si>
  <si>
    <t>Zbývá k úhradě</t>
  </si>
  <si>
    <t>nulové stravné*</t>
  </si>
  <si>
    <t>Nulové stravné</t>
  </si>
  <si>
    <t>Požadována záloha:</t>
  </si>
  <si>
    <t>Požadovaná výše zálohy:</t>
  </si>
  <si>
    <t>Hongkong</t>
  </si>
  <si>
    <t>Příkazce operace</t>
  </si>
  <si>
    <t>Datum, podpis</t>
  </si>
  <si>
    <t>(převyšuje-li výše vyúčtování schválenou zálohu)</t>
  </si>
  <si>
    <t>Správce rozpočtu</t>
  </si>
  <si>
    <t>Fr.Guayana</t>
  </si>
  <si>
    <t>eur</t>
  </si>
  <si>
    <t>Ministerstvem práce a sociálních věcí</t>
  </si>
  <si>
    <t>Zúčtované cestovní náhrady vyplaťte spolu se mzdou v nejbližším výplatním termínu</t>
  </si>
  <si>
    <r>
      <t xml:space="preserve">Souhlasím s provedením vratky zálohy v Kč formou srážky ze mzdy </t>
    </r>
    <r>
      <rPr>
        <sz val="8"/>
        <rFont val="Tahoma"/>
        <family val="2"/>
      </rPr>
      <t>(bude-li vyúčtování nižší než vyplacená záloha v Kč. Souhlas se nevztahuje na vratku zálohy v cizí měně. Ta bude vrácena na valutové pokladně.)</t>
    </r>
  </si>
  <si>
    <t>Pobyt na cizím území:</t>
  </si>
  <si>
    <t>Počet dnů</t>
  </si>
  <si>
    <t>Počet hodin</t>
  </si>
  <si>
    <t>Doba
(ve dnech)</t>
  </si>
  <si>
    <t xml:space="preserve">                                            EUR</t>
  </si>
  <si>
    <t>Použité měny</t>
  </si>
  <si>
    <t>Hodiny
od - do</t>
  </si>
  <si>
    <t>Hodiny
(ve dnech)
24h = 1</t>
  </si>
  <si>
    <r>
      <t>Zahraniční cestovní výkaz je rozdělen do čtyř listů:</t>
    </r>
    <r>
      <rPr>
        <sz val="10"/>
        <color indexed="17"/>
        <rFont val="Verdana"/>
        <family val="2"/>
      </rPr>
      <t xml:space="preserve">
</t>
    </r>
    <r>
      <rPr>
        <sz val="10"/>
        <rFont val="Verdana"/>
        <family val="2"/>
      </rPr>
      <t xml:space="preserve">
</t>
    </r>
    <r>
      <rPr>
        <u val="single"/>
        <sz val="10"/>
        <color indexed="17"/>
        <rFont val="Verdana"/>
        <family val="2"/>
      </rPr>
      <t xml:space="preserve">První list - </t>
    </r>
    <r>
      <rPr>
        <b/>
        <u val="single"/>
        <sz val="10"/>
        <color indexed="17"/>
        <rFont val="Verdana"/>
        <family val="2"/>
      </rPr>
      <t>"Povolení cesty"</t>
    </r>
    <r>
      <rPr>
        <sz val="10"/>
        <rFont val="Verdana"/>
        <family val="2"/>
      </rPr>
      <t xml:space="preserve"> - obsahuje veškeré základní údaje o pracovní cestě, které jsou potřebné pro schválení zahraniční cesty a vyplacení finanční zálohy.
</t>
    </r>
    <r>
      <rPr>
        <sz val="10"/>
        <color indexed="12"/>
        <rFont val="Verdana"/>
        <family val="2"/>
      </rPr>
      <t>Tento list vyplňujte jako první, neboť některé údaje se automaticky přenášejí do dalších listů. Vyplňte jej před cestou, vytiskněte a nechejte doplnit všemi potřebnými podpisy.</t>
    </r>
    <r>
      <rPr>
        <sz val="10"/>
        <rFont val="Verdana"/>
        <family val="2"/>
      </rPr>
      <t xml:space="preserve"> Vyplňujte zeleně označená pole (to platí pro všechny listy formuláře) a pro označení některé z více možných alternativ údajů použijte zaškrtávací políčka. 
</t>
    </r>
  </si>
  <si>
    <t xml:space="preserve">
Doporučujeme vám po stažení formuláře z webu vyplnit na listu "Povolení cesty" své osobní údaje a používáte-li soukromé vozidlo ke služebním cestám často, je vhodné vyplnit i tabulku "Údaje o vozidle" na listu "Použití sokromého vozidla". 
Pak formulář uložte jako šablonu aplikace MS Excel (způsob je popsán v návodu k tuzemskému cestovnímu příkazu). Tak budete mít při každém vyplňování nového Cestovního příkazu již veškeré údaje předvyplněné a nebudete je muset psát znovu.</t>
  </si>
  <si>
    <t>Země</t>
  </si>
  <si>
    <t>Poř.č.</t>
  </si>
  <si>
    <t>Počet států v daný den</t>
  </si>
  <si>
    <t>Od:</t>
  </si>
  <si>
    <t>Do:</t>
  </si>
  <si>
    <t>hodin</t>
  </si>
  <si>
    <t>Kč</t>
  </si>
  <si>
    <t>Doba 
ve dnech</t>
  </si>
  <si>
    <t>Přičítaná doba ze zahraničí</t>
  </si>
  <si>
    <t>Celk.doba pro výpočet ČR diet</t>
  </si>
  <si>
    <t>Pozice shodného dne v zahr.</t>
  </si>
  <si>
    <t>Doba v hodinách</t>
  </si>
  <si>
    <t>bezplatná snídaně</t>
  </si>
  <si>
    <t>bezplatný oběd</t>
  </si>
  <si>
    <t>bezplatná večeře</t>
  </si>
  <si>
    <t>Pozice shodného dne v ČR</t>
  </si>
  <si>
    <r>
      <t>Celk. hodin</t>
    </r>
    <r>
      <rPr>
        <sz val="8"/>
        <rFont val="Tahoma"/>
        <family val="2"/>
      </rPr>
      <t xml:space="preserve">/
</t>
    </r>
    <r>
      <rPr>
        <sz val="8"/>
        <color indexed="51"/>
        <rFont val="Tahoma"/>
        <family val="2"/>
      </rPr>
      <t>Celkem dnů</t>
    </r>
  </si>
  <si>
    <r>
      <t>Oddíl 2</t>
    </r>
    <r>
      <rPr>
        <sz val="10"/>
        <rFont val="Verdana"/>
        <family val="2"/>
      </rPr>
      <t xml:space="preserve"> - </t>
    </r>
    <r>
      <rPr>
        <b/>
        <sz val="10"/>
        <rFont val="Verdana"/>
        <family val="2"/>
      </rPr>
      <t>"Vyúčtování pracovní cesty v Kč po území ČR"</t>
    </r>
    <r>
      <rPr>
        <sz val="10"/>
        <rFont val="Verdana"/>
        <family val="2"/>
      </rPr>
      <t xml:space="preserve"> - odpovídá přesně tuzemskému cestovnímu výkazu, vyplňujte jej proto stejným způsobem. Cesta po území ČR má obvykle dvě části - odjezd do zahraničí a příjezd zpět. První část začíná v místě bydliště a končí na hranicích republiky (např. Brno - Hřensko, </t>
    </r>
    <r>
      <rPr>
        <sz val="8"/>
        <rFont val="Verdana"/>
        <family val="2"/>
      </rPr>
      <t>cestujete-li autem nebo vlakem</t>
    </r>
    <r>
      <rPr>
        <sz val="10"/>
        <rFont val="Verdana"/>
        <family val="2"/>
      </rPr>
      <t xml:space="preserve">), druhá část pak začíná v místě přechodu hranic při návratu a končí v místě bydliště (např. Mikulov - Brno).  Uvádějte přesně časy odjezdu a příjezdu, neboť na nich závisí výše stravného jak v Kč pro tuzemskou část cesty tak i v zahraniční měně pro zahraniční část cesty - rozhodující je čas překročení hranic. 
</t>
    </r>
  </si>
  <si>
    <r>
      <t>Pobýváte-li v jednom dni ve více státech, není možné, aby doba pobytu ve dvou státech byla shodná.</t>
    </r>
    <r>
      <rPr>
        <sz val="10"/>
        <color indexed="10"/>
        <rFont val="Verdana"/>
        <family val="2"/>
      </rPr>
      <t xml:space="preserve"> </t>
    </r>
    <r>
      <rPr>
        <b/>
        <sz val="10"/>
        <color indexed="10"/>
        <rFont val="Verdana"/>
        <family val="2"/>
      </rPr>
      <t xml:space="preserve">Pro korektní výpočet stravného by se měly doby pobytu lišit alespoň o 1 minutu </t>
    </r>
    <r>
      <rPr>
        <sz val="10"/>
        <color indexed="10"/>
        <rFont val="Verdana"/>
        <family val="2"/>
      </rPr>
      <t>(stravné při pobytu ve více státech se počítá podle sazby a měny státu s nejdelší dobou pobytu).</t>
    </r>
  </si>
  <si>
    <t>Prosím, pečlivě přečtěte!!</t>
  </si>
  <si>
    <t>Auto</t>
  </si>
  <si>
    <r>
      <t xml:space="preserve">5. </t>
    </r>
    <r>
      <rPr>
        <sz val="11"/>
        <color indexed="9"/>
        <rFont val="Tahoma"/>
        <family val="2"/>
      </rPr>
      <t>CELKOVÉ NÁHRADY PRACOVNÍ CESTY</t>
    </r>
  </si>
  <si>
    <r>
      <t xml:space="preserve">Do tabulky </t>
    </r>
    <r>
      <rPr>
        <b/>
        <sz val="10"/>
        <rFont val="Verdana"/>
        <family val="2"/>
      </rPr>
      <t>"Prokázané výdaje"</t>
    </r>
    <r>
      <rPr>
        <sz val="10"/>
        <rFont val="Verdana"/>
        <family val="2"/>
      </rPr>
      <t xml:space="preserve"> zapište celkové výdaje za ubytování, jízdné a mimořádné výdaje v každé měně a doplňte čísly příslušných dokladů, které k vyúčtování přikládáte (doklady číslujte průběžně - 1, 2, 3, ….). Částky v korunách se přenášejí automaticky z "Vyúčtování cesty po území ČR", musíte pouze doplnit čísla přikládaných dokladů. Účtujete-li některé výdaje ještě v jiných než uvedených hlavních měnách (Kč, EUR, USD, GBP, CHF), doplňte potřebné údaje do zbývajících, zeleně podbarvených polí tabulky, a to pro každou měnu na zvláštní řádek.</t>
    </r>
  </si>
  <si>
    <r>
      <t>Oddíl 5 - "Celkové náhrady pracovní cesty"</t>
    </r>
    <r>
      <rPr>
        <sz val="10"/>
        <rFont val="Verdana"/>
        <family val="2"/>
      </rPr>
      <t xml:space="preserve"> slouží k vyčíslení celkových náhrad. Většina údajů se do tabulky přenese automaticky z dříve vyplněných částí cestovního příkazu ("Vyúčtování cesty po území ČR", "Pobyt na území", "Prokázané výdaje" a "Náhrady za použití soukromého vozidla").  Potřebujete-li ještě některé údaje doplnit, zapište je do zeleně podbarvených polí. Do těchto polí není odkud údaje automaticky přenášet. Součty za jednotlivé měny se počítají automaticky.</t>
    </r>
  </si>
  <si>
    <r>
      <t xml:space="preserve">
Pro správnou funkci tohoto cestovního výkazu </t>
    </r>
    <r>
      <rPr>
        <b/>
        <i/>
        <sz val="10"/>
        <rFont val="Verdana"/>
        <family val="2"/>
      </rPr>
      <t>musí být v aplikaci Microsoft EXCEL povolená makra</t>
    </r>
    <r>
      <rPr>
        <i/>
        <sz val="10"/>
        <rFont val="Verdana"/>
        <family val="2"/>
      </rPr>
      <t xml:space="preserve">. Dosáhnete toho tak, že snížíte úroveň zabezpečení maker na hodnotu "střední" a pak po každém otevření souboru se vás Excel zeptá, zda chcete povolit makra. Klepnutím na tlačítko "Povolit makra" dojde k jejich povolení a formulář bude fungovat bezchybně. Vzhledem k tomu, že se v současné době používá několik verzí EXCELU, popis způsobu nastavení správné úrovně zabezpečení maker přesahuje možnosti tohoto návodu. Nebudete-li si vědět rady, jak toto nastavení provést, požádejte, prosím, některého ze svých zkušenějších kolegů, aby vám s touto operací pomohl. </t>
    </r>
  </si>
  <si>
    <r>
      <t>Po návratu z cesty</t>
    </r>
    <r>
      <rPr>
        <sz val="10"/>
        <rFont val="Verdana"/>
        <family val="2"/>
      </rPr>
      <t xml:space="preserve"> vyplňte tabulku </t>
    </r>
    <r>
      <rPr>
        <b/>
        <sz val="10"/>
        <rFont val="Verdana"/>
        <family val="2"/>
      </rPr>
      <t>"Výpočet náhrady za použití soukromého motorového vozidla"</t>
    </r>
    <r>
      <rPr>
        <sz val="10"/>
        <rFont val="Verdana"/>
        <family val="2"/>
      </rPr>
      <t xml:space="preserve">. Do jednotlivých sloupců zapište celkový počet ujetých kilometrů, které účtujete v uvedené měně a cenu pohonných hmot v této měně. Náhradu za pohonné hmoty zde máte možnost účtovat v Kč a třech dalších měnách. Náhrada za ujeté kilometry (amortizace vozidla) se účtuje pouze v korunách (i za km ujete na území cizího státu) a vypočte se zcela automaticky. </t>
    </r>
    <r>
      <rPr>
        <i/>
        <sz val="10"/>
        <rFont val="Verdana"/>
        <family val="2"/>
      </rPr>
      <t xml:space="preserve">Nezapomeňte přiložit doklady o ceně PHM v jednotlivých měnách. </t>
    </r>
    <r>
      <rPr>
        <b/>
        <i/>
        <sz val="10"/>
        <rFont val="Verdana"/>
        <family val="2"/>
      </rPr>
      <t>Účtujete-li pohonné hmoty také v jiných nežli hlavních měnách (Kč, EUR, USD, GPB, CHF), uveďte zkratky použitých měn do prvního sloupce tabulky Prokázané výdaje v oddílu 4 (např. HUF, PLN, ...).</t>
    </r>
    <r>
      <rPr>
        <i/>
        <sz val="10"/>
        <rFont val="Verdana"/>
        <family val="2"/>
      </rPr>
      <t xml:space="preserve">
</t>
    </r>
    <r>
      <rPr>
        <sz val="10"/>
        <color indexed="10"/>
        <rFont val="Verdana"/>
        <family val="2"/>
      </rPr>
      <t xml:space="preserve">Po vyplnění tabulky vložte do tiskárny list s vytištěným povolením použití soukr. vozidla a dotiskněte na něj tabulku s výpočtem náhrad klepnutím na tlačítko </t>
    </r>
    <r>
      <rPr>
        <b/>
        <sz val="10"/>
        <color indexed="10"/>
        <rFont val="Verdana"/>
        <family val="2"/>
      </rPr>
      <t>"Dotisk náhrad"</t>
    </r>
    <r>
      <rPr>
        <sz val="10"/>
        <color indexed="10"/>
        <rFont val="Verdana"/>
        <family val="2"/>
      </rPr>
      <t xml:space="preserve"> v záhlaví listu.</t>
    </r>
    <r>
      <rPr>
        <sz val="10"/>
        <rFont val="Verdana"/>
        <family val="2"/>
      </rPr>
      <t xml:space="preserve"> 
 </t>
    </r>
  </si>
  <si>
    <t>Tahiti, Tokelau, Tonga, Tuvalu, Vanuatu, Velikonoční ostrov, Východní Timor,</t>
  </si>
  <si>
    <t xml:space="preserve"> Ostrov Wake, Walis a Futuna</t>
  </si>
  <si>
    <t>PROHLÁŠENÍ ZAMĚSTNANCE</t>
  </si>
  <si>
    <t>a zpět.</t>
  </si>
  <si>
    <t>Čestné prohlášení</t>
  </si>
  <si>
    <t>(Zaškrtněte políčko u vybraného textu)</t>
  </si>
  <si>
    <t>V souladu se zněním čl. 19, odst. 7, Směrnice MU o cestovních náhradách, prohlašuji, že se vzdávám po uskutečnění pracovní cesty (před jejím vyúčtováním) snížené hodnoty stravného, které by mi příslušelo po zohlednění bezplatně poskytnutého jídla</t>
  </si>
  <si>
    <t>Prohlašuji, že poskytnutím komplexního zajištění na pracovní cestě mi nevznikl nárok na cestovní náhrady neuvedené ve vyúčtování, jehož součástí je toto prohlášení, a pro případ, že by mi takový nárok vznikl, se ho výslovně vzdávám.</t>
  </si>
  <si>
    <t>Prohlášení musí být datováno po uskutečnění cesty, ale před jejím vyúčtováním</t>
  </si>
  <si>
    <t>ŽÁDOST ZAMĚSTNANCE O DODATEČNÝ SOUHLAS S POUŽITÍM SOUKROMÉHO SILNIČNÍHO MOTOROVÉHO VOZIDLA K PRACOVNÍ CESTĚ</t>
  </si>
  <si>
    <t xml:space="preserve">Normovaná spotřeba PHM dle norem ES v litrech na 100 km </t>
  </si>
  <si>
    <r>
      <t>P r o h l a š u j i,</t>
    </r>
    <r>
      <rPr>
        <sz val="10"/>
        <rFont val="Tahoma"/>
        <family val="2"/>
      </rPr>
      <t xml:space="preserve"> že uvedené údaje odpovídají skutečnosti, vozidlo bylo havarijně pojištěno po celou dobu pracovní cesty a že cesta byla vykonána nejkratší možnou trasou, účelně a hospodárně.</t>
    </r>
  </si>
  <si>
    <t>S použitím soukromého vozidla souhlasím</t>
  </si>
  <si>
    <t>Zaměstnanci je přiznána náhrada jízdních výdajů pouze ve výši odpovídající ceně jízdenky určeného hromadného dopravního prostředku</t>
  </si>
  <si>
    <t>Datum:</t>
  </si>
  <si>
    <t>Žádost musí být datována po skončení cesty, ale před jejím vyúčtováním</t>
  </si>
  <si>
    <r>
      <rPr>
        <i/>
        <sz val="10"/>
        <rFont val="Verdana"/>
        <family val="2"/>
      </rPr>
      <t>Cestovní příkaz byl doplněm o další dva listy:</t>
    </r>
    <r>
      <rPr>
        <sz val="10"/>
        <rFont val="Verdana"/>
        <family val="2"/>
      </rPr>
      <t xml:space="preserve">
</t>
    </r>
    <r>
      <rPr>
        <b/>
        <sz val="10"/>
        <rFont val="Verdana"/>
        <family val="2"/>
      </rPr>
      <t>Prohlášení ke stravnému</t>
    </r>
    <r>
      <rPr>
        <sz val="10"/>
        <rFont val="Verdana"/>
        <family val="2"/>
      </rPr>
      <t xml:space="preserve"> použije zaměstnanec v případě, že se vzdává stravného za dobu konání cesty (tzv. nulové stravné).
List </t>
    </r>
    <r>
      <rPr>
        <b/>
        <sz val="10"/>
        <rFont val="Verdana"/>
        <family val="2"/>
      </rPr>
      <t>Dodatečný souhlas s autem</t>
    </r>
    <r>
      <rPr>
        <sz val="10"/>
        <rFont val="Verdana"/>
        <family val="2"/>
      </rPr>
      <t xml:space="preserve"> je nutno vyplnit </t>
    </r>
    <r>
      <rPr>
        <u val="single"/>
        <sz val="10"/>
        <rFont val="Verdana"/>
        <family val="2"/>
      </rPr>
      <t>v případě, že se cestující rozhodl použít k pracovní cestě soukromé vozidlo místo určeného veřejného prostředku hromadné dopravy</t>
    </r>
    <r>
      <rPr>
        <sz val="10"/>
        <rFont val="Verdana"/>
        <family val="2"/>
      </rPr>
      <t>. V takovém případě mu bude přiznána pouze náhrada ve výši ceny jízdenky určeného hromadného dopravního prostředku (úhrada za spořebovaný benzín a ujeté kilometry se nevyplácí).</t>
    </r>
  </si>
  <si>
    <t>3. pracovní cesta:</t>
  </si>
  <si>
    <t>D i e t y 2016</t>
  </si>
  <si>
    <r>
      <t xml:space="preserve">
Druhý list - </t>
    </r>
    <r>
      <rPr>
        <b/>
        <u val="single"/>
        <sz val="10"/>
        <color indexed="17"/>
        <rFont val="Verdana"/>
        <family val="2"/>
      </rPr>
      <t>"Žádost o valuty"</t>
    </r>
    <r>
      <rPr>
        <u val="single"/>
        <sz val="10"/>
        <rFont val="Verdana"/>
        <family val="2"/>
      </rPr>
      <t xml:space="preserve"> (FF nevyžaduje) </t>
    </r>
    <r>
      <rPr>
        <sz val="10"/>
        <rFont val="Verdana"/>
        <family val="2"/>
      </rPr>
      <t xml:space="preserve">vám umožňuje požádat o vyplacení zálohy v požadované měně (měnách), tzn., </t>
    </r>
    <r>
      <rPr>
        <sz val="10"/>
        <color indexed="12"/>
        <rFont val="Verdana"/>
        <family val="2"/>
      </rPr>
      <t xml:space="preserve">vyplňujete jej také před nástupem cesty. </t>
    </r>
    <r>
      <rPr>
        <sz val="10"/>
        <rFont val="Verdana"/>
        <family val="2"/>
      </rPr>
      <t>Jméno a pracoviště se přenášejí automaticky z listu "Povolení cesty".
Cíl cesty vyberte z rozbalovací nabídky (v případě, že navštívíte v rámci jedné cesty dva státy, vyberte na dalším řádku i druhou zemi). Výběrem z nabídky se automaticky vybere i výše denních diet v příslušné měně. Vyplňte data začátku a konce pobytu v každé zemi, počet dnů pobytu se spočítá automaticky.</t>
    </r>
  </si>
  <si>
    <r>
      <t xml:space="preserve">MASARYKOVA UNIVERZITA
Filozofická fakulta
</t>
    </r>
    <r>
      <rPr>
        <sz val="7"/>
        <rFont val="Tahoma"/>
        <family val="2"/>
      </rPr>
      <t>602 00  Brno, Arna Nováka 1</t>
    </r>
  </si>
  <si>
    <r>
      <t xml:space="preserve">MASARYKOVA UNIVERZITA
Filozofická fakulta
</t>
    </r>
    <r>
      <rPr>
        <sz val="7"/>
        <rFont val="Tahoma"/>
        <family val="2"/>
      </rPr>
      <t>602 00 Brno, Arna Nováka 1</t>
    </r>
  </si>
  <si>
    <r>
      <rPr>
        <b/>
        <sz val="9"/>
        <rFont val="Tahoma"/>
        <family val="2"/>
      </rPr>
      <t>MASARYKOVA UNIVERZITA</t>
    </r>
    <r>
      <rPr>
        <sz val="9"/>
        <rFont val="Tahoma"/>
        <family val="2"/>
      </rPr>
      <t xml:space="preserve">                                                                                                                                                                                                                                                                                                             </t>
    </r>
    <r>
      <rPr>
        <b/>
        <sz val="9"/>
        <rFont val="Tahoma"/>
        <family val="2"/>
      </rPr>
      <t>Filozofická falulta</t>
    </r>
    <r>
      <rPr>
        <sz val="9"/>
        <rFont val="Tahoma"/>
        <family val="2"/>
      </rPr>
      <t xml:space="preserve">                                                                                                                                                                                                                                                                                                                                                </t>
    </r>
    <r>
      <rPr>
        <b/>
        <sz val="9"/>
        <rFont val="Tahoma"/>
        <family val="2"/>
      </rPr>
      <t xml:space="preserve">
</t>
    </r>
    <r>
      <rPr>
        <sz val="8"/>
        <rFont val="Tahoma"/>
        <family val="2"/>
      </rPr>
      <t>602 00 Brno, Arna Nováka 1</t>
    </r>
  </si>
  <si>
    <r>
      <rPr>
        <b/>
        <sz val="9"/>
        <rFont val="Tahoma"/>
        <family val="2"/>
      </rPr>
      <t xml:space="preserve">MASARYKOVA UNIVERZITA
Filozofická fakulta
</t>
    </r>
    <r>
      <rPr>
        <sz val="8"/>
        <rFont val="Tahoma"/>
        <family val="2"/>
      </rPr>
      <t>602 00 Brno, Arna Nováka 1</t>
    </r>
  </si>
  <si>
    <r>
      <t xml:space="preserve">MASARYKOVA UNIVERZITA
Filozofickácká fakulta
</t>
    </r>
    <r>
      <rPr>
        <sz val="7"/>
        <rFont val="Tahoma"/>
        <family val="2"/>
      </rPr>
      <t>602 00  Brno, Arna Nováka 1</t>
    </r>
  </si>
  <si>
    <t>V e d o u c í   H S:</t>
  </si>
  <si>
    <t>Prof. PhDr. Milan Pol, CSc.</t>
  </si>
  <si>
    <t xml:space="preserve">Ing. Ivo Jurtík </t>
  </si>
  <si>
    <t>Ing. Darja Nekovářová</t>
  </si>
  <si>
    <t>Ing. Ivo Jurtík</t>
  </si>
  <si>
    <t xml:space="preserve"> </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</si>
</sst>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lt;&gt;0]#,##0.00;#;#"/>
    <numFmt numFmtId="165" formatCode="0.0%"/>
    <numFmt numFmtId="166" formatCode="[&lt;&gt;0]#,##0;#;#"/>
    <numFmt numFmtId="167" formatCode="h:mm;@"/>
    <numFmt numFmtId="168" formatCode="#,##0.00_ ;\-#,##0.00\ "/>
    <numFmt numFmtId="169" formatCode="#,##0.00&quot; l/100km&quot;"/>
    <numFmt numFmtId="170" formatCode="#,##0.00&quot; l/100 km&quot;"/>
    <numFmt numFmtId="171" formatCode="d\.\ mmmm\ yyyy"/>
    <numFmt numFmtId="172" formatCode="#,##0.00\ &quot;Kč&quot;"/>
    <numFmt numFmtId="173" formatCode="[&gt;0]#,##0.00\ &quot;Kč&quot;;#;#"/>
    <numFmt numFmtId="174" formatCode="[&gt;0]#,##0&quot; km&quot;;#;#"/>
    <numFmt numFmtId="175" formatCode="[&lt;&gt;0]0.0%;#;#"/>
    <numFmt numFmtId="176" formatCode="[&lt;&gt;0]#,##0.00&quot; l/100 km&quot;;#;#"/>
    <numFmt numFmtId="177" formatCode="0.0000000"/>
    <numFmt numFmtId="178" formatCode="0.00000000"/>
    <numFmt numFmtId="179" formatCode="0.0000%"/>
    <numFmt numFmtId="180" formatCode="[&lt;&gt;0]#;#;#"/>
    <numFmt numFmtId="181" formatCode="[$-405]d\.\ mmmm\ yyyy"/>
    <numFmt numFmtId="182" formatCode="[$-F400]h:mm:ss\ AM/PM"/>
    <numFmt numFmtId="183" formatCode="d/m/yy\ h:mm;@"/>
    <numFmt numFmtId="184" formatCode="mmm/yyyy"/>
    <numFmt numFmtId="185" formatCode="#,##0.00;#;#"/>
    <numFmt numFmtId="186" formatCode="&quot;Yes&quot;;&quot;Yes&quot;;&quot;No&quot;"/>
    <numFmt numFmtId="187" formatCode="&quot;True&quot;;&quot;True&quot;;&quot;False&quot;"/>
    <numFmt numFmtId="188" formatCode="&quot;On&quot;;&quot;On&quot;;&quot;Off&quot;"/>
    <numFmt numFmtId="189" formatCode="[&lt;&gt;0]#,##0.0000;#;#"/>
    <numFmt numFmtId="190" formatCode="#,##0.00\ _K_č"/>
    <numFmt numFmtId="191" formatCode="#,##0.00\ [$EUR]"/>
    <numFmt numFmtId="192" formatCode="#,##0.00\ [$USD]"/>
    <numFmt numFmtId="193" formatCode="0.000"/>
  </numFmts>
  <fonts count="118">
    <font>
      <sz val="10"/>
      <name val="Arial"/>
      <family val="0"/>
    </font>
    <font>
      <sz val="11"/>
      <color indexed="8"/>
      <name val="Calibri"/>
      <family val="2"/>
    </font>
    <font>
      <sz val="8"/>
      <name val="Arial"/>
      <family val="2"/>
    </font>
    <font>
      <sz val="8"/>
      <name val="Tahoma"/>
      <family val="2"/>
    </font>
    <font>
      <b/>
      <i/>
      <sz val="8"/>
      <name val="Arial"/>
      <family val="2"/>
    </font>
    <font>
      <b/>
      <sz val="14"/>
      <name val="Times New Roman"/>
      <family val="1"/>
    </font>
    <font>
      <b/>
      <sz val="8"/>
      <name val="Arial"/>
      <family val="2"/>
    </font>
    <font>
      <u val="single"/>
      <sz val="8"/>
      <name val="Arial"/>
      <family val="2"/>
    </font>
    <font>
      <b/>
      <sz val="10"/>
      <name val="Verdana"/>
      <family val="2"/>
    </font>
    <font>
      <sz val="10"/>
      <name val="Verdana"/>
      <family val="2"/>
    </font>
    <font>
      <b/>
      <sz val="11"/>
      <color indexed="9"/>
      <name val="Verdana"/>
      <family val="2"/>
    </font>
    <font>
      <sz val="8"/>
      <name val="Verdana"/>
      <family val="2"/>
    </font>
    <font>
      <sz val="10"/>
      <color indexed="12"/>
      <name val="Verdana"/>
      <family val="2"/>
    </font>
    <font>
      <i/>
      <sz val="10"/>
      <name val="Verdana"/>
      <family val="2"/>
    </font>
    <font>
      <b/>
      <sz val="10"/>
      <color indexed="10"/>
      <name val="Verdana"/>
      <family val="2"/>
    </font>
    <font>
      <sz val="10"/>
      <color indexed="10"/>
      <name val="Verdana"/>
      <family val="2"/>
    </font>
    <font>
      <u val="single"/>
      <sz val="10"/>
      <color indexed="17"/>
      <name val="Verdana"/>
      <family val="2"/>
    </font>
    <font>
      <b/>
      <u val="single"/>
      <sz val="10"/>
      <color indexed="17"/>
      <name val="Verdana"/>
      <family val="2"/>
    </font>
    <font>
      <sz val="10"/>
      <name val="Arial CE"/>
      <family val="0"/>
    </font>
    <font>
      <sz val="9"/>
      <name val="Tahoma"/>
      <family val="2"/>
    </font>
    <font>
      <b/>
      <sz val="9"/>
      <name val="Tahoma"/>
      <family val="2"/>
    </font>
    <font>
      <b/>
      <sz val="11"/>
      <name val="Tahoma"/>
      <family val="2"/>
    </font>
    <font>
      <b/>
      <sz val="10"/>
      <name val="Tahoma"/>
      <family val="2"/>
    </font>
    <font>
      <b/>
      <sz val="12"/>
      <name val="Tahoma"/>
      <family val="2"/>
    </font>
    <font>
      <b/>
      <sz val="10"/>
      <color indexed="10"/>
      <name val="Tahoma"/>
      <family val="2"/>
    </font>
    <font>
      <b/>
      <sz val="9"/>
      <color indexed="10"/>
      <name val="Tahoma"/>
      <family val="2"/>
    </font>
    <font>
      <b/>
      <sz val="7"/>
      <name val="Tahoma"/>
      <family val="2"/>
    </font>
    <font>
      <b/>
      <sz val="8"/>
      <color indexed="10"/>
      <name val="Tahoma"/>
      <family val="2"/>
    </font>
    <font>
      <sz val="8"/>
      <color indexed="10"/>
      <name val="Tahoma"/>
      <family val="2"/>
    </font>
    <font>
      <b/>
      <sz val="9"/>
      <color indexed="9"/>
      <name val="Tahoma"/>
      <family val="2"/>
    </font>
    <font>
      <b/>
      <sz val="8"/>
      <color indexed="10"/>
      <name val="Arial"/>
      <family val="2"/>
    </font>
    <font>
      <b/>
      <sz val="8"/>
      <color indexed="17"/>
      <name val="Arial"/>
      <family val="2"/>
    </font>
    <font>
      <b/>
      <sz val="9"/>
      <color indexed="18"/>
      <name val="Tahoma"/>
      <family val="2"/>
    </font>
    <font>
      <b/>
      <sz val="9"/>
      <color indexed="12"/>
      <name val="Tahoma"/>
      <family val="2"/>
    </font>
    <font>
      <b/>
      <sz val="8"/>
      <name val="Tahoma"/>
      <family val="2"/>
    </font>
    <font>
      <b/>
      <sz val="16"/>
      <color indexed="9"/>
      <name val="Tahoma"/>
      <family val="2"/>
    </font>
    <font>
      <sz val="9"/>
      <color indexed="9"/>
      <name val="Tahoma"/>
      <family val="2"/>
    </font>
    <font>
      <u val="single"/>
      <sz val="10"/>
      <color indexed="12"/>
      <name val="Arial"/>
      <family val="2"/>
    </font>
    <font>
      <b/>
      <sz val="8"/>
      <color indexed="12"/>
      <name val="Tahoma"/>
      <family val="2"/>
    </font>
    <font>
      <b/>
      <u val="single"/>
      <sz val="8"/>
      <name val="Tahoma"/>
      <family val="2"/>
    </font>
    <font>
      <u val="single"/>
      <sz val="8"/>
      <color indexed="12"/>
      <name val="Arial"/>
      <family val="2"/>
    </font>
    <font>
      <sz val="10"/>
      <color indexed="17"/>
      <name val="Verdana"/>
      <family val="2"/>
    </font>
    <font>
      <sz val="8"/>
      <color indexed="62"/>
      <name val="Tahoma"/>
      <family val="2"/>
    </font>
    <font>
      <b/>
      <sz val="13"/>
      <name val="Tahoma"/>
      <family val="2"/>
    </font>
    <font>
      <sz val="12"/>
      <name val="Tahoma"/>
      <family val="2"/>
    </font>
    <font>
      <b/>
      <sz val="14"/>
      <name val="Tahoma"/>
      <family val="2"/>
    </font>
    <font>
      <i/>
      <sz val="7"/>
      <name val="Tahoma"/>
      <family val="2"/>
    </font>
    <font>
      <sz val="7"/>
      <name val="Tahoma"/>
      <family val="2"/>
    </font>
    <font>
      <sz val="10"/>
      <name val="Tahoma"/>
      <family val="2"/>
    </font>
    <font>
      <i/>
      <sz val="8"/>
      <name val="Tahoma"/>
      <family val="2"/>
    </font>
    <font>
      <b/>
      <i/>
      <sz val="8"/>
      <name val="Tahoma"/>
      <family val="2"/>
    </font>
    <font>
      <b/>
      <i/>
      <sz val="7"/>
      <name val="Tahoma"/>
      <family val="2"/>
    </font>
    <font>
      <b/>
      <sz val="8"/>
      <color indexed="9"/>
      <name val="Tahoma"/>
      <family val="2"/>
    </font>
    <font>
      <vertAlign val="superscript"/>
      <sz val="9"/>
      <name val="Tahoma"/>
      <family val="2"/>
    </font>
    <font>
      <vertAlign val="superscript"/>
      <sz val="7"/>
      <name val="Tahoma"/>
      <family val="2"/>
    </font>
    <font>
      <i/>
      <sz val="9"/>
      <name val="Tahoma"/>
      <family val="2"/>
    </font>
    <font>
      <sz val="11"/>
      <name val="Tahoma"/>
      <family val="2"/>
    </font>
    <font>
      <b/>
      <sz val="10"/>
      <name val="Arial"/>
      <family val="2"/>
    </font>
    <font>
      <i/>
      <sz val="10"/>
      <name val="Tahoma"/>
      <family val="2"/>
    </font>
    <font>
      <b/>
      <i/>
      <sz val="10"/>
      <name val="Tahoma"/>
      <family val="2"/>
    </font>
    <font>
      <b/>
      <sz val="11"/>
      <color indexed="10"/>
      <name val="Tahoma"/>
      <family val="2"/>
    </font>
    <font>
      <b/>
      <i/>
      <sz val="8"/>
      <color indexed="9"/>
      <name val="Tahoma"/>
      <family val="2"/>
    </font>
    <font>
      <u val="single"/>
      <sz val="8"/>
      <name val="Tahoma"/>
      <family val="2"/>
    </font>
    <font>
      <b/>
      <u val="single"/>
      <sz val="11"/>
      <name val="Tahoma"/>
      <family val="2"/>
    </font>
    <font>
      <b/>
      <sz val="12"/>
      <color indexed="21"/>
      <name val="Tahoma"/>
      <family val="2"/>
    </font>
    <font>
      <sz val="9"/>
      <color indexed="21"/>
      <name val="Tahoma"/>
      <family val="2"/>
    </font>
    <font>
      <sz val="8"/>
      <name val="Arial Narrow"/>
      <family val="2"/>
    </font>
    <font>
      <b/>
      <sz val="8"/>
      <color indexed="62"/>
      <name val="Arial"/>
      <family val="2"/>
    </font>
    <font>
      <sz val="8"/>
      <color indexed="62"/>
      <name val="Arial"/>
      <family val="2"/>
    </font>
    <font>
      <b/>
      <i/>
      <u val="single"/>
      <sz val="10"/>
      <color indexed="10"/>
      <name val="Verdana"/>
      <family val="2"/>
    </font>
    <font>
      <b/>
      <u val="single"/>
      <sz val="10"/>
      <name val="Verdana"/>
      <family val="2"/>
    </font>
    <font>
      <b/>
      <u val="single"/>
      <sz val="10"/>
      <color indexed="10"/>
      <name val="Verdana"/>
      <family val="2"/>
    </font>
    <font>
      <b/>
      <sz val="10"/>
      <color indexed="17"/>
      <name val="Verdana"/>
      <family val="2"/>
    </font>
    <font>
      <b/>
      <sz val="12"/>
      <color indexed="9"/>
      <name val="Arial"/>
      <family val="2"/>
    </font>
    <font>
      <u val="single"/>
      <sz val="10"/>
      <name val="Verdana"/>
      <family val="2"/>
    </font>
    <font>
      <sz val="8"/>
      <color indexed="12"/>
      <name val="Tahoma"/>
      <family val="2"/>
    </font>
    <font>
      <sz val="8"/>
      <color indexed="51"/>
      <name val="Tahoma"/>
      <family val="2"/>
    </font>
    <font>
      <b/>
      <i/>
      <sz val="10"/>
      <name val="Verdana"/>
      <family val="2"/>
    </font>
    <font>
      <sz val="10"/>
      <name val="Arial Narrow"/>
      <family val="2"/>
    </font>
    <font>
      <b/>
      <sz val="14"/>
      <color indexed="10"/>
      <name val="Tahoma"/>
      <family val="2"/>
    </font>
    <font>
      <b/>
      <sz val="11"/>
      <color indexed="9"/>
      <name val="Tahoma"/>
      <family val="2"/>
    </font>
    <font>
      <sz val="11"/>
      <color indexed="9"/>
      <name val="Tahoma"/>
      <family val="2"/>
    </font>
    <font>
      <i/>
      <u val="single"/>
      <sz val="10"/>
      <color indexed="9"/>
      <name val="Tahoma"/>
      <family val="2"/>
    </font>
    <font>
      <i/>
      <sz val="10"/>
      <color indexed="9"/>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gray125">
        <fgColor indexed="11"/>
      </patternFill>
    </fill>
    <fill>
      <patternFill patternType="solid">
        <fgColor indexed="65"/>
        <bgColor indexed="64"/>
      </patternFill>
    </fill>
    <fill>
      <patternFill patternType="solid">
        <fgColor indexed="65"/>
        <bgColor indexed="64"/>
      </patternFill>
    </fill>
    <fill>
      <patternFill patternType="gray125">
        <fgColor indexed="44"/>
      </patternFill>
    </fill>
    <fill>
      <patternFill patternType="solid">
        <fgColor indexed="9"/>
        <bgColor indexed="64"/>
      </patternFill>
    </fill>
    <fill>
      <patternFill patternType="solid">
        <fgColor indexed="21"/>
        <bgColor indexed="64"/>
      </patternFill>
    </fill>
    <fill>
      <patternFill patternType="solid">
        <fgColor indexed="21"/>
        <bgColor indexed="64"/>
      </patternFill>
    </fill>
    <fill>
      <patternFill patternType="gray125">
        <fgColor indexed="40"/>
      </patternFill>
    </fill>
    <fill>
      <patternFill patternType="gray125">
        <fgColor indexed="51"/>
      </patternFill>
    </fill>
    <fill>
      <patternFill patternType="solid">
        <fgColor theme="6" tint="-0.24997000396251678"/>
        <bgColor indexed="64"/>
      </patternFill>
    </fill>
    <fill>
      <patternFill patternType="solid">
        <fgColor indexed="9"/>
        <bgColor indexed="64"/>
      </patternFill>
    </fill>
    <fill>
      <patternFill patternType="solid">
        <fgColor indexed="57"/>
        <bgColor indexed="64"/>
      </patternFill>
    </fill>
    <fill>
      <patternFill patternType="gray0625">
        <fgColor indexed="12"/>
      </patternFill>
    </fill>
    <fill>
      <patternFill patternType="solid">
        <fgColor indexed="44"/>
        <bgColor indexed="64"/>
      </patternFill>
    </fill>
    <fill>
      <patternFill patternType="solid">
        <fgColor indexed="43"/>
        <bgColor indexed="64"/>
      </patternFill>
    </fill>
    <fill>
      <patternFill patternType="solid">
        <fgColor indexed="65"/>
        <bgColor indexed="64"/>
      </patternFill>
    </fill>
    <fill>
      <patternFill patternType="solid">
        <fgColor indexed="48"/>
        <bgColor indexed="64"/>
      </patternFill>
    </fill>
  </fills>
  <borders count="19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bottom style="hair"/>
    </border>
    <border>
      <left style="thin"/>
      <right style="medium"/>
      <top style="medium"/>
      <bottom style="thin"/>
    </border>
    <border>
      <left style="thin"/>
      <right style="medium"/>
      <top style="thin"/>
      <bottom style="thin"/>
    </border>
    <border>
      <left style="thin"/>
      <right style="medium"/>
      <top/>
      <bottom style="hair"/>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bottom style="medium"/>
    </border>
    <border>
      <left/>
      <right style="medium"/>
      <top style="thin"/>
      <bottom style="thin"/>
    </border>
    <border>
      <left/>
      <right style="medium"/>
      <top style="thin"/>
      <bottom/>
    </border>
    <border>
      <left/>
      <right/>
      <top/>
      <bottom style="thin"/>
    </border>
    <border>
      <left/>
      <right/>
      <top style="hair"/>
      <bottom style="thin"/>
    </border>
    <border>
      <left/>
      <right/>
      <top style="hair"/>
      <bottom style="hair"/>
    </border>
    <border>
      <left/>
      <right/>
      <top/>
      <bottom style="hair"/>
    </border>
    <border>
      <left/>
      <right/>
      <top/>
      <bottom style="double"/>
    </border>
    <border>
      <left/>
      <right/>
      <top style="hair"/>
      <bottom style="double"/>
    </border>
    <border>
      <left/>
      <right/>
      <top style="thin"/>
      <bottom style="thin"/>
    </border>
    <border>
      <left style="thin"/>
      <right style="hair"/>
      <top style="thin"/>
      <bottom style="double"/>
    </border>
    <border>
      <left style="hair"/>
      <right style="hair"/>
      <top style="thin"/>
      <bottom style="double"/>
    </border>
    <border>
      <left style="hair"/>
      <right style="medium"/>
      <top style="thin"/>
      <bottom style="double"/>
    </border>
    <border>
      <left/>
      <right style="medium"/>
      <top/>
      <bottom/>
    </border>
    <border>
      <left style="medium"/>
      <right style="thin"/>
      <top style="medium"/>
      <bottom style="thin"/>
    </border>
    <border>
      <left style="medium"/>
      <right style="thin"/>
      <top style="thin"/>
      <bottom style="thin"/>
    </border>
    <border>
      <left style="medium"/>
      <right style="thin"/>
      <top/>
      <bottom style="hair"/>
    </border>
    <border>
      <left style="medium"/>
      <right style="thin"/>
      <top style="hair"/>
      <bottom style="thin"/>
    </border>
    <border>
      <left style="medium"/>
      <right/>
      <top/>
      <bottom style="medium"/>
    </border>
    <border>
      <left style="medium"/>
      <right style="thin"/>
      <top style="thin"/>
      <bottom/>
    </border>
    <border>
      <left style="medium"/>
      <right style="thin"/>
      <top style="thin"/>
      <bottom style="medium"/>
    </border>
    <border>
      <left style="medium"/>
      <right style="thin"/>
      <top style="medium"/>
      <bottom style="medium"/>
    </border>
    <border>
      <left style="thin"/>
      <right style="hair"/>
      <top/>
      <bottom style="hair"/>
    </border>
    <border>
      <left style="thin"/>
      <right style="hair"/>
      <top style="hair"/>
      <bottom style="thin"/>
    </border>
    <border>
      <left style="thin"/>
      <right style="hair"/>
      <top style="thin"/>
      <bottom style="hair"/>
    </border>
    <border>
      <left style="medium"/>
      <right/>
      <top/>
      <bottom/>
    </border>
    <border>
      <left/>
      <right/>
      <top style="hair"/>
      <bottom/>
    </border>
    <border>
      <left/>
      <right style="medium"/>
      <top style="hair"/>
      <bottom/>
    </border>
    <border>
      <left style="medium"/>
      <right/>
      <top/>
      <bottom style="thin"/>
    </border>
    <border>
      <left/>
      <right style="medium"/>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top/>
      <bottom style="medium"/>
    </border>
    <border>
      <left/>
      <right style="medium"/>
      <top/>
      <bottom style="medium"/>
    </border>
    <border>
      <left style="medium"/>
      <right/>
      <top style="thin"/>
      <bottom/>
    </border>
    <border>
      <left style="medium"/>
      <right/>
      <top style="medium"/>
      <bottom/>
    </border>
    <border>
      <left/>
      <right/>
      <top style="medium"/>
      <bottom/>
    </border>
    <border>
      <left/>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style="medium"/>
      <right style="medium"/>
      <top style="medium"/>
      <bottom/>
    </border>
    <border>
      <left style="medium"/>
      <right style="medium"/>
      <top/>
      <bottom style="medium"/>
    </border>
    <border>
      <left style="medium"/>
      <right style="medium"/>
      <top/>
      <bottom/>
    </border>
    <border>
      <left/>
      <right/>
      <top style="medium"/>
      <bottom style="medium"/>
    </border>
    <border>
      <left style="thin"/>
      <right style="thin"/>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right/>
      <top/>
      <bottom style="thin">
        <color indexed="9"/>
      </bottom>
    </border>
    <border>
      <left>
        <color indexed="63"/>
      </left>
      <right>
        <color indexed="63"/>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right style="medium"/>
      <top style="hair"/>
      <bottom style="hair"/>
    </border>
    <border>
      <left/>
      <right/>
      <top style="thin"/>
      <bottom style="hair"/>
    </border>
    <border>
      <left/>
      <right style="medium"/>
      <top style="thin"/>
      <bottom style="hair"/>
    </border>
    <border>
      <left/>
      <right style="medium"/>
      <top/>
      <bottom style="hair"/>
    </border>
    <border>
      <left style="double"/>
      <right/>
      <top style="double"/>
      <bottom style="double"/>
    </border>
    <border>
      <left/>
      <right/>
      <top style="double"/>
      <bottom style="double"/>
    </border>
    <border>
      <left/>
      <right style="double"/>
      <top style="double"/>
      <bottom style="double"/>
    </border>
    <border>
      <left style="hair"/>
      <right style="hair"/>
      <top/>
      <bottom style="hair"/>
    </border>
    <border>
      <left style="medium"/>
      <right style="hair"/>
      <top style="hair"/>
      <bottom style="medium"/>
    </border>
    <border>
      <left style="hair"/>
      <right style="hair"/>
      <top style="hair"/>
      <bottom style="medium"/>
    </border>
    <border>
      <left style="medium"/>
      <right/>
      <top style="medium"/>
      <bottom style="thin"/>
    </border>
    <border>
      <left/>
      <right/>
      <top style="medium"/>
      <bottom style="thin"/>
    </border>
    <border>
      <left style="medium"/>
      <right style="hair"/>
      <top/>
      <bottom style="hair"/>
    </border>
    <border>
      <left style="thin"/>
      <right/>
      <top/>
      <bottom style="hair"/>
    </border>
    <border>
      <left style="hair"/>
      <right style="medium"/>
      <top style="hair"/>
      <bottom style="hair"/>
    </border>
    <border>
      <left/>
      <right style="thin"/>
      <top/>
      <bottom style="hair"/>
    </border>
    <border>
      <left style="hair"/>
      <right style="medium"/>
      <top style="hair"/>
      <bottom style="medium"/>
    </border>
    <border>
      <left/>
      <right style="medium"/>
      <top style="medium"/>
      <bottom style="thin"/>
    </border>
    <border>
      <left style="hair"/>
      <right style="medium"/>
      <top/>
      <bottom style="hair"/>
    </border>
    <border>
      <left style="medium"/>
      <right/>
      <top style="medium"/>
      <bottom style="double"/>
    </border>
    <border>
      <left/>
      <right/>
      <top style="medium"/>
      <bottom style="double"/>
    </border>
    <border>
      <left/>
      <right style="medium"/>
      <top style="medium"/>
      <bottom style="double"/>
    </border>
    <border>
      <left/>
      <right/>
      <top style="thin">
        <color indexed="9"/>
      </top>
      <bottom/>
    </border>
    <border>
      <left/>
      <right/>
      <top style="double"/>
      <bottom/>
    </border>
    <border>
      <left style="medium"/>
      <right style="thin"/>
      <top/>
      <bottom style="thin"/>
    </border>
    <border>
      <left style="medium"/>
      <right style="thin"/>
      <top/>
      <bottom/>
    </border>
    <border>
      <left/>
      <right/>
      <top/>
      <bottom style="dotted"/>
    </border>
    <border>
      <left/>
      <right/>
      <top style="dotted"/>
      <bottom style="dotted"/>
    </border>
    <border>
      <left style="thin"/>
      <right style="thin"/>
      <top style="medium"/>
      <bottom/>
    </border>
    <border>
      <left/>
      <right style="thin"/>
      <top style="medium"/>
      <bottom style="medium"/>
    </border>
    <border>
      <left style="thin"/>
      <right/>
      <top style="medium"/>
      <bottom style="mediu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style="thin"/>
      <top style="thin"/>
      <bottom style="medium"/>
    </border>
    <border>
      <left style="thin"/>
      <right style="thin"/>
      <top style="thin"/>
      <bottom/>
    </border>
    <border>
      <left/>
      <right/>
      <top style="dotted"/>
      <bottom/>
    </border>
    <border>
      <left style="thin"/>
      <right style="thin"/>
      <top style="medium"/>
      <bottom style="thin"/>
    </border>
    <border>
      <left style="thin"/>
      <right/>
      <top style="medium"/>
      <bottom style="thin"/>
    </border>
    <border>
      <left/>
      <right style="thin"/>
      <top style="thin"/>
      <bottom style="thin"/>
    </border>
    <border>
      <left style="thin"/>
      <right>
        <color indexed="63"/>
      </right>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bottom style="thin"/>
    </border>
    <border>
      <left style="thin"/>
      <right/>
      <top style="thin"/>
      <bottom style="hair"/>
    </border>
    <border>
      <left>
        <color indexed="63"/>
      </left>
      <right style="thin"/>
      <top style="thin"/>
      <bottom style="hair"/>
    </border>
    <border>
      <left style="medium"/>
      <right/>
      <top>
        <color indexed="63"/>
      </top>
      <bottom style="hair"/>
    </border>
    <border>
      <left style="medium"/>
      <right>
        <color indexed="63"/>
      </right>
      <top style="thin"/>
      <bottom style="hair"/>
    </border>
    <border>
      <left style="thin"/>
      <right/>
      <top style="double"/>
      <bottom style="hair"/>
    </border>
    <border>
      <left/>
      <right style="thin"/>
      <top style="double"/>
      <bottom style="hair"/>
    </border>
    <border>
      <left style="medium"/>
      <right/>
      <top style="hair"/>
      <bottom style="thin"/>
    </border>
    <border>
      <left/>
      <right style="thin"/>
      <top style="hair"/>
      <bottom style="thin"/>
    </border>
    <border>
      <left style="thin"/>
      <right/>
      <top style="hair"/>
      <bottom style="thin"/>
    </border>
    <border>
      <left style="thin"/>
      <right/>
      <top style="hair"/>
      <bottom style="medium"/>
    </border>
    <border>
      <left/>
      <right/>
      <top style="hair"/>
      <bottom style="medium"/>
    </border>
    <border>
      <left/>
      <right style="medium"/>
      <top style="hair"/>
      <bottom style="medium"/>
    </border>
    <border>
      <left style="thin"/>
      <right/>
      <top style="hair"/>
      <bottom style="hair"/>
    </border>
    <border>
      <left/>
      <right style="thin"/>
      <top style="hair"/>
      <bottom style="hair"/>
    </border>
    <border>
      <left/>
      <right style="medium"/>
      <top style="hair"/>
      <bottom style="thin"/>
    </border>
    <border>
      <left style="medium"/>
      <right/>
      <top style="hair"/>
      <bottom style="hair"/>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style="thin"/>
      <right style="thin"/>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
      <left/>
      <right style="thin"/>
      <top style="medium"/>
      <bottom/>
    </border>
    <border>
      <left style="medium"/>
      <right/>
      <top/>
      <bottom style="double"/>
    </border>
    <border>
      <left/>
      <right style="thin"/>
      <top/>
      <bottom style="double"/>
    </border>
    <border>
      <left style="hair"/>
      <right style="hair"/>
      <top/>
      <bottom/>
    </border>
    <border>
      <left style="hair"/>
      <right style="hair"/>
      <top/>
      <bottom style="thin"/>
    </border>
    <border>
      <left style="hair"/>
      <right style="medium"/>
      <top/>
      <bottom/>
    </border>
    <border>
      <left style="hair"/>
      <right style="medium"/>
      <top/>
      <bottom style="thin"/>
    </border>
    <border>
      <left style="hair"/>
      <right style="medium"/>
      <top style="thin"/>
      <bottom/>
    </border>
    <border>
      <left style="thin"/>
      <right style="hair"/>
      <top style="thin"/>
      <bottom/>
    </border>
    <border>
      <left style="thin"/>
      <right style="hair"/>
      <top/>
      <bottom style="thin"/>
    </border>
    <border>
      <left style="thin"/>
      <right style="hair"/>
      <top/>
      <bottom/>
    </border>
    <border>
      <left style="thin"/>
      <right>
        <color indexed="63"/>
      </right>
      <top style="medium"/>
      <bottom>
        <color indexed="63"/>
      </bottom>
    </border>
    <border>
      <left style="thin"/>
      <right>
        <color indexed="63"/>
      </right>
      <top>
        <color indexed="63"/>
      </top>
      <bottom style="double"/>
    </border>
    <border>
      <left style="thin"/>
      <right style="thin"/>
      <top>
        <color indexed="63"/>
      </top>
      <bottom style="medium"/>
    </border>
    <border>
      <left style="thin"/>
      <right style="thin"/>
      <top style="medium"/>
      <bottom style="double"/>
    </border>
    <border>
      <left style="medium"/>
      <right style="thin"/>
      <top style="medium"/>
      <bottom style="double"/>
    </border>
    <border>
      <left style="hair"/>
      <right style="thin"/>
      <top style="thin"/>
      <bottom style="hair"/>
    </border>
    <border>
      <left style="hair"/>
      <right style="hair"/>
      <top style="hair"/>
      <bottom style="thin"/>
    </border>
    <border>
      <left style="hair"/>
      <right style="thin"/>
      <top style="hair"/>
      <bottom style="thin"/>
    </border>
    <border>
      <left style="thin"/>
      <right style="medium"/>
      <top/>
      <bottom style="double"/>
    </border>
    <border>
      <left style="hair"/>
      <right style="medium"/>
      <top style="double"/>
      <bottom/>
    </border>
    <border>
      <left style="hair"/>
      <right style="hair"/>
      <top style="double"/>
      <bottom/>
    </border>
    <border>
      <left style="thin"/>
      <right style="hair"/>
      <top style="double"/>
      <bottom/>
    </border>
    <border>
      <left style="thin"/>
      <right style="thin"/>
      <top style="double"/>
      <bottom style="medium"/>
    </border>
    <border>
      <left style="thin"/>
      <right style="medium"/>
      <top style="double"/>
      <bottom style="medium"/>
    </border>
    <border>
      <left style="medium"/>
      <right style="thin"/>
      <top style="double"/>
      <bottom style="medium"/>
    </border>
    <border>
      <left style="thin"/>
      <right style="medium"/>
      <top style="medium"/>
      <bottom style="double"/>
    </border>
    <border>
      <left/>
      <right style="thin"/>
      <top/>
      <bottom style="medium"/>
    </border>
    <border>
      <left style="thin"/>
      <right/>
      <top style="medium"/>
      <bottom style="double"/>
    </border>
    <border>
      <left style="hair"/>
      <right style="thin"/>
      <top/>
      <bottom style="hair"/>
    </border>
    <border>
      <left style="thin"/>
      <right style="thin"/>
      <top style="medium"/>
      <bottom style="medium"/>
    </border>
    <border>
      <left style="thin"/>
      <right/>
      <top style="thin"/>
      <bottom style="double"/>
    </border>
    <border>
      <left style="thin"/>
      <right style="medium"/>
      <top style="thin"/>
      <bottom/>
    </border>
    <border>
      <left style="thin"/>
      <right style="medium"/>
      <top style="medium"/>
      <bottom style="medium"/>
    </border>
    <border>
      <left>
        <color indexed="63"/>
      </left>
      <right style="thin"/>
      <top style="medium"/>
      <bottom style="double"/>
    </border>
    <border>
      <left>
        <color indexed="63"/>
      </left>
      <right style="thin"/>
      <top style="hair"/>
      <bottom style="medium"/>
    </border>
    <border>
      <left style="hair"/>
      <right style="hair"/>
      <top style="thin"/>
      <bottom/>
    </border>
    <border>
      <left style="hair"/>
      <right style="hair"/>
      <top/>
      <bottom style="medium"/>
    </border>
    <border>
      <left style="hair"/>
      <right style="medium"/>
      <top/>
      <bottom style="medium"/>
    </border>
    <border>
      <left style="thin"/>
      <right style="thin"/>
      <top>
        <color indexed="63"/>
      </top>
      <bottom/>
    </border>
    <border>
      <left style="thin"/>
      <right style="hair"/>
      <top/>
      <bottom style="medium"/>
    </border>
    <border>
      <left style="thin"/>
      <right style="medium"/>
      <top style="thin"/>
      <bottom style="medium"/>
    </border>
    <border>
      <left style="medium"/>
      <right/>
      <top style="hair"/>
      <bottom style="medium"/>
    </border>
    <border>
      <left>
        <color indexed="63"/>
      </left>
      <right style="thin"/>
      <top style="double"/>
      <bottom style="thin"/>
    </border>
    <border>
      <left>
        <color indexed="63"/>
      </left>
      <right style="medium"/>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104" fillId="20" borderId="0" applyNumberFormat="0" applyBorder="0" applyAlignment="0" applyProtection="0"/>
    <xf numFmtId="0" fontId="10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22" borderId="0" applyNumberFormat="0" applyBorder="0" applyAlignment="0" applyProtection="0"/>
    <xf numFmtId="0" fontId="18" fillId="0" borderId="0">
      <alignment/>
      <protection/>
    </xf>
    <xf numFmtId="0" fontId="0" fillId="23" borderId="6" applyNumberFormat="0" applyFont="0" applyAlignment="0" applyProtection="0"/>
    <xf numFmtId="9" fontId="0" fillId="0" borderId="0" applyFont="0" applyFill="0" applyBorder="0" applyAlignment="0" applyProtection="0"/>
    <xf numFmtId="0" fontId="111" fillId="0" borderId="7" applyNumberFormat="0" applyFill="0" applyAlignment="0" applyProtection="0"/>
    <xf numFmtId="0" fontId="112" fillId="24" borderId="0" applyNumberFormat="0" applyBorder="0" applyAlignment="0" applyProtection="0"/>
    <xf numFmtId="0" fontId="113" fillId="0" borderId="0" applyNumberFormat="0" applyFill="0" applyBorder="0" applyAlignment="0" applyProtection="0"/>
    <xf numFmtId="0" fontId="114" fillId="25" borderId="8" applyNumberFormat="0" applyAlignment="0" applyProtection="0"/>
    <xf numFmtId="0" fontId="115" fillId="26" borderId="8" applyNumberFormat="0" applyAlignment="0" applyProtection="0"/>
    <xf numFmtId="0" fontId="116" fillId="26" borderId="9" applyNumberFormat="0" applyAlignment="0" applyProtection="0"/>
    <xf numFmtId="0" fontId="117" fillId="0" borderId="0" applyNumberFormat="0" applyFill="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cellStyleXfs>
  <cellXfs count="1243">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xf>
    <xf numFmtId="0" fontId="6" fillId="0" borderId="0" xfId="0" applyFont="1" applyAlignment="1">
      <alignment/>
    </xf>
    <xf numFmtId="0" fontId="5" fillId="0" borderId="0" xfId="0" applyFont="1" applyAlignment="1">
      <alignment vertical="top"/>
    </xf>
    <xf numFmtId="0" fontId="4" fillId="0" borderId="0" xfId="0" applyFont="1" applyAlignment="1">
      <alignment vertical="center"/>
    </xf>
    <xf numFmtId="0" fontId="0" fillId="0" borderId="0" xfId="0" applyAlignment="1">
      <alignment vertical="center"/>
    </xf>
    <xf numFmtId="0" fontId="0" fillId="0" borderId="0" xfId="0" applyFill="1" applyAlignment="1">
      <alignment/>
    </xf>
    <xf numFmtId="0" fontId="2" fillId="33" borderId="0" xfId="0" applyFont="1" applyFill="1" applyAlignment="1">
      <alignment/>
    </xf>
    <xf numFmtId="0" fontId="4"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xf>
    <xf numFmtId="0" fontId="5" fillId="33" borderId="0" xfId="0" applyFont="1" applyFill="1" applyAlignment="1">
      <alignment vertical="top"/>
    </xf>
    <xf numFmtId="0" fontId="6" fillId="33" borderId="0" xfId="0" applyFont="1" applyFill="1" applyAlignment="1">
      <alignment/>
    </xf>
    <xf numFmtId="0" fontId="2"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49" fontId="0" fillId="0" borderId="0" xfId="0" applyNumberFormat="1" applyAlignment="1">
      <alignment/>
    </xf>
    <xf numFmtId="49" fontId="0" fillId="0" borderId="0" xfId="0" applyNumberFormat="1" applyFill="1" applyAlignment="1">
      <alignment/>
    </xf>
    <xf numFmtId="0" fontId="0" fillId="34" borderId="0" xfId="0" applyFill="1" applyAlignment="1">
      <alignment/>
    </xf>
    <xf numFmtId="0" fontId="9" fillId="34" borderId="0" xfId="0" applyFont="1" applyFill="1" applyAlignment="1">
      <alignment horizontal="left" vertical="top" wrapText="1"/>
    </xf>
    <xf numFmtId="0" fontId="9" fillId="34" borderId="0" xfId="0" applyFont="1" applyFill="1" applyAlignment="1">
      <alignment horizontal="left" vertical="center" wrapText="1"/>
    </xf>
    <xf numFmtId="0" fontId="0" fillId="34" borderId="0" xfId="0" applyFill="1" applyAlignment="1">
      <alignment vertical="center"/>
    </xf>
    <xf numFmtId="0" fontId="7" fillId="0" borderId="0" xfId="0" applyFont="1" applyBorder="1" applyAlignment="1">
      <alignment horizontal="center" vertical="center"/>
    </xf>
    <xf numFmtId="0" fontId="0" fillId="0" borderId="0" xfId="0" applyNumberFormat="1" applyAlignment="1">
      <alignment/>
    </xf>
    <xf numFmtId="0" fontId="2" fillId="34" borderId="10" xfId="0" applyNumberFormat="1" applyFont="1" applyFill="1" applyBorder="1" applyAlignment="1">
      <alignment horizontal="center" vertical="center"/>
    </xf>
    <xf numFmtId="0" fontId="2" fillId="35" borderId="10" xfId="0" applyNumberFormat="1" applyFont="1" applyFill="1" applyBorder="1" applyAlignment="1">
      <alignment horizontal="center" vertical="center"/>
    </xf>
    <xf numFmtId="0" fontId="2" fillId="36" borderId="11" xfId="0" applyFont="1" applyFill="1" applyBorder="1" applyAlignment="1">
      <alignment horizontal="center" vertical="center" wrapText="1"/>
    </xf>
    <xf numFmtId="0" fontId="2" fillId="35" borderId="11" xfId="0" applyNumberFormat="1" applyFont="1" applyFill="1" applyBorder="1" applyAlignment="1">
      <alignment horizontal="center" vertical="center"/>
    </xf>
    <xf numFmtId="2" fontId="2" fillId="35" borderId="12" xfId="0" applyNumberFormat="1" applyFont="1" applyFill="1" applyBorder="1" applyAlignment="1">
      <alignment horizontal="center" vertical="center"/>
    </xf>
    <xf numFmtId="2" fontId="2" fillId="34" borderId="13" xfId="0" applyNumberFormat="1"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34" borderId="11"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protection locked="0"/>
    </xf>
    <xf numFmtId="0" fontId="19" fillId="37" borderId="14" xfId="47" applyFont="1" applyFill="1" applyBorder="1" applyAlignment="1" applyProtection="1">
      <alignment horizontal="center" vertical="center"/>
      <protection locked="0"/>
    </xf>
    <xf numFmtId="0" fontId="19" fillId="37" borderId="15" xfId="47" applyFont="1" applyFill="1" applyBorder="1" applyAlignment="1" applyProtection="1">
      <alignment horizontal="center" vertical="center"/>
      <protection locked="0"/>
    </xf>
    <xf numFmtId="0" fontId="19" fillId="37" borderId="16" xfId="47" applyFont="1" applyFill="1" applyBorder="1" applyAlignment="1" applyProtection="1">
      <alignment horizontal="center" vertical="center"/>
      <protection locked="0"/>
    </xf>
    <xf numFmtId="170" fontId="25" fillId="37" borderId="17" xfId="47" applyNumberFormat="1" applyFont="1" applyFill="1" applyBorder="1" applyAlignment="1" applyProtection="1">
      <alignment horizontal="center" vertical="center"/>
      <protection locked="0"/>
    </xf>
    <xf numFmtId="170" fontId="25" fillId="37" borderId="18" xfId="47" applyNumberFormat="1" applyFont="1" applyFill="1" applyBorder="1" applyAlignment="1" applyProtection="1">
      <alignment horizontal="center" vertical="center"/>
      <protection locked="0"/>
    </xf>
    <xf numFmtId="170" fontId="25" fillId="37" borderId="19" xfId="47" applyNumberFormat="1" applyFont="1" applyFill="1" applyBorder="1" applyAlignment="1" applyProtection="1">
      <alignment horizontal="center" vertical="center"/>
      <protection locked="0"/>
    </xf>
    <xf numFmtId="172" fontId="25" fillId="37" borderId="20" xfId="47" applyNumberFormat="1" applyFont="1" applyFill="1" applyBorder="1" applyAlignment="1" applyProtection="1">
      <alignment horizontal="center" vertical="center"/>
      <protection locked="0"/>
    </xf>
    <xf numFmtId="14" fontId="19" fillId="37" borderId="19" xfId="47" applyNumberFormat="1" applyFont="1" applyFill="1" applyBorder="1" applyAlignment="1" applyProtection="1">
      <alignment horizontal="center" vertical="center"/>
      <protection locked="0"/>
    </xf>
    <xf numFmtId="0" fontId="0" fillId="34" borderId="0" xfId="0" applyFill="1" applyAlignment="1">
      <alignment horizontal="justify"/>
    </xf>
    <xf numFmtId="0" fontId="0" fillId="0" borderId="0" xfId="0" applyAlignment="1">
      <alignment horizontal="justify"/>
    </xf>
    <xf numFmtId="176" fontId="32" fillId="38" borderId="21" xfId="47" applyNumberFormat="1" applyFont="1" applyFill="1" applyBorder="1" applyAlignment="1" applyProtection="1">
      <alignment horizontal="center" vertical="center"/>
      <protection/>
    </xf>
    <xf numFmtId="0" fontId="0" fillId="33" borderId="0" xfId="0" applyFill="1" applyAlignment="1">
      <alignment/>
    </xf>
    <xf numFmtId="0" fontId="42" fillId="39" borderId="21" xfId="47" applyFont="1" applyFill="1" applyBorder="1" applyAlignment="1" applyProtection="1">
      <alignment horizontal="center" vertical="center"/>
      <protection/>
    </xf>
    <xf numFmtId="0" fontId="19" fillId="37" borderId="22" xfId="47" applyFont="1" applyFill="1" applyBorder="1" applyAlignment="1" applyProtection="1">
      <alignment horizontal="center" vertical="center"/>
      <protection locked="0"/>
    </xf>
    <xf numFmtId="0" fontId="9" fillId="0" borderId="0" xfId="0" applyFont="1" applyAlignment="1">
      <alignment/>
    </xf>
    <xf numFmtId="0" fontId="19" fillId="0" borderId="23" xfId="0" applyFont="1" applyBorder="1" applyAlignment="1">
      <alignment/>
    </xf>
    <xf numFmtId="0" fontId="19" fillId="0" borderId="0" xfId="0" applyFont="1" applyAlignment="1">
      <alignment/>
    </xf>
    <xf numFmtId="0" fontId="19" fillId="0" borderId="23" xfId="0" applyFont="1" applyFill="1" applyBorder="1" applyAlignment="1">
      <alignment horizontal="right"/>
    </xf>
    <xf numFmtId="0" fontId="19" fillId="0" borderId="23" xfId="0" applyFont="1" applyFill="1" applyBorder="1" applyAlignment="1">
      <alignment/>
    </xf>
    <xf numFmtId="0" fontId="2" fillId="0" borderId="0" xfId="0" applyFont="1" applyAlignment="1">
      <alignment horizontal="right"/>
    </xf>
    <xf numFmtId="0" fontId="2" fillId="0" borderId="0" xfId="0" applyFont="1" applyAlignment="1">
      <alignment horizontal="center"/>
    </xf>
    <xf numFmtId="0" fontId="11" fillId="0" borderId="0" xfId="0" applyFont="1" applyAlignment="1">
      <alignment/>
    </xf>
    <xf numFmtId="0" fontId="48" fillId="0" borderId="0" xfId="0" applyFont="1" applyAlignment="1">
      <alignment/>
    </xf>
    <xf numFmtId="0" fontId="58" fillId="0" borderId="0" xfId="0" applyFont="1" applyAlignment="1">
      <alignment/>
    </xf>
    <xf numFmtId="0" fontId="48" fillId="0" borderId="24" xfId="0" applyFont="1" applyFill="1" applyBorder="1" applyAlignment="1">
      <alignment/>
    </xf>
    <xf numFmtId="0" fontId="55" fillId="0" borderId="0" xfId="0" applyFont="1" applyFill="1" applyBorder="1" applyAlignment="1">
      <alignment horizontal="right"/>
    </xf>
    <xf numFmtId="0" fontId="55" fillId="0" borderId="0" xfId="0" applyFont="1" applyAlignment="1">
      <alignment horizontal="right"/>
    </xf>
    <xf numFmtId="166" fontId="22" fillId="0" borderId="25" xfId="0" applyNumberFormat="1" applyFont="1" applyFill="1" applyBorder="1" applyAlignment="1">
      <alignment/>
    </xf>
    <xf numFmtId="14" fontId="22" fillId="0" borderId="24" xfId="0" applyNumberFormat="1" applyFont="1" applyFill="1" applyBorder="1" applyAlignment="1">
      <alignment/>
    </xf>
    <xf numFmtId="0" fontId="22" fillId="0" borderId="24" xfId="0" applyFont="1" applyFill="1" applyBorder="1" applyAlignment="1">
      <alignment/>
    </xf>
    <xf numFmtId="0" fontId="48" fillId="0" borderId="23" xfId="0" applyFont="1" applyFill="1" applyBorder="1" applyAlignment="1">
      <alignment horizontal="right"/>
    </xf>
    <xf numFmtId="0" fontId="48" fillId="0" borderId="23" xfId="0" applyFont="1" applyBorder="1" applyAlignment="1">
      <alignment horizontal="right"/>
    </xf>
    <xf numFmtId="0" fontId="48" fillId="0" borderId="23" xfId="0" applyFont="1" applyBorder="1" applyAlignment="1">
      <alignment/>
    </xf>
    <xf numFmtId="0" fontId="23" fillId="0" borderId="0" xfId="0" applyFont="1" applyAlignment="1">
      <alignment/>
    </xf>
    <xf numFmtId="0" fontId="22" fillId="0" borderId="0" xfId="0" applyFont="1" applyAlignment="1">
      <alignment/>
    </xf>
    <xf numFmtId="0" fontId="34" fillId="0" borderId="0" xfId="0" applyFont="1" applyFill="1" applyBorder="1" applyAlignment="1">
      <alignment horizontal="center"/>
    </xf>
    <xf numFmtId="175" fontId="20" fillId="38" borderId="26" xfId="49" applyNumberFormat="1" applyFont="1" applyFill="1" applyBorder="1" applyAlignment="1" applyProtection="1">
      <alignment horizontal="right"/>
      <protection/>
    </xf>
    <xf numFmtId="166" fontId="22" fillId="0" borderId="26" xfId="0" applyNumberFormat="1" applyFont="1" applyFill="1" applyBorder="1" applyAlignment="1">
      <alignment/>
    </xf>
    <xf numFmtId="0" fontId="48" fillId="0" borderId="0" xfId="0" applyFont="1" applyAlignment="1">
      <alignment horizontal="right"/>
    </xf>
    <xf numFmtId="0" fontId="34" fillId="0" borderId="0" xfId="0" applyFont="1" applyBorder="1" applyAlignment="1">
      <alignment horizontal="center"/>
    </xf>
    <xf numFmtId="0" fontId="48" fillId="0" borderId="0" xfId="0" applyFont="1" applyBorder="1" applyAlignment="1">
      <alignment/>
    </xf>
    <xf numFmtId="0" fontId="48" fillId="0" borderId="0" xfId="0" applyFont="1" applyFill="1" applyAlignment="1">
      <alignment/>
    </xf>
    <xf numFmtId="0" fontId="22" fillId="0" borderId="0" xfId="0" applyFont="1" applyFill="1" applyBorder="1" applyAlignment="1">
      <alignment/>
    </xf>
    <xf numFmtId="0" fontId="22" fillId="0" borderId="0" xfId="0" applyFont="1" applyBorder="1" applyAlignment="1">
      <alignment/>
    </xf>
    <xf numFmtId="0" fontId="22" fillId="0" borderId="27" xfId="0" applyFont="1" applyFill="1" applyBorder="1" applyAlignment="1">
      <alignment/>
    </xf>
    <xf numFmtId="0" fontId="48" fillId="0" borderId="27" xfId="0" applyFont="1" applyFill="1" applyBorder="1" applyAlignment="1">
      <alignment/>
    </xf>
    <xf numFmtId="0" fontId="3" fillId="0" borderId="27" xfId="0" applyFont="1" applyFill="1" applyBorder="1" applyAlignment="1">
      <alignment horizontal="left"/>
    </xf>
    <xf numFmtId="166" fontId="22" fillId="0" borderId="28" xfId="0" applyNumberFormat="1" applyFont="1" applyFill="1" applyBorder="1" applyAlignment="1">
      <alignment/>
    </xf>
    <xf numFmtId="0" fontId="34" fillId="0" borderId="28" xfId="0" applyFont="1" applyFill="1" applyBorder="1" applyAlignment="1">
      <alignment horizontal="center"/>
    </xf>
    <xf numFmtId="0" fontId="3"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Alignment="1">
      <alignment vertical="top"/>
    </xf>
    <xf numFmtId="0" fontId="6" fillId="0" borderId="0" xfId="0" applyFont="1" applyAlignment="1">
      <alignment horizontal="center"/>
    </xf>
    <xf numFmtId="0" fontId="4"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vertical="top"/>
    </xf>
    <xf numFmtId="0" fontId="6" fillId="0" borderId="0" xfId="0" applyFont="1" applyFill="1" applyAlignment="1">
      <alignment/>
    </xf>
    <xf numFmtId="0" fontId="2" fillId="0" borderId="0" xfId="0" applyFont="1" applyAlignment="1">
      <alignment horizontal="center" vertical="center" wrapText="1"/>
    </xf>
    <xf numFmtId="0" fontId="6" fillId="0" borderId="0" xfId="0" applyFont="1" applyAlignment="1">
      <alignment horizontal="right"/>
    </xf>
    <xf numFmtId="0" fontId="6" fillId="0" borderId="29" xfId="0" applyFont="1" applyBorder="1" applyAlignment="1">
      <alignment/>
    </xf>
    <xf numFmtId="0" fontId="3" fillId="0" borderId="30" xfId="0" applyFont="1" applyBorder="1" applyAlignment="1">
      <alignment horizontal="center" vertical="center" textRotation="90"/>
    </xf>
    <xf numFmtId="0" fontId="3" fillId="0" borderId="31" xfId="0" applyFont="1" applyBorder="1" applyAlignment="1">
      <alignment horizontal="center" vertical="center" textRotation="90"/>
    </xf>
    <xf numFmtId="0" fontId="3" fillId="0" borderId="32" xfId="0" applyFont="1" applyBorder="1" applyAlignment="1">
      <alignment horizontal="center" vertical="center" textRotation="90"/>
    </xf>
    <xf numFmtId="9" fontId="2" fillId="0" borderId="0" xfId="49" applyFont="1" applyAlignment="1">
      <alignment/>
    </xf>
    <xf numFmtId="9" fontId="2" fillId="0" borderId="29" xfId="49" applyFont="1" applyBorder="1" applyAlignment="1">
      <alignment/>
    </xf>
    <xf numFmtId="0" fontId="0" fillId="0" borderId="0" xfId="0" applyAlignment="1">
      <alignment horizontal="center"/>
    </xf>
    <xf numFmtId="0" fontId="2" fillId="0" borderId="0" xfId="0" applyFont="1" applyBorder="1" applyAlignment="1">
      <alignment/>
    </xf>
    <xf numFmtId="0" fontId="47" fillId="0" borderId="0" xfId="0" applyFont="1" applyFill="1" applyBorder="1" applyAlignment="1">
      <alignment horizontal="center" vertical="center" textRotation="90"/>
    </xf>
    <xf numFmtId="9" fontId="2" fillId="0" borderId="29" xfId="49" applyFont="1" applyBorder="1" applyAlignment="1">
      <alignment horizontal="right"/>
    </xf>
    <xf numFmtId="0" fontId="26" fillId="0" borderId="0" xfId="0" applyFont="1" applyAlignment="1">
      <alignment vertical="center" wrapText="1"/>
    </xf>
    <xf numFmtId="0" fontId="19" fillId="0" borderId="33" xfId="0" applyFont="1" applyBorder="1" applyAlignment="1" applyProtection="1">
      <alignment/>
      <protection/>
    </xf>
    <xf numFmtId="0" fontId="19" fillId="0" borderId="0" xfId="0" applyFont="1" applyBorder="1" applyAlignment="1" applyProtection="1">
      <alignment horizontal="left"/>
      <protection/>
    </xf>
    <xf numFmtId="0" fontId="19" fillId="33" borderId="0" xfId="47" applyFont="1" applyFill="1" applyBorder="1" applyProtection="1">
      <alignment/>
      <protection/>
    </xf>
    <xf numFmtId="0" fontId="19" fillId="34" borderId="0" xfId="47" applyFont="1" applyFill="1" applyBorder="1" applyProtection="1">
      <alignment/>
      <protection/>
    </xf>
    <xf numFmtId="0" fontId="19" fillId="0" borderId="0" xfId="47" applyFont="1" applyFill="1" applyBorder="1" applyProtection="1">
      <alignment/>
      <protection/>
    </xf>
    <xf numFmtId="0" fontId="19" fillId="0" borderId="0" xfId="47" applyFont="1" applyBorder="1" applyProtection="1">
      <alignment/>
      <protection/>
    </xf>
    <xf numFmtId="0" fontId="19" fillId="33" borderId="0" xfId="47" applyFont="1" applyFill="1" applyBorder="1" applyAlignment="1" applyProtection="1">
      <alignment/>
      <protection/>
    </xf>
    <xf numFmtId="0" fontId="19" fillId="0" borderId="0" xfId="47" applyFont="1" applyBorder="1" applyAlignment="1" applyProtection="1">
      <alignment/>
      <protection/>
    </xf>
    <xf numFmtId="0" fontId="20" fillId="33" borderId="0" xfId="47" applyFont="1" applyFill="1" applyBorder="1" applyAlignment="1" applyProtection="1">
      <alignment horizontal="left" wrapText="1" indent="1"/>
      <protection/>
    </xf>
    <xf numFmtId="0" fontId="19" fillId="33" borderId="0" xfId="47" applyFont="1" applyFill="1" applyBorder="1" applyAlignment="1" applyProtection="1">
      <alignment horizontal="center" vertical="top" wrapText="1"/>
      <protection/>
    </xf>
    <xf numFmtId="0" fontId="21" fillId="33" borderId="0" xfId="47" applyFont="1" applyFill="1" applyBorder="1" applyAlignment="1" applyProtection="1">
      <alignment horizontal="center" vertical="center" wrapText="1"/>
      <protection/>
    </xf>
    <xf numFmtId="0" fontId="20" fillId="33" borderId="0" xfId="47" applyFont="1" applyFill="1" applyBorder="1" applyAlignment="1" applyProtection="1">
      <alignment horizontal="center" vertical="top" wrapText="1"/>
      <protection/>
    </xf>
    <xf numFmtId="0" fontId="3" fillId="40" borderId="34" xfId="47" applyFont="1" applyFill="1" applyBorder="1" applyAlignment="1" applyProtection="1">
      <alignment horizontal="center" vertical="center"/>
      <protection/>
    </xf>
    <xf numFmtId="0" fontId="35" fillId="33" borderId="0" xfId="47" applyFont="1" applyFill="1" applyBorder="1" applyAlignment="1" applyProtection="1">
      <alignment horizontal="center" vertical="top"/>
      <protection/>
    </xf>
    <xf numFmtId="0" fontId="3" fillId="40" borderId="35" xfId="47" applyFont="1" applyFill="1" applyBorder="1" applyAlignment="1" applyProtection="1">
      <alignment horizontal="center" vertical="center"/>
      <protection/>
    </xf>
    <xf numFmtId="0" fontId="20" fillId="0" borderId="0" xfId="47" applyFont="1" applyFill="1" applyBorder="1" applyAlignment="1" applyProtection="1">
      <alignment horizontal="left" vertical="center" wrapText="1"/>
      <protection/>
    </xf>
    <xf numFmtId="0" fontId="20" fillId="33" borderId="0" xfId="47" applyFont="1" applyFill="1" applyBorder="1" applyAlignment="1" applyProtection="1">
      <alignment vertical="top" wrapText="1"/>
      <protection/>
    </xf>
    <xf numFmtId="0" fontId="19" fillId="33" borderId="0" xfId="47" applyFont="1" applyFill="1" applyBorder="1" applyAlignment="1" applyProtection="1">
      <alignment wrapText="1"/>
      <protection/>
    </xf>
    <xf numFmtId="2" fontId="19" fillId="0" borderId="0" xfId="47" applyNumberFormat="1" applyFont="1" applyFill="1" applyBorder="1" applyProtection="1">
      <alignment/>
      <protection/>
    </xf>
    <xf numFmtId="168" fontId="19" fillId="0" borderId="0" xfId="39" applyNumberFormat="1" applyFont="1" applyFill="1" applyBorder="1" applyAlignment="1" applyProtection="1">
      <alignment/>
      <protection/>
    </xf>
    <xf numFmtId="0" fontId="19" fillId="33" borderId="0" xfId="47" applyFont="1" applyFill="1" applyBorder="1" applyAlignment="1" applyProtection="1">
      <alignment horizontal="center" wrapText="1"/>
      <protection/>
    </xf>
    <xf numFmtId="0" fontId="25" fillId="0" borderId="0" xfId="47" applyFont="1" applyFill="1" applyBorder="1" applyProtection="1">
      <alignment/>
      <protection/>
    </xf>
    <xf numFmtId="0" fontId="20" fillId="33" borderId="0" xfId="47" applyFont="1" applyFill="1" applyBorder="1" applyAlignment="1" applyProtection="1">
      <alignment horizontal="left" wrapText="1"/>
      <protection/>
    </xf>
    <xf numFmtId="0" fontId="3" fillId="40" borderId="36" xfId="47" applyFont="1" applyFill="1" applyBorder="1" applyAlignment="1" applyProtection="1">
      <alignment horizontal="center" vertical="center"/>
      <protection/>
    </xf>
    <xf numFmtId="169" fontId="20" fillId="33" borderId="0" xfId="47" applyNumberFormat="1" applyFont="1" applyFill="1" applyBorder="1" applyAlignment="1" applyProtection="1">
      <alignment horizontal="left" wrapText="1"/>
      <protection/>
    </xf>
    <xf numFmtId="0" fontId="3" fillId="40" borderId="37" xfId="47" applyFont="1" applyFill="1" applyBorder="1" applyAlignment="1" applyProtection="1">
      <alignment horizontal="center" vertical="center"/>
      <protection/>
    </xf>
    <xf numFmtId="0" fontId="20" fillId="33" borderId="0" xfId="47" applyFont="1" applyFill="1" applyBorder="1" applyProtection="1">
      <alignment/>
      <protection/>
    </xf>
    <xf numFmtId="0" fontId="19" fillId="0" borderId="0" xfId="47" applyFont="1" applyFill="1" applyBorder="1" applyAlignment="1" applyProtection="1">
      <alignment/>
      <protection/>
    </xf>
    <xf numFmtId="0" fontId="3" fillId="40" borderId="36" xfId="47" applyFont="1" applyFill="1" applyBorder="1" applyAlignment="1" applyProtection="1">
      <alignment horizontal="center" vertical="center" wrapText="1"/>
      <protection/>
    </xf>
    <xf numFmtId="0" fontId="20" fillId="0" borderId="0" xfId="47" applyFont="1" applyFill="1" applyBorder="1" applyAlignment="1" applyProtection="1">
      <alignment wrapText="1"/>
      <protection/>
    </xf>
    <xf numFmtId="0" fontId="19" fillId="0" borderId="0" xfId="47" applyFont="1" applyFill="1" applyBorder="1" applyAlignment="1" applyProtection="1">
      <alignment wrapText="1"/>
      <protection/>
    </xf>
    <xf numFmtId="0" fontId="3" fillId="40" borderId="37" xfId="47" applyFont="1" applyFill="1" applyBorder="1" applyAlignment="1" applyProtection="1">
      <alignment horizontal="center" vertical="center" wrapText="1"/>
      <protection/>
    </xf>
    <xf numFmtId="0" fontId="28" fillId="40" borderId="38" xfId="47" applyFont="1" applyFill="1" applyBorder="1" applyAlignment="1" applyProtection="1">
      <alignment horizontal="center" vertical="center"/>
      <protection/>
    </xf>
    <xf numFmtId="0" fontId="23" fillId="33" borderId="0" xfId="47" applyFont="1" applyFill="1" applyBorder="1" applyAlignment="1" applyProtection="1">
      <alignment horizontal="center" vertical="center" wrapText="1"/>
      <protection/>
    </xf>
    <xf numFmtId="0" fontId="22" fillId="33" borderId="0" xfId="47" applyFont="1" applyFill="1" applyBorder="1" applyAlignment="1" applyProtection="1">
      <alignment horizontal="justify" vertical="center" wrapText="1"/>
      <protection/>
    </xf>
    <xf numFmtId="0" fontId="35" fillId="33" borderId="0" xfId="47" applyFont="1" applyFill="1" applyBorder="1" applyAlignment="1" applyProtection="1">
      <alignment horizontal="center" vertical="top"/>
      <protection/>
    </xf>
    <xf numFmtId="0" fontId="20" fillId="33" borderId="0" xfId="47" applyFont="1" applyFill="1" applyBorder="1" applyAlignment="1" applyProtection="1">
      <alignment vertical="center" wrapText="1"/>
      <protection/>
    </xf>
    <xf numFmtId="0" fontId="19" fillId="33" borderId="0" xfId="47" applyFont="1" applyFill="1" applyBorder="1" applyAlignment="1" applyProtection="1">
      <alignment vertical="top" wrapText="1"/>
      <protection/>
    </xf>
    <xf numFmtId="0" fontId="19" fillId="33" borderId="0" xfId="47" applyFont="1" applyFill="1" applyBorder="1" applyAlignment="1" applyProtection="1">
      <alignment vertical="center"/>
      <protection/>
    </xf>
    <xf numFmtId="0" fontId="19" fillId="41" borderId="34" xfId="47" applyFont="1" applyFill="1" applyBorder="1" applyAlignment="1" applyProtection="1">
      <alignment horizontal="center" vertical="center" wrapText="1"/>
      <protection/>
    </xf>
    <xf numFmtId="0" fontId="19" fillId="42" borderId="0" xfId="47" applyFont="1" applyFill="1" applyBorder="1" applyAlignment="1" applyProtection="1">
      <alignment vertical="center" wrapText="1"/>
      <protection/>
    </xf>
    <xf numFmtId="0" fontId="19" fillId="34" borderId="0" xfId="47" applyFont="1" applyFill="1" applyBorder="1" applyAlignment="1" applyProtection="1">
      <alignment vertical="center"/>
      <protection/>
    </xf>
    <xf numFmtId="0" fontId="19" fillId="0" borderId="0" xfId="47" applyFont="1" applyFill="1" applyBorder="1" applyAlignment="1" applyProtection="1">
      <alignment vertical="center"/>
      <protection/>
    </xf>
    <xf numFmtId="0" fontId="19" fillId="0" borderId="0" xfId="47" applyFont="1" applyBorder="1" applyAlignment="1" applyProtection="1">
      <alignment vertical="center"/>
      <protection/>
    </xf>
    <xf numFmtId="0" fontId="19" fillId="41" borderId="35" xfId="47" applyFont="1" applyFill="1" applyBorder="1" applyAlignment="1" applyProtection="1">
      <alignment horizontal="center" vertical="center" wrapText="1"/>
      <protection/>
    </xf>
    <xf numFmtId="0" fontId="19" fillId="41" borderId="39" xfId="47" applyFont="1" applyFill="1" applyBorder="1" applyAlignment="1" applyProtection="1">
      <alignment horizontal="center" vertical="center" wrapText="1"/>
      <protection/>
    </xf>
    <xf numFmtId="0" fontId="19" fillId="41" borderId="40" xfId="47" applyFont="1" applyFill="1" applyBorder="1" applyAlignment="1" applyProtection="1">
      <alignment horizontal="center" vertical="center" wrapText="1"/>
      <protection/>
    </xf>
    <xf numFmtId="0" fontId="19" fillId="43" borderId="0" xfId="47" applyFont="1" applyFill="1" applyBorder="1" applyAlignment="1" applyProtection="1">
      <alignment vertical="center" wrapText="1"/>
      <protection/>
    </xf>
    <xf numFmtId="0" fontId="19" fillId="0" borderId="41" xfId="47" applyFont="1" applyBorder="1" applyAlignment="1" applyProtection="1">
      <alignment horizontal="center" vertical="center" wrapText="1"/>
      <protection/>
    </xf>
    <xf numFmtId="0" fontId="19" fillId="33" borderId="0" xfId="47" applyFont="1" applyFill="1" applyBorder="1" applyAlignment="1" applyProtection="1">
      <alignment vertical="center" wrapText="1"/>
      <protection/>
    </xf>
    <xf numFmtId="0" fontId="19" fillId="33" borderId="0" xfId="47" applyFont="1" applyFill="1" applyBorder="1" applyAlignment="1" applyProtection="1">
      <alignment horizontal="justify" vertical="top" wrapText="1"/>
      <protection/>
    </xf>
    <xf numFmtId="0" fontId="3" fillId="0" borderId="42"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19" fillId="33" borderId="0" xfId="0" applyFont="1" applyFill="1" applyAlignment="1" applyProtection="1">
      <alignment/>
      <protection/>
    </xf>
    <xf numFmtId="0" fontId="19" fillId="0" borderId="0" xfId="0" applyFont="1" applyFill="1" applyAlignment="1" applyProtection="1">
      <alignment/>
      <protection/>
    </xf>
    <xf numFmtId="0" fontId="34" fillId="0" borderId="0" xfId="0" applyFont="1" applyFill="1" applyAlignment="1" applyProtection="1">
      <alignment vertical="center" wrapText="1"/>
      <protection/>
    </xf>
    <xf numFmtId="0" fontId="19" fillId="0" borderId="0" xfId="0" applyFont="1" applyFill="1" applyAlignment="1" applyProtection="1">
      <alignment horizontal="center" vertical="center"/>
      <protection/>
    </xf>
    <xf numFmtId="0" fontId="43" fillId="33" borderId="0" xfId="0" applyFont="1" applyFill="1" applyAlignment="1" applyProtection="1">
      <alignment/>
      <protection/>
    </xf>
    <xf numFmtId="0" fontId="43" fillId="0" borderId="0" xfId="0" applyFont="1" applyFill="1" applyAlignment="1" applyProtection="1">
      <alignment/>
      <protection/>
    </xf>
    <xf numFmtId="0" fontId="43" fillId="0" borderId="0" xfId="0" applyFont="1" applyAlignment="1" applyProtection="1">
      <alignment/>
      <protection/>
    </xf>
    <xf numFmtId="0" fontId="19" fillId="0" borderId="0" xfId="0" applyFont="1" applyBorder="1" applyAlignment="1" applyProtection="1">
      <alignment/>
      <protection/>
    </xf>
    <xf numFmtId="0" fontId="19" fillId="0" borderId="0" xfId="0" applyFont="1" applyAlignment="1" applyProtection="1">
      <alignment/>
      <protection/>
    </xf>
    <xf numFmtId="0" fontId="45" fillId="33" borderId="0" xfId="0" applyFont="1" applyFill="1" applyBorder="1" applyAlignment="1" applyProtection="1">
      <alignment/>
      <protection/>
    </xf>
    <xf numFmtId="0" fontId="45" fillId="0" borderId="0" xfId="0" applyFont="1" applyFill="1" applyBorder="1" applyAlignment="1" applyProtection="1">
      <alignment/>
      <protection/>
    </xf>
    <xf numFmtId="0" fontId="45" fillId="0" borderId="0" xfId="0" applyFont="1" applyBorder="1" applyAlignment="1" applyProtection="1">
      <alignment/>
      <protection/>
    </xf>
    <xf numFmtId="0" fontId="19" fillId="0" borderId="45" xfId="0" applyFont="1" applyBorder="1" applyAlignment="1" applyProtection="1">
      <alignment/>
      <protection/>
    </xf>
    <xf numFmtId="0" fontId="19" fillId="0" borderId="0" xfId="0" applyFont="1" applyBorder="1" applyAlignment="1" applyProtection="1">
      <alignment horizontal="right"/>
      <protection/>
    </xf>
    <xf numFmtId="0" fontId="19" fillId="0" borderId="45" xfId="0" applyFont="1" applyBorder="1" applyAlignment="1" applyProtection="1">
      <alignment/>
      <protection/>
    </xf>
    <xf numFmtId="0" fontId="19" fillId="0" borderId="0" xfId="0" applyFont="1" applyBorder="1" applyAlignment="1" applyProtection="1">
      <alignment/>
      <protection/>
    </xf>
    <xf numFmtId="0" fontId="54" fillId="0" borderId="0" xfId="0" applyFont="1" applyBorder="1" applyAlignment="1" applyProtection="1">
      <alignment horizontal="center" vertical="center" wrapText="1"/>
      <protection/>
    </xf>
    <xf numFmtId="0" fontId="47" fillId="0" borderId="0" xfId="0" applyFont="1" applyBorder="1" applyAlignment="1" applyProtection="1">
      <alignment horizontal="center" vertical="center"/>
      <protection/>
    </xf>
    <xf numFmtId="0" fontId="47" fillId="0" borderId="33" xfId="0" applyFont="1" applyBorder="1" applyAlignment="1" applyProtection="1">
      <alignment horizontal="center" vertical="center"/>
      <protection/>
    </xf>
    <xf numFmtId="0" fontId="22" fillId="0" borderId="46" xfId="0" applyFont="1" applyFill="1" applyBorder="1" applyAlignment="1" applyProtection="1">
      <alignment/>
      <protection/>
    </xf>
    <xf numFmtId="0" fontId="22" fillId="0" borderId="47" xfId="0" applyFont="1" applyFill="1" applyBorder="1" applyAlignment="1" applyProtection="1">
      <alignment/>
      <protection/>
    </xf>
    <xf numFmtId="0" fontId="3" fillId="33" borderId="0" xfId="0" applyFont="1" applyFill="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22" fillId="0" borderId="0" xfId="0" applyFont="1" applyFill="1" applyBorder="1" applyAlignment="1" applyProtection="1">
      <alignment horizontal="left"/>
      <protection/>
    </xf>
    <xf numFmtId="0" fontId="19" fillId="0" borderId="48" xfId="0" applyFont="1" applyFill="1" applyBorder="1" applyAlignment="1" applyProtection="1">
      <alignment/>
      <protection/>
    </xf>
    <xf numFmtId="0" fontId="19" fillId="0" borderId="23" xfId="0" applyFont="1" applyFill="1" applyBorder="1" applyAlignment="1" applyProtection="1">
      <alignment/>
      <protection/>
    </xf>
    <xf numFmtId="0" fontId="22" fillId="0" borderId="23" xfId="0" applyFont="1" applyFill="1" applyBorder="1" applyAlignment="1" applyProtection="1">
      <alignment horizontal="left"/>
      <protection/>
    </xf>
    <xf numFmtId="0" fontId="22" fillId="0" borderId="49" xfId="0" applyFont="1" applyFill="1" applyBorder="1" applyAlignment="1" applyProtection="1">
      <alignment horizontal="left"/>
      <protection/>
    </xf>
    <xf numFmtId="0" fontId="22" fillId="0" borderId="46" xfId="0" applyFont="1" applyFill="1" applyBorder="1" applyAlignment="1" applyProtection="1">
      <alignment horizontal="center"/>
      <protection/>
    </xf>
    <xf numFmtId="0" fontId="22" fillId="0" borderId="47" xfId="0" applyFont="1" applyFill="1" applyBorder="1" applyAlignment="1" applyProtection="1">
      <alignment horizontal="center"/>
      <protection/>
    </xf>
    <xf numFmtId="0" fontId="19" fillId="0" borderId="45" xfId="0" applyFont="1" applyFill="1" applyBorder="1" applyAlignment="1" applyProtection="1">
      <alignment wrapText="1"/>
      <protection/>
    </xf>
    <xf numFmtId="0" fontId="19" fillId="0" borderId="0" xfId="0" applyFont="1" applyFill="1" applyBorder="1" applyAlignment="1" applyProtection="1">
      <alignment wrapText="1"/>
      <protection/>
    </xf>
    <xf numFmtId="0" fontId="19" fillId="0" borderId="0"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165" fontId="22" fillId="0" borderId="0" xfId="49" applyNumberFormat="1" applyFont="1" applyFill="1" applyBorder="1" applyAlignment="1" applyProtection="1">
      <alignment horizontal="center"/>
      <protection/>
    </xf>
    <xf numFmtId="165" fontId="22" fillId="0" borderId="33" xfId="49" applyNumberFormat="1" applyFont="1" applyFill="1" applyBorder="1" applyAlignment="1" applyProtection="1">
      <alignment horizontal="center"/>
      <protection/>
    </xf>
    <xf numFmtId="0" fontId="19" fillId="33" borderId="0" xfId="0" applyFont="1" applyFill="1" applyAlignment="1" applyProtection="1">
      <alignment vertical="center"/>
      <protection/>
    </xf>
    <xf numFmtId="0" fontId="19" fillId="0" borderId="23" xfId="0" applyFont="1" applyBorder="1" applyAlignment="1" applyProtection="1">
      <alignment vertical="center"/>
      <protection/>
    </xf>
    <xf numFmtId="0" fontId="19" fillId="0" borderId="0" xfId="0" applyFont="1" applyFill="1" applyAlignment="1" applyProtection="1">
      <alignment vertical="center"/>
      <protection/>
    </xf>
    <xf numFmtId="0" fontId="19" fillId="0" borderId="0" xfId="0" applyFont="1" applyAlignment="1" applyProtection="1">
      <alignment vertical="center"/>
      <protection/>
    </xf>
    <xf numFmtId="0" fontId="19" fillId="0" borderId="45"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50" xfId="0" applyFont="1" applyBorder="1" applyAlignment="1" applyProtection="1">
      <alignment vertical="center"/>
      <protection/>
    </xf>
    <xf numFmtId="0" fontId="19" fillId="0" borderId="33" xfId="0" applyFont="1" applyBorder="1" applyAlignment="1" applyProtection="1">
      <alignment vertical="center"/>
      <protection/>
    </xf>
    <xf numFmtId="0" fontId="19" fillId="0" borderId="51" xfId="0" applyFont="1" applyBorder="1" applyAlignment="1" applyProtection="1">
      <alignment vertical="center"/>
      <protection/>
    </xf>
    <xf numFmtId="0" fontId="19" fillId="0" borderId="52" xfId="0" applyFont="1" applyBorder="1" applyAlignment="1" applyProtection="1">
      <alignment vertical="center"/>
      <protection/>
    </xf>
    <xf numFmtId="0" fontId="20" fillId="0" borderId="45" xfId="0" applyFont="1" applyBorder="1" applyAlignment="1" applyProtection="1">
      <alignment/>
      <protection/>
    </xf>
    <xf numFmtId="0" fontId="22"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4" fontId="22" fillId="0" borderId="0" xfId="0" applyNumberFormat="1" applyFont="1" applyFill="1" applyBorder="1" applyAlignment="1" applyProtection="1">
      <alignment horizontal="center"/>
      <protection/>
    </xf>
    <xf numFmtId="4" fontId="22" fillId="0" borderId="53" xfId="0" applyNumberFormat="1" applyFont="1" applyFill="1" applyBorder="1" applyAlignment="1" applyProtection="1">
      <alignment horizontal="center"/>
      <protection/>
    </xf>
    <xf numFmtId="0" fontId="3" fillId="0" borderId="23" xfId="0" applyFont="1" applyFill="1" applyBorder="1" applyAlignment="1" applyProtection="1">
      <alignment horizontal="left"/>
      <protection/>
    </xf>
    <xf numFmtId="0" fontId="22" fillId="0" borderId="23" xfId="0" applyFont="1" applyFill="1" applyBorder="1" applyAlignment="1" applyProtection="1">
      <alignment horizontal="left" indent="1"/>
      <protection/>
    </xf>
    <xf numFmtId="0" fontId="22" fillId="0" borderId="23" xfId="0" applyFont="1" applyFill="1" applyBorder="1" applyAlignment="1" applyProtection="1">
      <alignment horizontal="center"/>
      <protection/>
    </xf>
    <xf numFmtId="0" fontId="22" fillId="0" borderId="54" xfId="0" applyFont="1" applyFill="1" applyBorder="1" applyAlignment="1" applyProtection="1">
      <alignment horizontal="center"/>
      <protection/>
    </xf>
    <xf numFmtId="0" fontId="19" fillId="0" borderId="53" xfId="0" applyFont="1" applyFill="1" applyBorder="1" applyAlignment="1" applyProtection="1">
      <alignment horizontal="right"/>
      <protection/>
    </xf>
    <xf numFmtId="0" fontId="19" fillId="0" borderId="23" xfId="0" applyFont="1" applyFill="1" applyBorder="1" applyAlignment="1" applyProtection="1">
      <alignment horizontal="right"/>
      <protection/>
    </xf>
    <xf numFmtId="0" fontId="19" fillId="0" borderId="23" xfId="0" applyFont="1" applyBorder="1" applyAlignment="1" applyProtection="1">
      <alignment horizontal="right"/>
      <protection/>
    </xf>
    <xf numFmtId="0" fontId="19" fillId="0" borderId="54" xfId="0" applyFont="1" applyBorder="1" applyAlignment="1" applyProtection="1">
      <alignment horizontal="right"/>
      <protection/>
    </xf>
    <xf numFmtId="0" fontId="22" fillId="0" borderId="0" xfId="0" applyFont="1" applyFill="1" applyBorder="1" applyAlignment="1" applyProtection="1">
      <alignment horizontal="left" indent="1"/>
      <protection/>
    </xf>
    <xf numFmtId="0" fontId="19" fillId="0" borderId="33" xfId="0" applyFont="1" applyBorder="1" applyAlignment="1" applyProtection="1">
      <alignment horizontal="right"/>
      <protection/>
    </xf>
    <xf numFmtId="0" fontId="49" fillId="33" borderId="0" xfId="0" applyFont="1" applyFill="1" applyAlignment="1" applyProtection="1">
      <alignment vertical="top"/>
      <protection/>
    </xf>
    <xf numFmtId="0" fontId="49" fillId="0" borderId="0" xfId="0" applyFont="1" applyFill="1" applyAlignment="1" applyProtection="1">
      <alignment vertical="top"/>
      <protection/>
    </xf>
    <xf numFmtId="0" fontId="49" fillId="0" borderId="0" xfId="0" applyFont="1" applyAlignment="1" applyProtection="1">
      <alignment vertical="top"/>
      <protection/>
    </xf>
    <xf numFmtId="0" fontId="19" fillId="0" borderId="38" xfId="0" applyFont="1" applyBorder="1" applyAlignment="1" applyProtection="1">
      <alignment/>
      <protection/>
    </xf>
    <xf numFmtId="0" fontId="19" fillId="0" borderId="55" xfId="0" applyFont="1" applyBorder="1" applyAlignment="1" applyProtection="1">
      <alignment/>
      <protection/>
    </xf>
    <xf numFmtId="0" fontId="19" fillId="0" borderId="55" xfId="0" applyFont="1" applyBorder="1" applyAlignment="1" applyProtection="1">
      <alignment horizontal="right"/>
      <protection/>
    </xf>
    <xf numFmtId="0" fontId="19" fillId="0" borderId="56" xfId="0" applyFont="1" applyBorder="1" applyAlignment="1" applyProtection="1">
      <alignment/>
      <protection/>
    </xf>
    <xf numFmtId="0" fontId="20" fillId="33"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Alignment="1" applyProtection="1">
      <alignment/>
      <protection/>
    </xf>
    <xf numFmtId="0" fontId="20" fillId="0" borderId="0" xfId="0" applyFont="1" applyBorder="1" applyAlignment="1" applyProtection="1">
      <alignment/>
      <protection/>
    </xf>
    <xf numFmtId="0" fontId="20" fillId="0" borderId="0" xfId="0" applyFont="1" applyBorder="1" applyAlignment="1" applyProtection="1" quotePrefix="1">
      <alignment horizontal="center"/>
      <protection/>
    </xf>
    <xf numFmtId="0" fontId="20" fillId="0" borderId="55" xfId="0" applyFont="1" applyBorder="1" applyAlignment="1" applyProtection="1">
      <alignment/>
      <protection/>
    </xf>
    <xf numFmtId="0" fontId="20" fillId="0" borderId="55" xfId="0" applyFont="1" applyBorder="1" applyAlignment="1" applyProtection="1" quotePrefix="1">
      <alignment horizontal="center"/>
      <protection/>
    </xf>
    <xf numFmtId="0" fontId="52" fillId="33" borderId="0" xfId="0" applyFont="1" applyFill="1" applyAlignment="1" applyProtection="1">
      <alignment/>
      <protection/>
    </xf>
    <xf numFmtId="0" fontId="19" fillId="0" borderId="57" xfId="0" applyFont="1" applyBorder="1" applyAlignment="1" applyProtection="1">
      <alignment vertical="center"/>
      <protection/>
    </xf>
    <xf numFmtId="0" fontId="19" fillId="33" borderId="0" xfId="0" applyFont="1" applyFill="1" applyAlignment="1" applyProtection="1">
      <alignment/>
      <protection/>
    </xf>
    <xf numFmtId="0" fontId="19" fillId="0" borderId="0" xfId="0" applyFont="1" applyFill="1" applyAlignment="1" applyProtection="1">
      <alignment/>
      <protection/>
    </xf>
    <xf numFmtId="0" fontId="19" fillId="0" borderId="0" xfId="0" applyFont="1" applyAlignment="1" applyProtection="1">
      <alignment/>
      <protection/>
    </xf>
    <xf numFmtId="0" fontId="19" fillId="34" borderId="0" xfId="47" applyFont="1" applyFill="1" applyBorder="1" applyProtection="1">
      <alignment/>
      <protection locked="0"/>
    </xf>
    <xf numFmtId="0" fontId="19" fillId="34" borderId="0" xfId="47" applyFont="1" applyFill="1" applyBorder="1" applyProtection="1">
      <alignment/>
      <protection locked="0"/>
    </xf>
    <xf numFmtId="0" fontId="19" fillId="34" borderId="0" xfId="47" applyFont="1" applyFill="1" applyBorder="1" applyAlignment="1" applyProtection="1">
      <alignment/>
      <protection locked="0"/>
    </xf>
    <xf numFmtId="0" fontId="22" fillId="0" borderId="55" xfId="0" applyFont="1" applyBorder="1" applyAlignment="1" applyProtection="1">
      <alignment horizontal="center"/>
      <protection/>
    </xf>
    <xf numFmtId="0" fontId="0"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2" fontId="19" fillId="0" borderId="0" xfId="47" applyNumberFormat="1" applyFont="1" applyBorder="1" applyProtection="1">
      <alignment/>
      <protection/>
    </xf>
    <xf numFmtId="0" fontId="34" fillId="0" borderId="0" xfId="47" applyFont="1" applyFill="1" applyBorder="1" applyProtection="1">
      <alignment/>
      <protection/>
    </xf>
    <xf numFmtId="0" fontId="34" fillId="0" borderId="0" xfId="47" applyFont="1" applyBorder="1" applyProtection="1">
      <alignment/>
      <protection/>
    </xf>
    <xf numFmtId="0" fontId="2" fillId="0" borderId="0" xfId="0" applyFont="1" applyAlignment="1">
      <alignment vertical="center"/>
    </xf>
    <xf numFmtId="0" fontId="2" fillId="33" borderId="0" xfId="0" applyFont="1" applyFill="1" applyAlignment="1">
      <alignment vertical="center"/>
    </xf>
    <xf numFmtId="0" fontId="6" fillId="0" borderId="0" xfId="0" applyFont="1" applyAlignment="1">
      <alignment vertical="center"/>
    </xf>
    <xf numFmtId="0" fontId="34" fillId="0" borderId="58" xfId="0" applyFont="1" applyFill="1" applyBorder="1" applyAlignment="1" applyProtection="1">
      <alignment horizontal="right" vertical="center"/>
      <protection/>
    </xf>
    <xf numFmtId="0" fontId="34" fillId="0" borderId="59" xfId="0" applyFont="1" applyFill="1" applyBorder="1" applyAlignment="1" applyProtection="1">
      <alignment horizontal="right" vertical="center"/>
      <protection/>
    </xf>
    <xf numFmtId="0" fontId="3" fillId="0" borderId="59" xfId="0" applyFont="1" applyFill="1" applyBorder="1" applyAlignment="1" applyProtection="1">
      <alignment vertical="center"/>
      <protection/>
    </xf>
    <xf numFmtId="0" fontId="3" fillId="0" borderId="59" xfId="0" applyFont="1" applyFill="1" applyBorder="1" applyAlignment="1" applyProtection="1">
      <alignment vertical="center" wrapText="1"/>
      <protection/>
    </xf>
    <xf numFmtId="0" fontId="34" fillId="0" borderId="59" xfId="0" applyFont="1" applyFill="1" applyBorder="1" applyAlignment="1" applyProtection="1">
      <alignment vertical="center"/>
      <protection/>
    </xf>
    <xf numFmtId="0" fontId="34" fillId="0" borderId="60" xfId="0" applyFont="1" applyFill="1" applyBorder="1" applyAlignment="1" applyProtection="1">
      <alignment vertical="center"/>
      <protection/>
    </xf>
    <xf numFmtId="0" fontId="34" fillId="0" borderId="45"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4" fillId="0" borderId="33" xfId="0" applyFont="1" applyFill="1" applyBorder="1" applyAlignment="1" applyProtection="1">
      <alignment vertical="center"/>
      <protection/>
    </xf>
    <xf numFmtId="0" fontId="34" fillId="0" borderId="38" xfId="0" applyFont="1" applyFill="1" applyBorder="1" applyAlignment="1" applyProtection="1">
      <alignment horizontal="right" vertical="center"/>
      <protection/>
    </xf>
    <xf numFmtId="0" fontId="34" fillId="0" borderId="55" xfId="0" applyFont="1" applyFill="1" applyBorder="1" applyAlignment="1" applyProtection="1">
      <alignment horizontal="right" vertical="center"/>
      <protection/>
    </xf>
    <xf numFmtId="0" fontId="3" fillId="0" borderId="55" xfId="0" applyFont="1" applyFill="1" applyBorder="1" applyAlignment="1" applyProtection="1">
      <alignment vertical="center"/>
      <protection/>
    </xf>
    <xf numFmtId="0" fontId="3" fillId="0" borderId="55" xfId="0" applyFont="1" applyFill="1" applyBorder="1" applyAlignment="1" applyProtection="1">
      <alignment vertical="center" wrapText="1"/>
      <protection/>
    </xf>
    <xf numFmtId="0" fontId="34" fillId="0" borderId="55" xfId="0" applyFont="1" applyFill="1" applyBorder="1" applyAlignment="1" applyProtection="1">
      <alignment vertical="center"/>
      <protection/>
    </xf>
    <xf numFmtId="0" fontId="34" fillId="0" borderId="56" xfId="0" applyFont="1" applyFill="1" applyBorder="1" applyAlignment="1" applyProtection="1">
      <alignment vertical="center"/>
      <protection/>
    </xf>
    <xf numFmtId="0" fontId="2" fillId="0" borderId="56"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center" vertical="center" wrapText="1"/>
    </xf>
    <xf numFmtId="0" fontId="2" fillId="0" borderId="61" xfId="0" applyFont="1" applyFill="1" applyBorder="1" applyAlignment="1">
      <alignment horizontal="center"/>
    </xf>
    <xf numFmtId="49" fontId="2" fillId="0" borderId="61" xfId="0" applyNumberFormat="1" applyFont="1" applyFill="1" applyBorder="1" applyAlignment="1">
      <alignment/>
    </xf>
    <xf numFmtId="0" fontId="2"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2" fillId="0" borderId="65" xfId="0" applyFont="1" applyFill="1" applyBorder="1" applyAlignment="1">
      <alignment horizontal="center" vertical="center" wrapText="1"/>
    </xf>
    <xf numFmtId="0" fontId="2" fillId="33" borderId="0" xfId="0" applyFont="1" applyFill="1" applyBorder="1" applyAlignment="1">
      <alignment horizontal="left" vertical="center" wrapText="1"/>
    </xf>
    <xf numFmtId="1" fontId="2" fillId="0" borderId="0" xfId="0" applyNumberFormat="1" applyFont="1" applyAlignment="1">
      <alignment/>
    </xf>
    <xf numFmtId="177" fontId="2" fillId="0" borderId="0" xfId="0" applyNumberFormat="1" applyFont="1" applyAlignment="1">
      <alignment/>
    </xf>
    <xf numFmtId="179" fontId="2" fillId="0" borderId="0" xfId="49" applyNumberFormat="1" applyFont="1" applyAlignment="1" applyProtection="1">
      <alignment horizontal="center" vertical="center"/>
      <protection locked="0"/>
    </xf>
    <xf numFmtId="179" fontId="2" fillId="0" borderId="0" xfId="49" applyNumberFormat="1" applyFont="1" applyAlignment="1" applyProtection="1">
      <alignment vertical="center"/>
      <protection locked="0"/>
    </xf>
    <xf numFmtId="0" fontId="0" fillId="0" borderId="0" xfId="0" applyAlignment="1">
      <alignment horizontal="center" vertical="center"/>
    </xf>
    <xf numFmtId="0" fontId="2" fillId="0" borderId="0" xfId="0" applyFont="1" applyBorder="1" applyAlignment="1">
      <alignment horizontal="left"/>
    </xf>
    <xf numFmtId="0" fontId="6" fillId="0" borderId="0" xfId="0" applyFont="1" applyBorder="1" applyAlignment="1">
      <alignment horizontal="left"/>
    </xf>
    <xf numFmtId="0" fontId="50" fillId="0" borderId="0" xfId="0" applyFont="1" applyAlignment="1">
      <alignment horizontal="center"/>
    </xf>
    <xf numFmtId="0" fontId="3" fillId="0" borderId="0" xfId="0" applyFont="1" applyFill="1" applyBorder="1" applyAlignment="1">
      <alignment/>
    </xf>
    <xf numFmtId="0" fontId="3" fillId="0" borderId="0" xfId="0" applyFont="1" applyBorder="1" applyAlignment="1">
      <alignment/>
    </xf>
    <xf numFmtId="0" fontId="62" fillId="0" borderId="0" xfId="0" applyFont="1" applyBorder="1" applyAlignment="1">
      <alignment horizontal="center" vertical="center"/>
    </xf>
    <xf numFmtId="0" fontId="6" fillId="0" borderId="0" xfId="0" applyFont="1" applyAlignment="1">
      <alignment horizontal="center" vertical="top"/>
    </xf>
    <xf numFmtId="0" fontId="3" fillId="0" borderId="0" xfId="0" applyFont="1" applyBorder="1" applyAlignment="1">
      <alignment/>
    </xf>
    <xf numFmtId="0" fontId="20" fillId="0" borderId="0" xfId="0" applyFont="1" applyFill="1" applyBorder="1" applyAlignment="1" applyProtection="1">
      <alignment horizontal="left" vertical="center" indent="2"/>
      <protection/>
    </xf>
    <xf numFmtId="0" fontId="22" fillId="0" borderId="0" xfId="0" applyFont="1" applyAlignment="1">
      <alignment vertical="center"/>
    </xf>
    <xf numFmtId="0" fontId="3" fillId="0" borderId="0" xfId="0" applyFont="1" applyBorder="1" applyAlignment="1">
      <alignment vertical="center"/>
    </xf>
    <xf numFmtId="0" fontId="2" fillId="0" borderId="0" xfId="0" applyNumberFormat="1" applyFont="1" applyFill="1" applyBorder="1" applyAlignment="1">
      <alignment horizontal="left" vertical="center" wrapText="1"/>
    </xf>
    <xf numFmtId="182" fontId="2" fillId="0" borderId="0" xfId="0" applyNumberFormat="1" applyFont="1" applyFill="1" applyBorder="1" applyAlignment="1">
      <alignment horizontal="left" vertical="center" wrapText="1"/>
    </xf>
    <xf numFmtId="0" fontId="21" fillId="0" borderId="0" xfId="0" applyFont="1" applyBorder="1" applyAlignment="1">
      <alignment vertical="center"/>
    </xf>
    <xf numFmtId="0" fontId="3" fillId="0" borderId="0" xfId="0" applyFont="1" applyBorder="1" applyAlignment="1">
      <alignment horizontal="center" vertical="center" wrapText="1"/>
    </xf>
    <xf numFmtId="0" fontId="22" fillId="0" borderId="0" xfId="0" applyFont="1" applyBorder="1" applyAlignment="1">
      <alignment vertical="center"/>
    </xf>
    <xf numFmtId="0" fontId="34" fillId="0" borderId="0" xfId="0" applyFont="1" applyBorder="1" applyAlignment="1">
      <alignment horizontal="center" vertical="center"/>
    </xf>
    <xf numFmtId="0" fontId="56" fillId="0" borderId="0" xfId="0" applyFont="1" applyBorder="1" applyAlignment="1">
      <alignment vertical="center"/>
    </xf>
    <xf numFmtId="164" fontId="22" fillId="0" borderId="0" xfId="0" applyNumberFormat="1" applyFont="1" applyBorder="1" applyAlignment="1">
      <alignment horizontal="right" vertical="center"/>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3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indent="1"/>
      <protection locked="0"/>
    </xf>
    <xf numFmtId="0" fontId="47"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wrapText="1"/>
      <protection/>
    </xf>
    <xf numFmtId="164" fontId="3" fillId="0" borderId="0" xfId="0" applyNumberFormat="1" applyFont="1" applyFill="1" applyBorder="1" applyAlignment="1" applyProtection="1">
      <alignment horizontal="right" vertical="center"/>
      <protection/>
    </xf>
    <xf numFmtId="14" fontId="2" fillId="0" borderId="0" xfId="0" applyNumberFormat="1" applyFont="1" applyFill="1" applyBorder="1" applyAlignment="1">
      <alignment horizontal="left" vertical="center" wrapText="1"/>
    </xf>
    <xf numFmtId="0" fontId="2" fillId="0" borderId="0" xfId="0" applyFont="1" applyFill="1" applyBorder="1" applyAlignment="1">
      <alignment horizontal="right" vertical="center" wrapText="1"/>
    </xf>
    <xf numFmtId="14" fontId="2" fillId="0" borderId="0" xfId="0" applyNumberFormat="1" applyFont="1" applyFill="1" applyBorder="1" applyAlignment="1">
      <alignment horizontal="right" vertical="center" wrapText="1"/>
    </xf>
    <xf numFmtId="0" fontId="20" fillId="0" borderId="0" xfId="0" applyFont="1" applyFill="1" applyBorder="1" applyAlignment="1" applyProtection="1">
      <alignment/>
      <protection locked="0"/>
    </xf>
    <xf numFmtId="164" fontId="22" fillId="0" borderId="0" xfId="0" applyNumberFormat="1" applyFont="1" applyFill="1" applyBorder="1" applyAlignment="1">
      <alignment horizontal="right"/>
    </xf>
    <xf numFmtId="164" fontId="21" fillId="0" borderId="0" xfId="0" applyNumberFormat="1" applyFont="1" applyFill="1" applyBorder="1" applyAlignment="1">
      <alignment horizontal="right" vertical="center"/>
    </xf>
    <xf numFmtId="0" fontId="2" fillId="0" borderId="0" xfId="0" applyFont="1" applyFill="1" applyBorder="1" applyAlignment="1">
      <alignment/>
    </xf>
    <xf numFmtId="0" fontId="47" fillId="0" borderId="0" xfId="0" applyFont="1" applyFill="1" applyBorder="1" applyAlignment="1">
      <alignment vertical="center" wrapText="1"/>
    </xf>
    <xf numFmtId="0" fontId="20" fillId="0" borderId="0" xfId="0" applyFont="1" applyFill="1" applyBorder="1" applyAlignment="1" applyProtection="1">
      <alignment horizontal="right" vertical="center"/>
      <protection/>
    </xf>
    <xf numFmtId="164" fontId="22" fillId="0" borderId="0" xfId="0" applyNumberFormat="1" applyFont="1" applyFill="1" applyBorder="1" applyAlignment="1" applyProtection="1">
      <alignment horizontal="right" vertical="center"/>
      <protection/>
    </xf>
    <xf numFmtId="0" fontId="62" fillId="0" borderId="0" xfId="0" applyFont="1" applyFill="1" applyBorder="1" applyAlignment="1">
      <alignment horizontal="center" vertical="center"/>
    </xf>
    <xf numFmtId="164" fontId="22" fillId="0" borderId="45" xfId="0" applyNumberFormat="1" applyFont="1" applyBorder="1" applyAlignment="1">
      <alignment horizontal="right"/>
    </xf>
    <xf numFmtId="0" fontId="20" fillId="0" borderId="0" xfId="0" applyFont="1" applyFill="1" applyBorder="1" applyAlignment="1" applyProtection="1">
      <alignment horizontal="right" vertical="center" indent="1"/>
      <protection locked="0"/>
    </xf>
    <xf numFmtId="4" fontId="20" fillId="0" borderId="0" xfId="0" applyNumberFormat="1" applyFont="1" applyFill="1" applyBorder="1" applyAlignment="1" applyProtection="1">
      <alignment horizontal="right" vertical="center" indent="1"/>
      <protection locked="0"/>
    </xf>
    <xf numFmtId="0" fontId="3" fillId="0" borderId="0" xfId="0" applyFont="1" applyFill="1" applyBorder="1" applyAlignment="1" applyProtection="1">
      <alignment horizontal="right" vertical="center" wrapText="1" indent="1"/>
      <protection locked="0"/>
    </xf>
    <xf numFmtId="0" fontId="3" fillId="0" borderId="0" xfId="0" applyFont="1" applyFill="1" applyBorder="1" applyAlignment="1" applyProtection="1">
      <alignment horizontal="left" vertical="center" wrapText="1" indent="1"/>
      <protection locked="0"/>
    </xf>
    <xf numFmtId="14" fontId="3" fillId="0" borderId="0" xfId="0" applyNumberFormat="1" applyFont="1" applyFill="1" applyBorder="1" applyAlignment="1" applyProtection="1">
      <alignment horizontal="left" vertical="center" indent="1"/>
      <protection locked="0"/>
    </xf>
    <xf numFmtId="0" fontId="2" fillId="0" borderId="0" xfId="0" applyNumberFormat="1" applyFont="1" applyAlignment="1" applyProtection="1">
      <alignment/>
      <protection locked="0"/>
    </xf>
    <xf numFmtId="0" fontId="19" fillId="0" borderId="22" xfId="0" applyFont="1" applyBorder="1" applyAlignment="1" applyProtection="1">
      <alignment vertical="center"/>
      <protection/>
    </xf>
    <xf numFmtId="0" fontId="19" fillId="0" borderId="49" xfId="0" applyFont="1" applyBorder="1" applyAlignment="1" applyProtection="1">
      <alignment vertical="center"/>
      <protection/>
    </xf>
    <xf numFmtId="0" fontId="14" fillId="0" borderId="0" xfId="0" applyFont="1" applyBorder="1" applyAlignment="1">
      <alignment horizontal="justify" vertical="top" wrapText="1"/>
    </xf>
    <xf numFmtId="20" fontId="20" fillId="0" borderId="0" xfId="0" applyNumberFormat="1" applyFont="1" applyAlignment="1">
      <alignment/>
    </xf>
    <xf numFmtId="0" fontId="6" fillId="0" borderId="0" xfId="0" applyNumberFormat="1" applyFont="1" applyBorder="1" applyAlignment="1">
      <alignment/>
    </xf>
    <xf numFmtId="0" fontId="6" fillId="0" borderId="0" xfId="0" applyFont="1" applyAlignment="1">
      <alignment horizontal="center" vertical="center"/>
    </xf>
    <xf numFmtId="164" fontId="22" fillId="0" borderId="0" xfId="0" applyNumberFormat="1" applyFont="1" applyBorder="1" applyAlignment="1">
      <alignment horizontal="right"/>
    </xf>
    <xf numFmtId="0" fontId="57" fillId="0" borderId="0" xfId="0" applyFont="1" applyAlignment="1">
      <alignment horizontal="center" vertical="center" wrapText="1"/>
    </xf>
    <xf numFmtId="0" fontId="0" fillId="0" borderId="0" xfId="0" applyAlignment="1">
      <alignment wrapText="1"/>
    </xf>
    <xf numFmtId="0" fontId="2" fillId="0" borderId="0" xfId="0" applyNumberFormat="1" applyFont="1" applyAlignment="1">
      <alignment horizontal="center" vertical="center"/>
    </xf>
    <xf numFmtId="179" fontId="2" fillId="0" borderId="0" xfId="49" applyNumberFormat="1" applyFont="1" applyFill="1" applyAlignment="1" applyProtection="1">
      <alignment horizontal="center" vertical="center"/>
      <protection locked="0"/>
    </xf>
    <xf numFmtId="0" fontId="6" fillId="0" borderId="0" xfId="0" applyNumberFormat="1" applyFont="1" applyFill="1" applyBorder="1" applyAlignment="1">
      <alignment/>
    </xf>
    <xf numFmtId="0" fontId="3" fillId="0" borderId="0" xfId="0" applyFont="1" applyFill="1" applyBorder="1" applyAlignment="1">
      <alignment horizontal="center" vertical="center"/>
    </xf>
    <xf numFmtId="0" fontId="21" fillId="0" borderId="0" xfId="0" applyFont="1" applyFill="1" applyBorder="1" applyAlignment="1">
      <alignment vertical="center"/>
    </xf>
    <xf numFmtId="0" fontId="2" fillId="0" borderId="68" xfId="0" applyFont="1" applyBorder="1" applyAlignment="1">
      <alignment horizontal="center" vertical="center"/>
    </xf>
    <xf numFmtId="0" fontId="2"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2" fillId="0" borderId="69" xfId="0" applyFont="1" applyBorder="1" applyAlignment="1">
      <alignment horizontal="center" vertical="center"/>
    </xf>
    <xf numFmtId="0" fontId="34" fillId="0" borderId="0" xfId="0" applyFont="1" applyFill="1" applyBorder="1" applyAlignment="1">
      <alignment horizontal="center" vertical="center"/>
    </xf>
    <xf numFmtId="164" fontId="6" fillId="0" borderId="45" xfId="0" applyNumberFormat="1" applyFont="1" applyFill="1" applyBorder="1" applyAlignment="1" applyProtection="1">
      <alignment horizontal="center" vertical="center"/>
      <protection locked="0"/>
    </xf>
    <xf numFmtId="0" fontId="2" fillId="0" borderId="38"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6" fillId="0" borderId="0" xfId="0" applyNumberFormat="1" applyFont="1" applyFill="1" applyBorder="1" applyAlignment="1" applyProtection="1">
      <alignment horizontal="center" vertical="center"/>
      <protection locked="0"/>
    </xf>
    <xf numFmtId="2" fontId="6" fillId="0" borderId="0" xfId="0" applyNumberFormat="1" applyFont="1" applyFill="1" applyBorder="1" applyAlignment="1" applyProtection="1">
      <alignment horizontal="right" vertical="center"/>
      <protection locked="0"/>
    </xf>
    <xf numFmtId="164" fontId="75" fillId="0" borderId="0" xfId="0" applyNumberFormat="1" applyFont="1" applyFill="1" applyBorder="1" applyAlignment="1" applyProtection="1">
      <alignment horizontal="right" vertical="center" wrapText="1"/>
      <protection/>
    </xf>
    <xf numFmtId="1" fontId="2" fillId="0" borderId="0" xfId="0" applyNumberFormat="1" applyFont="1" applyFill="1" applyBorder="1" applyAlignment="1" applyProtection="1">
      <alignment horizontal="center" vertical="center"/>
      <protection locked="0"/>
    </xf>
    <xf numFmtId="2" fontId="6" fillId="44" borderId="0" xfId="0" applyNumberFormat="1" applyFont="1" applyFill="1" applyBorder="1" applyAlignment="1" applyProtection="1">
      <alignment horizontal="center" vertical="center"/>
      <protection locked="0"/>
    </xf>
    <xf numFmtId="2" fontId="6" fillId="44" borderId="0" xfId="0" applyNumberFormat="1" applyFont="1" applyFill="1" applyBorder="1" applyAlignment="1" applyProtection="1">
      <alignment horizontal="right" vertical="center"/>
      <protection locked="0"/>
    </xf>
    <xf numFmtId="0" fontId="2" fillId="0" borderId="45" xfId="0" applyFont="1" applyBorder="1" applyAlignment="1">
      <alignment/>
    </xf>
    <xf numFmtId="0" fontId="2" fillId="0" borderId="33" xfId="0" applyFont="1" applyBorder="1" applyAlignment="1">
      <alignment/>
    </xf>
    <xf numFmtId="0" fontId="6" fillId="0" borderId="45" xfId="0" applyFont="1" applyBorder="1" applyAlignment="1">
      <alignment horizontal="left"/>
    </xf>
    <xf numFmtId="0" fontId="6" fillId="0" borderId="33" xfId="0" applyFont="1" applyBorder="1" applyAlignment="1">
      <alignment horizontal="left"/>
    </xf>
    <xf numFmtId="0" fontId="2" fillId="0" borderId="45" xfId="0" applyFont="1" applyBorder="1" applyAlignment="1">
      <alignment horizontal="left"/>
    </xf>
    <xf numFmtId="0" fontId="2" fillId="0" borderId="33" xfId="0" applyFont="1" applyBorder="1" applyAlignment="1">
      <alignment horizontal="left"/>
    </xf>
    <xf numFmtId="0" fontId="2" fillId="35" borderId="38" xfId="0" applyFont="1" applyFill="1" applyBorder="1" applyAlignment="1">
      <alignment horizontal="left"/>
    </xf>
    <xf numFmtId="0" fontId="2" fillId="35" borderId="55" xfId="0" applyFont="1" applyFill="1" applyBorder="1" applyAlignment="1">
      <alignment horizontal="left"/>
    </xf>
    <xf numFmtId="0" fontId="2" fillId="35" borderId="56" xfId="0" applyFont="1" applyFill="1" applyBorder="1" applyAlignment="1">
      <alignment horizontal="left"/>
    </xf>
    <xf numFmtId="189" fontId="3" fillId="44" borderId="70" xfId="0" applyNumberFormat="1" applyFont="1" applyFill="1" applyBorder="1" applyAlignment="1" applyProtection="1">
      <alignment horizontal="right" vertical="center"/>
      <protection locked="0"/>
    </xf>
    <xf numFmtId="1" fontId="3" fillId="44" borderId="0" xfId="0" applyNumberFormat="1" applyFont="1" applyFill="1" applyBorder="1" applyAlignment="1" applyProtection="1">
      <alignment horizontal="right" vertical="center"/>
      <protection locked="0"/>
    </xf>
    <xf numFmtId="164" fontId="3" fillId="44" borderId="0" xfId="0" applyNumberFormat="1" applyFont="1" applyFill="1" applyBorder="1" applyAlignment="1" applyProtection="1">
      <alignment horizontal="right" vertical="center"/>
      <protection locked="0"/>
    </xf>
    <xf numFmtId="189" fontId="3" fillId="45" borderId="71" xfId="0" applyNumberFormat="1" applyFont="1" applyFill="1" applyBorder="1" applyAlignment="1" applyProtection="1">
      <alignment horizontal="right" vertical="center"/>
      <protection locked="0"/>
    </xf>
    <xf numFmtId="167" fontId="3" fillId="44" borderId="0" xfId="0" applyNumberFormat="1" applyFont="1" applyFill="1" applyBorder="1" applyAlignment="1" applyProtection="1">
      <alignment horizontal="right" vertical="center"/>
      <protection locked="0"/>
    </xf>
    <xf numFmtId="189" fontId="3" fillId="44" borderId="0" xfId="0" applyNumberFormat="1" applyFont="1" applyFill="1" applyBorder="1" applyAlignment="1" applyProtection="1">
      <alignment horizontal="right" vertical="center"/>
      <protection locked="0"/>
    </xf>
    <xf numFmtId="0" fontId="3" fillId="0" borderId="0" xfId="0" applyFont="1" applyBorder="1" applyAlignment="1" applyProtection="1">
      <alignment/>
      <protection locked="0"/>
    </xf>
    <xf numFmtId="0" fontId="56" fillId="0" borderId="0" xfId="0" applyFont="1" applyBorder="1" applyAlignment="1" applyProtection="1">
      <alignment vertical="center"/>
      <protection locked="0"/>
    </xf>
    <xf numFmtId="1" fontId="56" fillId="0" borderId="0" xfId="0" applyNumberFormat="1" applyFont="1" applyBorder="1" applyAlignment="1" applyProtection="1">
      <alignment vertical="center"/>
      <protection locked="0"/>
    </xf>
    <xf numFmtId="0" fontId="2" fillId="0" borderId="0" xfId="0" applyFont="1" applyFill="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2" fontId="6" fillId="0" borderId="0" xfId="0" applyNumberFormat="1" applyFont="1" applyFill="1" applyBorder="1" applyAlignment="1" applyProtection="1">
      <alignment horizontal="left" vertical="center" wrapText="1"/>
      <protection locked="0"/>
    </xf>
    <xf numFmtId="6" fontId="19" fillId="0" borderId="0" xfId="47" applyNumberFormat="1" applyFont="1" applyFill="1" applyBorder="1" applyProtection="1">
      <alignment/>
      <protection/>
    </xf>
    <xf numFmtId="49" fontId="19" fillId="0" borderId="0" xfId="47" applyNumberFormat="1" applyFont="1" applyFill="1" applyBorder="1" applyProtection="1">
      <alignment/>
      <protection/>
    </xf>
    <xf numFmtId="0" fontId="19" fillId="0" borderId="0" xfId="47" applyFont="1" applyFill="1" applyBorder="1" applyAlignment="1" applyProtection="1">
      <alignment horizontal="center"/>
      <protection/>
    </xf>
    <xf numFmtId="0" fontId="19" fillId="33" borderId="0" xfId="0" applyFont="1" applyFill="1" applyAlignment="1">
      <alignment/>
    </xf>
    <xf numFmtId="0" fontId="19" fillId="33" borderId="72" xfId="0" applyFont="1" applyFill="1" applyBorder="1" applyAlignment="1">
      <alignment/>
    </xf>
    <xf numFmtId="0" fontId="0" fillId="46" borderId="0" xfId="0" applyFill="1" applyAlignment="1">
      <alignment/>
    </xf>
    <xf numFmtId="0" fontId="83" fillId="46" borderId="0" xfId="47" applyFont="1" applyFill="1" applyBorder="1" applyAlignment="1">
      <alignment horizontal="center" vertical="center" wrapText="1"/>
      <protection/>
    </xf>
    <xf numFmtId="0" fontId="0" fillId="0" borderId="23" xfId="0" applyBorder="1" applyAlignment="1">
      <alignment/>
    </xf>
    <xf numFmtId="0" fontId="21" fillId="0" borderId="0" xfId="0" applyFont="1" applyAlignment="1">
      <alignment horizontal="center" vertical="center"/>
    </xf>
    <xf numFmtId="0" fontId="55" fillId="0" borderId="0" xfId="0" applyFont="1" applyAlignment="1">
      <alignment horizontal="center" vertical="top" wrapText="1"/>
    </xf>
    <xf numFmtId="0" fontId="0" fillId="46" borderId="0" xfId="0" applyFill="1" applyAlignment="1" applyProtection="1">
      <alignment/>
      <protection/>
    </xf>
    <xf numFmtId="0" fontId="0" fillId="0" borderId="0" xfId="0" applyAlignment="1" applyProtection="1">
      <alignment/>
      <protection/>
    </xf>
    <xf numFmtId="0" fontId="19" fillId="47" borderId="0" xfId="47" applyFont="1" applyFill="1" applyBorder="1" applyProtection="1">
      <alignment/>
      <protection/>
    </xf>
    <xf numFmtId="0" fontId="19" fillId="47" borderId="0" xfId="47" applyFont="1" applyFill="1" applyBorder="1" applyAlignment="1" applyProtection="1">
      <alignment horizontal="center" vertical="top" wrapText="1"/>
      <protection/>
    </xf>
    <xf numFmtId="0" fontId="0" fillId="46" borderId="0" xfId="0" applyFill="1" applyBorder="1" applyAlignment="1" applyProtection="1">
      <alignment/>
      <protection/>
    </xf>
    <xf numFmtId="0" fontId="0" fillId="0" borderId="23" xfId="0" applyBorder="1" applyAlignment="1" applyProtection="1">
      <alignment/>
      <protection/>
    </xf>
    <xf numFmtId="0" fontId="19" fillId="47" borderId="0" xfId="47" applyFont="1" applyFill="1" applyBorder="1" applyAlignment="1" applyProtection="1">
      <alignment horizontal="left" wrapText="1"/>
      <protection/>
    </xf>
    <xf numFmtId="0" fontId="0" fillId="0" borderId="0" xfId="0" applyFont="1" applyAlignment="1" applyProtection="1">
      <alignment/>
      <protection/>
    </xf>
    <xf numFmtId="0" fontId="0" fillId="0" borderId="0" xfId="0" applyBorder="1" applyAlignment="1" applyProtection="1">
      <alignment/>
      <protection/>
    </xf>
    <xf numFmtId="0" fontId="19" fillId="47" borderId="0" xfId="47" applyFont="1" applyFill="1" applyBorder="1" applyAlignment="1" applyProtection="1">
      <alignment horizontal="right" wrapText="1"/>
      <protection/>
    </xf>
    <xf numFmtId="171" fontId="19" fillId="47" borderId="0" xfId="47" applyNumberFormat="1" applyFont="1" applyFill="1" applyBorder="1" applyAlignment="1" applyProtection="1">
      <alignment horizontal="center" vertical="center" wrapText="1"/>
      <protection/>
    </xf>
    <xf numFmtId="0" fontId="0" fillId="0" borderId="50" xfId="0" applyBorder="1" applyAlignment="1" applyProtection="1">
      <alignment/>
      <protection/>
    </xf>
    <xf numFmtId="0" fontId="0" fillId="0" borderId="0" xfId="0" applyFill="1" applyAlignment="1" applyProtection="1">
      <alignment/>
      <protection/>
    </xf>
    <xf numFmtId="0" fontId="79" fillId="34" borderId="0" xfId="0" applyFont="1" applyFill="1" applyAlignment="1">
      <alignment horizontal="center" vertical="center"/>
    </xf>
    <xf numFmtId="0" fontId="13" fillId="0" borderId="0" xfId="0" applyFont="1" applyAlignment="1">
      <alignment horizontal="justify" vertical="top" wrapText="1"/>
    </xf>
    <xf numFmtId="0" fontId="10" fillId="48" borderId="0" xfId="0" applyFont="1" applyFill="1" applyAlignment="1">
      <alignment horizontal="center" vertical="center"/>
    </xf>
    <xf numFmtId="0" fontId="15"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NumberFormat="1" applyFont="1" applyAlignment="1">
      <alignment horizontal="justify" vertical="top" wrapText="1"/>
    </xf>
    <xf numFmtId="0" fontId="9" fillId="0" borderId="0" xfId="0" applyFont="1" applyAlignment="1">
      <alignment horizontal="justify" vertical="top" wrapText="1"/>
    </xf>
    <xf numFmtId="0" fontId="16" fillId="0" borderId="0" xfId="0" applyFont="1" applyAlignment="1">
      <alignment horizontal="justify" vertical="center" wrapText="1"/>
    </xf>
    <xf numFmtId="0" fontId="16" fillId="0" borderId="0" xfId="0" applyFont="1" applyAlignment="1">
      <alignment horizontal="justify" vertical="top" wrapText="1"/>
    </xf>
    <xf numFmtId="0" fontId="72" fillId="0" borderId="0" xfId="0" applyFont="1" applyAlignment="1">
      <alignment horizontal="justify" vertical="top" wrapText="1"/>
    </xf>
    <xf numFmtId="0" fontId="15" fillId="0" borderId="73" xfId="0" applyFont="1" applyBorder="1" applyAlignment="1">
      <alignment horizontal="justify" vertical="top" wrapText="1"/>
    </xf>
    <xf numFmtId="0" fontId="12" fillId="0" borderId="0" xfId="0" applyFont="1" applyBorder="1" applyAlignment="1">
      <alignment horizontal="justify" vertical="top" wrapText="1"/>
    </xf>
    <xf numFmtId="0" fontId="69" fillId="0" borderId="0" xfId="0" applyFont="1" applyAlignment="1">
      <alignment horizontal="justify" vertical="top" wrapText="1"/>
    </xf>
    <xf numFmtId="0" fontId="14" fillId="0" borderId="0" xfId="0" applyFont="1" applyAlignment="1">
      <alignment horizontal="justify" vertical="top" wrapText="1"/>
    </xf>
    <xf numFmtId="0" fontId="14" fillId="0" borderId="74" xfId="0" applyFont="1" applyBorder="1" applyAlignment="1">
      <alignment horizontal="justify" vertical="top" wrapText="1"/>
    </xf>
    <xf numFmtId="0" fontId="14" fillId="0" borderId="75" xfId="0" applyFont="1" applyBorder="1" applyAlignment="1">
      <alignment horizontal="justify" vertical="top" wrapText="1"/>
    </xf>
    <xf numFmtId="0" fontId="14" fillId="0" borderId="76" xfId="0" applyFont="1" applyBorder="1" applyAlignment="1">
      <alignment horizontal="justify" vertical="top" wrapText="1"/>
    </xf>
    <xf numFmtId="0" fontId="3" fillId="0" borderId="77" xfId="0" applyFont="1" applyFill="1" applyBorder="1" applyAlignment="1" applyProtection="1">
      <alignment vertical="center"/>
      <protection/>
    </xf>
    <xf numFmtId="0" fontId="3" fillId="0" borderId="78" xfId="0" applyFont="1" applyFill="1" applyBorder="1" applyAlignment="1" applyProtection="1">
      <alignment vertical="center"/>
      <protection/>
    </xf>
    <xf numFmtId="0" fontId="34" fillId="37" borderId="78" xfId="0" applyFont="1" applyFill="1" applyBorder="1" applyAlignment="1" applyProtection="1">
      <alignment horizontal="left" vertical="center" indent="1"/>
      <protection locked="0"/>
    </xf>
    <xf numFmtId="14" fontId="3" fillId="37" borderId="78" xfId="0" applyNumberFormat="1" applyFont="1" applyFill="1" applyBorder="1" applyAlignment="1" applyProtection="1">
      <alignment horizontal="center" vertical="center"/>
      <protection locked="0"/>
    </xf>
    <xf numFmtId="0" fontId="3" fillId="37" borderId="78" xfId="0" applyFont="1" applyFill="1" applyBorder="1" applyAlignment="1" applyProtection="1">
      <alignment horizontal="center" vertical="center"/>
      <protection locked="0"/>
    </xf>
    <xf numFmtId="0" fontId="19" fillId="0" borderId="78" xfId="0" applyFont="1" applyFill="1" applyBorder="1" applyAlignment="1" applyProtection="1">
      <alignment horizontal="center" vertical="center"/>
      <protection/>
    </xf>
    <xf numFmtId="0" fontId="19" fillId="0" borderId="79" xfId="0" applyFont="1" applyFill="1" applyBorder="1" applyAlignment="1" applyProtection="1">
      <alignment horizontal="center" vertical="center"/>
      <protection/>
    </xf>
    <xf numFmtId="0" fontId="19" fillId="0" borderId="45" xfId="0" applyFont="1" applyBorder="1" applyAlignment="1" applyProtection="1">
      <alignment/>
      <protection/>
    </xf>
    <xf numFmtId="0" fontId="19" fillId="0" borderId="0" xfId="0" applyFont="1" applyBorder="1" applyAlignment="1" applyProtection="1">
      <alignment/>
      <protection/>
    </xf>
    <xf numFmtId="0" fontId="19" fillId="0" borderId="45" xfId="0" applyFont="1" applyBorder="1" applyAlignment="1" applyProtection="1">
      <alignment/>
      <protection/>
    </xf>
    <xf numFmtId="0" fontId="19" fillId="0" borderId="0" xfId="0" applyFont="1" applyBorder="1" applyAlignment="1" applyProtection="1">
      <alignment/>
      <protection/>
    </xf>
    <xf numFmtId="0" fontId="3" fillId="0" borderId="80" xfId="0" applyFont="1" applyBorder="1" applyAlignment="1" applyProtection="1">
      <alignment horizontal="right" vertical="center"/>
      <protection/>
    </xf>
    <xf numFmtId="0" fontId="3" fillId="0" borderId="81" xfId="0" applyFont="1" applyBorder="1" applyAlignment="1" applyProtection="1">
      <alignment horizontal="right" vertical="center"/>
      <protection/>
    </xf>
    <xf numFmtId="0" fontId="22" fillId="37" borderId="26" xfId="0" applyFont="1" applyFill="1" applyBorder="1" applyAlignment="1" applyProtection="1">
      <alignment vertical="center"/>
      <protection locked="0"/>
    </xf>
    <xf numFmtId="0" fontId="22" fillId="37" borderId="25" xfId="0" applyFont="1" applyFill="1" applyBorder="1" applyAlignment="1" applyProtection="1">
      <alignment/>
      <protection locked="0"/>
    </xf>
    <xf numFmtId="0" fontId="22" fillId="37" borderId="82" xfId="0" applyFont="1" applyFill="1" applyBorder="1" applyAlignment="1" applyProtection="1">
      <alignment/>
      <protection locked="0"/>
    </xf>
    <xf numFmtId="0" fontId="54" fillId="0" borderId="46" xfId="0" applyFont="1" applyBorder="1" applyAlignment="1" applyProtection="1">
      <alignment horizontal="left" vertical="center" wrapText="1"/>
      <protection/>
    </xf>
    <xf numFmtId="0" fontId="47" fillId="0" borderId="46" xfId="0" applyFont="1" applyBorder="1" applyAlignment="1" applyProtection="1">
      <alignment horizontal="left" vertical="center"/>
      <protection/>
    </xf>
    <xf numFmtId="0" fontId="47" fillId="0" borderId="47" xfId="0" applyFont="1" applyBorder="1" applyAlignment="1" applyProtection="1">
      <alignment horizontal="left" vertical="center"/>
      <protection/>
    </xf>
    <xf numFmtId="0" fontId="22" fillId="37" borderId="83" xfId="0" applyFont="1" applyFill="1" applyBorder="1" applyAlignment="1" applyProtection="1">
      <alignment horizontal="left" indent="1"/>
      <protection locked="0"/>
    </xf>
    <xf numFmtId="0" fontId="22" fillId="37" borderId="84" xfId="0" applyFont="1" applyFill="1" applyBorder="1" applyAlignment="1" applyProtection="1">
      <alignment horizontal="left" indent="1"/>
      <protection locked="0"/>
    </xf>
    <xf numFmtId="0" fontId="19" fillId="0" borderId="0" xfId="0" applyFont="1" applyBorder="1" applyAlignment="1" applyProtection="1">
      <alignment horizontal="left"/>
      <protection/>
    </xf>
    <xf numFmtId="0" fontId="22" fillId="0" borderId="25" xfId="0" applyFont="1" applyBorder="1" applyAlignment="1" applyProtection="1">
      <alignment horizontal="center"/>
      <protection locked="0"/>
    </xf>
    <xf numFmtId="14" fontId="22" fillId="37" borderId="26" xfId="0" applyNumberFormat="1" applyFont="1" applyFill="1" applyBorder="1" applyAlignment="1" applyProtection="1">
      <alignment horizontal="left" vertical="center" indent="1"/>
      <protection locked="0"/>
    </xf>
    <xf numFmtId="0" fontId="22" fillId="37" borderId="26" xfId="0" applyFont="1" applyFill="1" applyBorder="1" applyAlignment="1" applyProtection="1">
      <alignment horizontal="left" vertical="center" indent="1"/>
      <protection locked="0"/>
    </xf>
    <xf numFmtId="0" fontId="22" fillId="37" borderId="85" xfId="0" applyFont="1" applyFill="1" applyBorder="1" applyAlignment="1" applyProtection="1">
      <alignment horizontal="left" vertical="center" indent="1"/>
      <protection locked="0"/>
    </xf>
    <xf numFmtId="0" fontId="46" fillId="0" borderId="45" xfId="0" applyFont="1" applyBorder="1" applyAlignment="1" applyProtection="1">
      <alignment horizontal="right" vertical="top"/>
      <protection/>
    </xf>
    <xf numFmtId="0" fontId="46" fillId="0" borderId="0" xfId="0" applyFont="1" applyBorder="1" applyAlignment="1" applyProtection="1">
      <alignment horizontal="right" vertical="top"/>
      <protection/>
    </xf>
    <xf numFmtId="0" fontId="46" fillId="0" borderId="33" xfId="0" applyFont="1" applyBorder="1" applyAlignment="1" applyProtection="1">
      <alignment horizontal="right" vertical="top"/>
      <protection/>
    </xf>
    <xf numFmtId="0" fontId="20" fillId="0" borderId="45" xfId="0" applyFont="1" applyBorder="1" applyAlignment="1" applyProtection="1">
      <alignment/>
      <protection/>
    </xf>
    <xf numFmtId="0" fontId="20" fillId="0" borderId="0" xfId="0" applyFont="1" applyBorder="1" applyAlignment="1" applyProtection="1">
      <alignment/>
      <protection/>
    </xf>
    <xf numFmtId="0" fontId="19" fillId="37" borderId="83" xfId="0" applyFont="1" applyFill="1" applyBorder="1" applyAlignment="1" applyProtection="1">
      <alignment/>
      <protection locked="0"/>
    </xf>
    <xf numFmtId="0" fontId="19" fillId="37" borderId="84" xfId="0" applyFont="1" applyFill="1" applyBorder="1" applyAlignment="1" applyProtection="1">
      <alignment/>
      <protection locked="0"/>
    </xf>
    <xf numFmtId="0" fontId="19" fillId="0" borderId="0" xfId="0" applyFont="1" applyBorder="1" applyAlignment="1" applyProtection="1">
      <alignment horizontal="left" indent="2"/>
      <protection/>
    </xf>
    <xf numFmtId="0" fontId="19" fillId="0" borderId="45" xfId="0" applyFont="1" applyBorder="1" applyAlignment="1" applyProtection="1">
      <alignment wrapText="1"/>
      <protection/>
    </xf>
    <xf numFmtId="0" fontId="19" fillId="0" borderId="0" xfId="0" applyFont="1" applyBorder="1" applyAlignment="1" applyProtection="1">
      <alignment wrapText="1"/>
      <protection/>
    </xf>
    <xf numFmtId="0" fontId="22" fillId="37" borderId="85" xfId="0" applyFont="1" applyFill="1" applyBorder="1" applyAlignment="1" applyProtection="1">
      <alignment vertical="center"/>
      <protection locked="0"/>
    </xf>
    <xf numFmtId="0" fontId="3" fillId="0" borderId="0" xfId="0" applyFont="1" applyBorder="1" applyAlignment="1" applyProtection="1">
      <alignment horizontal="right"/>
      <protection/>
    </xf>
    <xf numFmtId="0" fontId="19" fillId="0" borderId="25" xfId="0" applyFont="1" applyBorder="1" applyAlignment="1" applyProtection="1">
      <alignment horizontal="left"/>
      <protection locked="0"/>
    </xf>
    <xf numFmtId="0" fontId="19" fillId="0" borderId="0" xfId="0" applyFont="1" applyFill="1" applyAlignment="1" applyProtection="1">
      <alignment horizontal="center" vertical="center"/>
      <protection/>
    </xf>
    <xf numFmtId="0" fontId="34" fillId="0" borderId="0" xfId="0" applyFont="1" applyFill="1" applyAlignment="1" applyProtection="1">
      <alignment horizontal="right" vertical="center" indent="1"/>
      <protection/>
    </xf>
    <xf numFmtId="0" fontId="50" fillId="0" borderId="0" xfId="0" applyFont="1" applyFill="1" applyAlignment="1" applyProtection="1">
      <alignment vertical="top" wrapText="1"/>
      <protection/>
    </xf>
    <xf numFmtId="0" fontId="48" fillId="37" borderId="86" xfId="0" applyFont="1" applyFill="1" applyBorder="1" applyAlignment="1" applyProtection="1">
      <alignment horizontal="center" vertical="center"/>
      <protection locked="0"/>
    </xf>
    <xf numFmtId="0" fontId="48" fillId="37" borderId="87" xfId="0" applyFont="1" applyFill="1" applyBorder="1" applyAlignment="1" applyProtection="1">
      <alignment horizontal="center" vertical="center"/>
      <protection locked="0"/>
    </xf>
    <xf numFmtId="0" fontId="48" fillId="37" borderId="88" xfId="0" applyFont="1" applyFill="1" applyBorder="1" applyAlignment="1" applyProtection="1">
      <alignment horizontal="center" vertical="center"/>
      <protection locked="0"/>
    </xf>
    <xf numFmtId="0" fontId="19" fillId="0" borderId="0" xfId="0" applyFont="1" applyBorder="1" applyAlignment="1" applyProtection="1">
      <alignment horizontal="right"/>
      <protection/>
    </xf>
    <xf numFmtId="0" fontId="20" fillId="0" borderId="25" xfId="0" applyFont="1" applyBorder="1" applyAlignment="1" applyProtection="1">
      <alignment horizontal="center"/>
      <protection locked="0"/>
    </xf>
    <xf numFmtId="0" fontId="19" fillId="0" borderId="25" xfId="0" applyFont="1" applyBorder="1" applyAlignment="1" applyProtection="1">
      <alignment horizontal="center"/>
      <protection locked="0"/>
    </xf>
    <xf numFmtId="0" fontId="19" fillId="0" borderId="26" xfId="0" applyFont="1" applyBorder="1" applyAlignment="1" applyProtection="1">
      <alignment horizontal="left"/>
      <protection locked="0"/>
    </xf>
    <xf numFmtId="49" fontId="20" fillId="37" borderId="89" xfId="0" applyNumberFormat="1" applyFont="1" applyFill="1" applyBorder="1" applyAlignment="1" applyProtection="1">
      <alignment horizontal="right" vertical="center"/>
      <protection locked="0"/>
    </xf>
    <xf numFmtId="49" fontId="20" fillId="37" borderId="81" xfId="0" applyNumberFormat="1" applyFont="1" applyFill="1" applyBorder="1" applyAlignment="1" applyProtection="1">
      <alignment horizontal="right" vertical="center"/>
      <protection locked="0"/>
    </xf>
    <xf numFmtId="0" fontId="3" fillId="0" borderId="90" xfId="0" applyFont="1" applyFill="1" applyBorder="1" applyAlignment="1" applyProtection="1">
      <alignment vertical="center"/>
      <protection/>
    </xf>
    <xf numFmtId="0" fontId="3" fillId="0" borderId="91" xfId="0" applyFont="1" applyFill="1" applyBorder="1" applyAlignment="1" applyProtection="1">
      <alignment vertical="center"/>
      <protection/>
    </xf>
    <xf numFmtId="0" fontId="3" fillId="0" borderId="92" xfId="0" applyFont="1" applyFill="1" applyBorder="1" applyAlignment="1" applyProtection="1">
      <alignment/>
      <protection/>
    </xf>
    <xf numFmtId="0" fontId="3" fillId="0" borderId="93" xfId="0" applyFont="1" applyFill="1" applyBorder="1" applyAlignment="1" applyProtection="1">
      <alignment/>
      <protection/>
    </xf>
    <xf numFmtId="0" fontId="3" fillId="0" borderId="90" xfId="0" applyFont="1" applyFill="1" applyBorder="1" applyAlignment="1" applyProtection="1">
      <alignment horizontal="right" vertical="center"/>
      <protection/>
    </xf>
    <xf numFmtId="0" fontId="3" fillId="0" borderId="91" xfId="0" applyFont="1" applyFill="1" applyBorder="1" applyAlignment="1" applyProtection="1">
      <alignment horizontal="right" vertical="center"/>
      <protection/>
    </xf>
    <xf numFmtId="0" fontId="20" fillId="0" borderId="26" xfId="0" applyFont="1" applyBorder="1" applyAlignment="1" applyProtection="1">
      <alignment horizontal="center"/>
      <protection locked="0"/>
    </xf>
    <xf numFmtId="0" fontId="3" fillId="0" borderId="94" xfId="0" applyFont="1" applyFill="1" applyBorder="1" applyAlignment="1" applyProtection="1">
      <alignment vertical="center"/>
      <protection/>
    </xf>
    <xf numFmtId="0" fontId="3" fillId="0" borderId="89" xfId="0" applyFont="1" applyFill="1" applyBorder="1" applyAlignment="1" applyProtection="1">
      <alignment vertical="center"/>
      <protection/>
    </xf>
    <xf numFmtId="0" fontId="3" fillId="0" borderId="45" xfId="0" applyFont="1" applyFill="1" applyBorder="1" applyAlignment="1" applyProtection="1">
      <alignment/>
      <protection/>
    </xf>
    <xf numFmtId="0" fontId="3" fillId="0" borderId="0" xfId="0" applyFont="1" applyFill="1" applyBorder="1" applyAlignment="1" applyProtection="1">
      <alignment/>
      <protection/>
    </xf>
    <xf numFmtId="0" fontId="19" fillId="0" borderId="50" xfId="0" applyFont="1" applyBorder="1" applyAlignment="1" applyProtection="1">
      <alignment horizontal="right"/>
      <protection/>
    </xf>
    <xf numFmtId="0" fontId="22" fillId="37" borderId="83" xfId="0" applyFont="1" applyFill="1" applyBorder="1" applyAlignment="1" applyProtection="1">
      <alignment horizontal="left"/>
      <protection locked="0"/>
    </xf>
    <xf numFmtId="0" fontId="22" fillId="37" borderId="26" xfId="0" applyFont="1" applyFill="1" applyBorder="1" applyAlignment="1" applyProtection="1">
      <alignment horizontal="left"/>
      <protection locked="0"/>
    </xf>
    <xf numFmtId="0" fontId="22" fillId="37" borderId="85" xfId="0" applyFont="1" applyFill="1" applyBorder="1" applyAlignment="1" applyProtection="1">
      <alignment horizontal="left"/>
      <protection locked="0"/>
    </xf>
    <xf numFmtId="0" fontId="22" fillId="37" borderId="25" xfId="0" applyFont="1" applyFill="1" applyBorder="1" applyAlignment="1" applyProtection="1">
      <alignment horizontal="left"/>
      <protection locked="0"/>
    </xf>
    <xf numFmtId="0" fontId="22" fillId="37" borderId="82" xfId="0" applyFont="1" applyFill="1" applyBorder="1" applyAlignment="1" applyProtection="1">
      <alignment horizontal="left"/>
      <protection locked="0"/>
    </xf>
    <xf numFmtId="0" fontId="22" fillId="37" borderId="26" xfId="0" applyFont="1" applyFill="1" applyBorder="1" applyAlignment="1" applyProtection="1">
      <alignment/>
      <protection locked="0"/>
    </xf>
    <xf numFmtId="0" fontId="3" fillId="0" borderId="0"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52" fillId="33" borderId="0" xfId="0" applyFont="1" applyFill="1" applyAlignment="1" applyProtection="1">
      <alignment horizontal="left" vertical="center"/>
      <protection/>
    </xf>
    <xf numFmtId="0" fontId="22" fillId="37" borderId="25" xfId="0" applyNumberFormat="1" applyFont="1" applyFill="1" applyBorder="1" applyAlignment="1" applyProtection="1">
      <alignment horizontal="left" vertical="center" indent="1"/>
      <protection locked="0"/>
    </xf>
    <xf numFmtId="0" fontId="22" fillId="37" borderId="82" xfId="0" applyNumberFormat="1" applyFont="1" applyFill="1" applyBorder="1" applyAlignment="1" applyProtection="1">
      <alignment horizontal="left" vertical="center" indent="1"/>
      <protection locked="0"/>
    </xf>
    <xf numFmtId="49" fontId="22" fillId="37" borderId="26" xfId="0" applyNumberFormat="1" applyFont="1" applyFill="1" applyBorder="1" applyAlignment="1" applyProtection="1">
      <alignment horizontal="left" indent="1"/>
      <protection locked="0"/>
    </xf>
    <xf numFmtId="0" fontId="3" fillId="0" borderId="57" xfId="0" applyFont="1" applyBorder="1" applyAlignment="1" applyProtection="1">
      <alignment/>
      <protection/>
    </xf>
    <xf numFmtId="0" fontId="3" fillId="0" borderId="50" xfId="0" applyFont="1" applyBorder="1" applyAlignment="1" applyProtection="1">
      <alignment/>
      <protection/>
    </xf>
    <xf numFmtId="4" fontId="22" fillId="37" borderId="95" xfId="0" applyNumberFormat="1" applyFont="1" applyFill="1" applyBorder="1" applyAlignment="1" applyProtection="1">
      <alignment/>
      <protection locked="0"/>
    </xf>
    <xf numFmtId="4" fontId="22" fillId="37" borderId="26" xfId="0" applyNumberFormat="1" applyFont="1" applyFill="1" applyBorder="1" applyAlignment="1" applyProtection="1">
      <alignment/>
      <protection locked="0"/>
    </xf>
    <xf numFmtId="0" fontId="20" fillId="0" borderId="0" xfId="0" applyFont="1" applyBorder="1" applyAlignment="1" applyProtection="1">
      <alignment horizontal="right"/>
      <protection/>
    </xf>
    <xf numFmtId="49" fontId="20" fillId="37" borderId="96" xfId="0" applyNumberFormat="1" applyFont="1" applyFill="1" applyBorder="1" applyAlignment="1" applyProtection="1">
      <alignment horizontal="right" vertical="center"/>
      <protection locked="0"/>
    </xf>
    <xf numFmtId="0" fontId="34" fillId="0" borderId="45" xfId="0" applyFont="1" applyBorder="1" applyAlignment="1" applyProtection="1">
      <alignment horizontal="center"/>
      <protection/>
    </xf>
    <xf numFmtId="0" fontId="50" fillId="0" borderId="0" xfId="0" applyFont="1" applyBorder="1" applyAlignment="1" applyProtection="1">
      <alignment horizontal="center"/>
      <protection/>
    </xf>
    <xf numFmtId="0" fontId="50" fillId="0" borderId="33" xfId="0" applyFont="1" applyBorder="1" applyAlignment="1" applyProtection="1">
      <alignment horizontal="center"/>
      <protection/>
    </xf>
    <xf numFmtId="0" fontId="22" fillId="37" borderId="97" xfId="0" applyFont="1" applyFill="1" applyBorder="1" applyAlignment="1" applyProtection="1">
      <alignment/>
      <protection locked="0"/>
    </xf>
    <xf numFmtId="0" fontId="20" fillId="37" borderId="26" xfId="0" applyFont="1" applyFill="1" applyBorder="1" applyAlignment="1" applyProtection="1">
      <alignment horizontal="left" vertical="center" indent="1"/>
      <protection locked="0"/>
    </xf>
    <xf numFmtId="0" fontId="57" fillId="37" borderId="26" xfId="0" applyFont="1" applyFill="1" applyBorder="1" applyAlignment="1" applyProtection="1">
      <alignment horizontal="left" vertical="center" indent="1"/>
      <protection locked="0"/>
    </xf>
    <xf numFmtId="0" fontId="57" fillId="37" borderId="85" xfId="0" applyFont="1" applyFill="1" applyBorder="1" applyAlignment="1" applyProtection="1">
      <alignment horizontal="left" vertical="center" indent="1"/>
      <protection locked="0"/>
    </xf>
    <xf numFmtId="0" fontId="19" fillId="0" borderId="33" xfId="0" applyFont="1" applyBorder="1" applyAlignment="1" applyProtection="1">
      <alignment/>
      <protection/>
    </xf>
    <xf numFmtId="0" fontId="22" fillId="37" borderId="85" xfId="0" applyFont="1" applyFill="1" applyBorder="1" applyAlignment="1" applyProtection="1">
      <alignment/>
      <protection locked="0"/>
    </xf>
    <xf numFmtId="0" fontId="26" fillId="0" borderId="45" xfId="0" applyFont="1" applyBorder="1" applyAlignment="1" applyProtection="1" quotePrefix="1">
      <alignment horizontal="center" vertical="center"/>
      <protection/>
    </xf>
    <xf numFmtId="0" fontId="26" fillId="0" borderId="0" xfId="0" applyFont="1" applyBorder="1" applyAlignment="1" applyProtection="1">
      <alignment horizontal="center" vertical="center"/>
      <protection/>
    </xf>
    <xf numFmtId="0" fontId="26" fillId="0" borderId="33" xfId="0" applyFont="1" applyBorder="1" applyAlignment="1" applyProtection="1">
      <alignment horizontal="center" vertical="center"/>
      <protection/>
    </xf>
    <xf numFmtId="0" fontId="34" fillId="37" borderId="81" xfId="0" applyFont="1" applyFill="1" applyBorder="1" applyAlignment="1" applyProtection="1">
      <alignment horizontal="left" vertical="center" indent="1"/>
      <protection locked="0"/>
    </xf>
    <xf numFmtId="0" fontId="34" fillId="37" borderId="91" xfId="0" applyFont="1" applyFill="1" applyBorder="1" applyAlignment="1" applyProtection="1">
      <alignment horizontal="left" vertical="center" indent="1"/>
      <protection locked="0"/>
    </xf>
    <xf numFmtId="0" fontId="19" fillId="0" borderId="91" xfId="0" applyFont="1" applyFill="1" applyBorder="1" applyAlignment="1" applyProtection="1">
      <alignment horizontal="center" vertical="center"/>
      <protection/>
    </xf>
    <xf numFmtId="0" fontId="19" fillId="0" borderId="98" xfId="0" applyFont="1" applyFill="1" applyBorder="1" applyAlignment="1" applyProtection="1">
      <alignment horizontal="center" vertical="center"/>
      <protection/>
    </xf>
    <xf numFmtId="0" fontId="3" fillId="37" borderId="91" xfId="0" applyFont="1" applyFill="1" applyBorder="1" applyAlignment="1" applyProtection="1">
      <alignment horizontal="center" vertical="center"/>
      <protection locked="0"/>
    </xf>
    <xf numFmtId="0" fontId="19" fillId="0" borderId="81" xfId="0" applyFont="1" applyFill="1" applyBorder="1" applyAlignment="1" applyProtection="1">
      <alignment horizontal="center" vertical="center"/>
      <protection/>
    </xf>
    <xf numFmtId="0" fontId="19" fillId="0" borderId="96" xfId="0" applyFont="1" applyFill="1" applyBorder="1" applyAlignment="1" applyProtection="1">
      <alignment horizontal="center" vertical="center"/>
      <protection/>
    </xf>
    <xf numFmtId="0" fontId="3" fillId="0" borderId="80" xfId="0" applyFont="1" applyFill="1" applyBorder="1" applyAlignment="1" applyProtection="1">
      <alignment vertical="center"/>
      <protection/>
    </xf>
    <xf numFmtId="0" fontId="3" fillId="0" borderId="81" xfId="0" applyFont="1" applyFill="1" applyBorder="1" applyAlignment="1" applyProtection="1">
      <alignment vertical="center"/>
      <protection/>
    </xf>
    <xf numFmtId="0" fontId="22" fillId="0" borderId="26" xfId="0" applyFont="1" applyBorder="1" applyAlignment="1" applyProtection="1">
      <alignment horizontal="center"/>
      <protection locked="0"/>
    </xf>
    <xf numFmtId="0" fontId="19" fillId="0" borderId="26" xfId="0" applyFont="1" applyBorder="1" applyAlignment="1" applyProtection="1">
      <alignment horizontal="center"/>
      <protection locked="0"/>
    </xf>
    <xf numFmtId="0" fontId="3" fillId="37" borderId="81" xfId="0" applyFont="1" applyFill="1" applyBorder="1" applyAlignment="1" applyProtection="1">
      <alignment horizontal="center" vertical="center"/>
      <protection locked="0"/>
    </xf>
    <xf numFmtId="0" fontId="36" fillId="33" borderId="0" xfId="0" applyFont="1" applyFill="1" applyAlignment="1" applyProtection="1">
      <alignment horizontal="center" vertical="center"/>
      <protection/>
    </xf>
    <xf numFmtId="0" fontId="23" fillId="0" borderId="0" xfId="0" applyFont="1" applyFill="1" applyBorder="1" applyAlignment="1" applyProtection="1">
      <alignment horizontal="center"/>
      <protection/>
    </xf>
    <xf numFmtId="0" fontId="54" fillId="0" borderId="46" xfId="0" applyFont="1" applyBorder="1" applyAlignment="1" applyProtection="1">
      <alignment horizontal="left" vertical="center"/>
      <protection/>
    </xf>
    <xf numFmtId="0" fontId="21" fillId="0" borderId="92" xfId="0" applyFont="1" applyBorder="1" applyAlignment="1" applyProtection="1">
      <alignment vertical="center"/>
      <protection/>
    </xf>
    <xf numFmtId="0" fontId="23" fillId="0" borderId="93" xfId="0" applyFont="1" applyBorder="1" applyAlignment="1" applyProtection="1">
      <alignment vertical="center"/>
      <protection/>
    </xf>
    <xf numFmtId="0" fontId="23" fillId="0" borderId="99" xfId="0" applyFont="1" applyBorder="1" applyAlignment="1" applyProtection="1">
      <alignment vertical="center"/>
      <protection/>
    </xf>
    <xf numFmtId="0" fontId="19" fillId="0" borderId="33" xfId="0" applyFont="1" applyBorder="1" applyAlignment="1" applyProtection="1">
      <alignment/>
      <protection/>
    </xf>
    <xf numFmtId="0" fontId="22" fillId="37" borderId="26" xfId="0" applyFont="1" applyFill="1" applyBorder="1" applyAlignment="1" applyProtection="1">
      <alignment horizontal="left" indent="1"/>
      <protection locked="0"/>
    </xf>
    <xf numFmtId="0" fontId="22" fillId="37" borderId="85" xfId="0" applyFont="1" applyFill="1" applyBorder="1" applyAlignment="1" applyProtection="1">
      <alignment horizontal="left" indent="1"/>
      <protection locked="0"/>
    </xf>
    <xf numFmtId="0" fontId="47" fillId="0" borderId="93" xfId="0" applyFont="1" applyFill="1" applyBorder="1" applyAlignment="1" applyProtection="1">
      <alignment horizontal="center" vertical="center"/>
      <protection/>
    </xf>
    <xf numFmtId="0" fontId="19" fillId="0" borderId="89" xfId="0" applyFont="1" applyFill="1" applyBorder="1" applyAlignment="1" applyProtection="1">
      <alignment horizontal="center" vertical="center"/>
      <protection/>
    </xf>
    <xf numFmtId="0" fontId="19" fillId="0" borderId="100" xfId="0" applyFont="1" applyFill="1" applyBorder="1" applyAlignment="1" applyProtection="1">
      <alignment horizontal="center" vertical="center"/>
      <protection/>
    </xf>
    <xf numFmtId="0" fontId="34" fillId="37" borderId="89" xfId="0" applyFont="1" applyFill="1" applyBorder="1" applyAlignment="1" applyProtection="1">
      <alignment horizontal="left" vertical="center" indent="1"/>
      <protection locked="0"/>
    </xf>
    <xf numFmtId="0" fontId="47" fillId="0" borderId="99" xfId="0" applyFont="1" applyFill="1" applyBorder="1" applyAlignment="1" applyProtection="1">
      <alignment horizontal="center" vertical="center"/>
      <protection/>
    </xf>
    <xf numFmtId="14" fontId="3" fillId="37" borderId="89" xfId="0" applyNumberFormat="1" applyFont="1" applyFill="1" applyBorder="1" applyAlignment="1" applyProtection="1">
      <alignment horizontal="center" vertical="center"/>
      <protection locked="0"/>
    </xf>
    <xf numFmtId="0" fontId="3" fillId="37" borderId="89" xfId="0" applyFont="1" applyFill="1" applyBorder="1" applyAlignment="1" applyProtection="1">
      <alignment horizontal="center" vertical="center"/>
      <protection locked="0"/>
    </xf>
    <xf numFmtId="49" fontId="3" fillId="37" borderId="91" xfId="0" applyNumberFormat="1" applyFont="1" applyFill="1" applyBorder="1" applyAlignment="1" applyProtection="1">
      <alignment horizontal="right" vertical="center" wrapText="1"/>
      <protection locked="0"/>
    </xf>
    <xf numFmtId="49" fontId="3" fillId="37" borderId="98" xfId="0" applyNumberFormat="1" applyFont="1" applyFill="1" applyBorder="1" applyAlignment="1" applyProtection="1">
      <alignment horizontal="right" vertical="center" wrapText="1"/>
      <protection locked="0"/>
    </xf>
    <xf numFmtId="0" fontId="34" fillId="0" borderId="80" xfId="0" applyFont="1" applyFill="1" applyBorder="1" applyAlignment="1" applyProtection="1">
      <alignment horizontal="right" vertical="center"/>
      <protection/>
    </xf>
    <xf numFmtId="0" fontId="34" fillId="0" borderId="81" xfId="0" applyFont="1" applyFill="1" applyBorder="1" applyAlignment="1" applyProtection="1">
      <alignment horizontal="right" vertical="center"/>
      <protection/>
    </xf>
    <xf numFmtId="0" fontId="26" fillId="0" borderId="0" xfId="0" applyFont="1" applyFill="1" applyAlignment="1" applyProtection="1">
      <alignment horizontal="left" vertical="center" wrapText="1"/>
      <protection/>
    </xf>
    <xf numFmtId="165" fontId="22" fillId="37" borderId="26" xfId="49" applyNumberFormat="1" applyFont="1" applyFill="1" applyBorder="1" applyAlignment="1" applyProtection="1">
      <alignment horizontal="left" indent="1"/>
      <protection locked="0"/>
    </xf>
    <xf numFmtId="165" fontId="22" fillId="37" borderId="85" xfId="49" applyNumberFormat="1" applyFont="1" applyFill="1" applyBorder="1" applyAlignment="1" applyProtection="1">
      <alignment horizontal="left" indent="1"/>
      <protection locked="0"/>
    </xf>
    <xf numFmtId="0" fontId="19" fillId="0" borderId="0" xfId="0" applyFont="1" applyBorder="1" applyAlignment="1" applyProtection="1">
      <alignment vertical="center"/>
      <protection/>
    </xf>
    <xf numFmtId="0" fontId="19" fillId="0" borderId="45" xfId="0" applyFont="1" applyBorder="1" applyAlignment="1" applyProtection="1">
      <alignment vertical="center"/>
      <protection/>
    </xf>
    <xf numFmtId="0" fontId="19" fillId="0" borderId="46" xfId="0" applyFont="1" applyBorder="1" applyAlignment="1" applyProtection="1">
      <alignment/>
      <protection/>
    </xf>
    <xf numFmtId="0" fontId="19" fillId="0" borderId="47" xfId="0" applyFont="1" applyBorder="1" applyAlignment="1" applyProtection="1">
      <alignment/>
      <protection/>
    </xf>
    <xf numFmtId="0" fontId="20" fillId="0" borderId="101" xfId="0" applyFont="1" applyBorder="1" applyAlignment="1" applyProtection="1">
      <alignment vertical="center"/>
      <protection/>
    </xf>
    <xf numFmtId="0" fontId="20" fillId="0" borderId="102" xfId="0" applyFont="1" applyBorder="1" applyAlignment="1" applyProtection="1">
      <alignment vertical="center"/>
      <protection/>
    </xf>
    <xf numFmtId="0" fontId="20" fillId="0" borderId="103" xfId="0" applyFont="1" applyBorder="1" applyAlignment="1" applyProtection="1">
      <alignment vertical="center"/>
      <protection/>
    </xf>
    <xf numFmtId="49" fontId="20" fillId="37" borderId="100" xfId="0" applyNumberFormat="1" applyFont="1" applyFill="1" applyBorder="1" applyAlignment="1" applyProtection="1">
      <alignment horizontal="right" vertical="center"/>
      <protection locked="0"/>
    </xf>
    <xf numFmtId="0" fontId="3" fillId="0" borderId="94" xfId="0" applyFont="1" applyBorder="1" applyAlignment="1" applyProtection="1">
      <alignment horizontal="right" vertical="center"/>
      <protection/>
    </xf>
    <xf numFmtId="0" fontId="3" fillId="0" borderId="89" xfId="0" applyFont="1" applyBorder="1" applyAlignment="1" applyProtection="1">
      <alignment horizontal="right" vertical="center"/>
      <protection/>
    </xf>
    <xf numFmtId="0" fontId="36" fillId="33" borderId="72"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0" fontId="19" fillId="33" borderId="0" xfId="0" applyFont="1" applyFill="1" applyBorder="1" applyAlignment="1">
      <alignment/>
    </xf>
    <xf numFmtId="0" fontId="29" fillId="33" borderId="0" xfId="0" applyFont="1" applyFill="1" applyAlignment="1">
      <alignment/>
    </xf>
    <xf numFmtId="0" fontId="19" fillId="33" borderId="72" xfId="0" applyFont="1" applyFill="1" applyBorder="1" applyAlignment="1">
      <alignment/>
    </xf>
    <xf numFmtId="0" fontId="61" fillId="33" borderId="0" xfId="0" applyFont="1" applyFill="1" applyBorder="1" applyAlignment="1">
      <alignment horizontal="center" vertical="top"/>
    </xf>
    <xf numFmtId="0" fontId="61" fillId="33" borderId="33" xfId="0" applyFont="1" applyFill="1" applyBorder="1" applyAlignment="1">
      <alignment horizontal="center" vertical="top"/>
    </xf>
    <xf numFmtId="0" fontId="29" fillId="33" borderId="104" xfId="0" applyFont="1" applyFill="1" applyBorder="1" applyAlignment="1">
      <alignment/>
    </xf>
    <xf numFmtId="0" fontId="36" fillId="33" borderId="104" xfId="0" applyFont="1" applyFill="1" applyBorder="1" applyAlignment="1">
      <alignment/>
    </xf>
    <xf numFmtId="0" fontId="47" fillId="0" borderId="0" xfId="0" applyFont="1" applyAlignment="1">
      <alignment horizontal="right"/>
    </xf>
    <xf numFmtId="0" fontId="20" fillId="0" borderId="0" xfId="0" applyFont="1" applyFill="1" applyBorder="1" applyAlignment="1">
      <alignment/>
    </xf>
    <xf numFmtId="166" fontId="22" fillId="37" borderId="25" xfId="0" applyNumberFormat="1" applyFont="1" applyFill="1" applyBorder="1" applyAlignment="1" applyProtection="1">
      <alignment/>
      <protection locked="0"/>
    </xf>
    <xf numFmtId="49" fontId="22" fillId="49" borderId="0" xfId="0" applyNumberFormat="1" applyFont="1" applyFill="1" applyBorder="1" applyAlignment="1">
      <alignment horizontal="center"/>
    </xf>
    <xf numFmtId="0" fontId="22" fillId="49" borderId="0" xfId="0" applyFont="1" applyFill="1" applyBorder="1" applyAlignment="1">
      <alignment horizontal="center"/>
    </xf>
    <xf numFmtId="0" fontId="34" fillId="37" borderId="25" xfId="0" applyFont="1" applyFill="1" applyBorder="1" applyAlignment="1" applyProtection="1">
      <alignment horizontal="center"/>
      <protection locked="0"/>
    </xf>
    <xf numFmtId="166" fontId="60" fillId="49" borderId="0" xfId="0" applyNumberFormat="1" applyFont="1" applyFill="1" applyBorder="1" applyAlignment="1">
      <alignment/>
    </xf>
    <xf numFmtId="0" fontId="47" fillId="0" borderId="0" xfId="0" applyFont="1" applyBorder="1" applyAlignment="1">
      <alignment horizontal="right"/>
    </xf>
    <xf numFmtId="0" fontId="20" fillId="0" borderId="0" xfId="0" applyFont="1" applyAlignment="1">
      <alignment/>
    </xf>
    <xf numFmtId="166" fontId="22" fillId="37" borderId="26" xfId="0" applyNumberFormat="1" applyFont="1" applyFill="1" applyBorder="1" applyAlignment="1" applyProtection="1">
      <alignment/>
      <protection locked="0"/>
    </xf>
    <xf numFmtId="0" fontId="19" fillId="0" borderId="0" xfId="0" applyFont="1" applyAlignment="1">
      <alignment horizontal="right"/>
    </xf>
    <xf numFmtId="0" fontId="55" fillId="0" borderId="0" xfId="0" applyFont="1" applyAlignment="1">
      <alignment horizontal="right"/>
    </xf>
    <xf numFmtId="0" fontId="22" fillId="37" borderId="25" xfId="0" applyFont="1" applyFill="1" applyBorder="1" applyAlignment="1" applyProtection="1">
      <alignment horizontal="right"/>
      <protection locked="0"/>
    </xf>
    <xf numFmtId="0" fontId="55" fillId="0" borderId="0" xfId="0" applyFont="1" applyAlignment="1">
      <alignment/>
    </xf>
    <xf numFmtId="0" fontId="0" fillId="0" borderId="0" xfId="0" applyFont="1" applyFill="1" applyAlignment="1">
      <alignment horizontal="center" vertical="center"/>
    </xf>
    <xf numFmtId="0" fontId="0" fillId="0" borderId="0" xfId="0" applyFont="1" applyFill="1" applyAlignment="1">
      <alignment horizontal="center" vertical="center"/>
    </xf>
    <xf numFmtId="166" fontId="22" fillId="0" borderId="26" xfId="0" applyNumberFormat="1" applyFont="1" applyBorder="1" applyAlignment="1">
      <alignment horizontal="right"/>
    </xf>
    <xf numFmtId="0" fontId="21" fillId="38" borderId="26" xfId="0" applyFont="1" applyFill="1" applyBorder="1" applyAlignment="1" applyProtection="1">
      <alignment/>
      <protection/>
    </xf>
    <xf numFmtId="0" fontId="22" fillId="38" borderId="25" xfId="0" applyFont="1" applyFill="1" applyBorder="1" applyAlignment="1" applyProtection="1">
      <alignment/>
      <protection/>
    </xf>
    <xf numFmtId="0" fontId="21" fillId="37" borderId="26" xfId="0" applyFont="1" applyFill="1" applyBorder="1" applyAlignment="1" applyProtection="1">
      <alignment/>
      <protection locked="0"/>
    </xf>
    <xf numFmtId="0" fontId="55" fillId="0" borderId="0" xfId="0" applyFont="1" applyFill="1" applyBorder="1" applyAlignment="1">
      <alignment/>
    </xf>
    <xf numFmtId="0" fontId="34" fillId="37" borderId="25" xfId="0" applyFont="1" applyFill="1" applyBorder="1" applyAlignment="1" applyProtection="1">
      <alignment horizontal="right"/>
      <protection locked="0"/>
    </xf>
    <xf numFmtId="0" fontId="22" fillId="37" borderId="26" xfId="0" applyFont="1" applyFill="1" applyBorder="1" applyAlignment="1" applyProtection="1">
      <alignment horizontal="right"/>
      <protection locked="0"/>
    </xf>
    <xf numFmtId="166" fontId="22" fillId="37" borderId="25" xfId="0" applyNumberFormat="1" applyFont="1" applyFill="1" applyBorder="1" applyAlignment="1" applyProtection="1">
      <alignment horizontal="right"/>
      <protection locked="0"/>
    </xf>
    <xf numFmtId="0" fontId="34" fillId="0" borderId="25" xfId="0" applyFont="1" applyBorder="1" applyAlignment="1">
      <alignment horizontal="center"/>
    </xf>
    <xf numFmtId="14" fontId="22" fillId="37" borderId="25" xfId="0" applyNumberFormat="1" applyFont="1" applyFill="1" applyBorder="1" applyAlignment="1" applyProtection="1">
      <alignment/>
      <protection locked="0"/>
    </xf>
    <xf numFmtId="166" fontId="22" fillId="0" borderId="25" xfId="0" applyNumberFormat="1" applyFont="1" applyBorder="1" applyAlignment="1">
      <alignment horizontal="right"/>
    </xf>
    <xf numFmtId="0" fontId="34" fillId="0" borderId="25" xfId="0" applyFont="1" applyBorder="1" applyAlignment="1">
      <alignment horizontal="right"/>
    </xf>
    <xf numFmtId="0" fontId="34" fillId="0" borderId="26" xfId="0" applyFont="1" applyBorder="1" applyAlignment="1">
      <alignment horizontal="right"/>
    </xf>
    <xf numFmtId="0" fontId="0" fillId="33" borderId="0" xfId="0" applyFill="1" applyAlignment="1">
      <alignment/>
    </xf>
    <xf numFmtId="0" fontId="58" fillId="0" borderId="0" xfId="0" applyFont="1" applyAlignment="1">
      <alignment/>
    </xf>
    <xf numFmtId="0" fontId="59" fillId="0" borderId="0" xfId="0" applyFont="1" applyAlignment="1">
      <alignment/>
    </xf>
    <xf numFmtId="0" fontId="48" fillId="0" borderId="0" xfId="0" applyFont="1" applyAlignment="1">
      <alignment/>
    </xf>
    <xf numFmtId="14" fontId="48" fillId="37" borderId="0" xfId="0" applyNumberFormat="1" applyFont="1" applyFill="1" applyAlignment="1" applyProtection="1">
      <alignment/>
      <protection locked="0"/>
    </xf>
    <xf numFmtId="0" fontId="48" fillId="37" borderId="0" xfId="0" applyFont="1" applyFill="1" applyAlignment="1" applyProtection="1">
      <alignment/>
      <protection locked="0"/>
    </xf>
    <xf numFmtId="0" fontId="21" fillId="0" borderId="0" xfId="0" applyFont="1" applyAlignment="1">
      <alignment/>
    </xf>
    <xf numFmtId="0" fontId="34" fillId="0" borderId="26" xfId="0" applyFont="1" applyBorder="1" applyAlignment="1">
      <alignment horizontal="center"/>
    </xf>
    <xf numFmtId="0" fontId="73" fillId="33" borderId="0" xfId="0" applyFont="1" applyFill="1" applyAlignment="1">
      <alignment horizontal="center" vertical="center"/>
    </xf>
    <xf numFmtId="0" fontId="22" fillId="0" borderId="105" xfId="0" applyFont="1" applyFill="1" applyBorder="1" applyAlignment="1">
      <alignment/>
    </xf>
    <xf numFmtId="0" fontId="48" fillId="0" borderId="105" xfId="0" applyFont="1" applyBorder="1" applyAlignment="1">
      <alignment horizontal="right"/>
    </xf>
    <xf numFmtId="0" fontId="48" fillId="0" borderId="50" xfId="0" applyFont="1" applyBorder="1" applyAlignment="1">
      <alignment/>
    </xf>
    <xf numFmtId="0" fontId="26" fillId="0" borderId="0" xfId="0" applyFont="1" applyAlignment="1">
      <alignment horizontal="left" vertical="center" wrapText="1"/>
    </xf>
    <xf numFmtId="0" fontId="3" fillId="0" borderId="0" xfId="0" applyFont="1" applyAlignment="1">
      <alignment/>
    </xf>
    <xf numFmtId="0" fontId="47" fillId="0" borderId="0" xfId="0" applyFont="1" applyBorder="1" applyAlignment="1">
      <alignment horizontal="center"/>
    </xf>
    <xf numFmtId="166" fontId="22" fillId="0" borderId="25" xfId="0" applyNumberFormat="1" applyFont="1" applyBorder="1" applyAlignment="1">
      <alignment/>
    </xf>
    <xf numFmtId="166" fontId="22" fillId="0" borderId="26" xfId="0" applyNumberFormat="1" applyFont="1" applyBorder="1" applyAlignment="1">
      <alignment/>
    </xf>
    <xf numFmtId="0" fontId="3" fillId="0" borderId="46" xfId="0" applyFont="1" applyBorder="1" applyAlignment="1">
      <alignment horizontal="center"/>
    </xf>
    <xf numFmtId="0" fontId="48" fillId="0" borderId="26" xfId="0" applyFont="1" applyBorder="1" applyAlignment="1" applyProtection="1">
      <alignment horizontal="left" indent="1"/>
      <protection locked="0"/>
    </xf>
    <xf numFmtId="0" fontId="3" fillId="40" borderId="39" xfId="47" applyFont="1" applyFill="1" applyBorder="1" applyAlignment="1" applyProtection="1">
      <alignment horizontal="center" vertical="center"/>
      <protection/>
    </xf>
    <xf numFmtId="0" fontId="3" fillId="40" borderId="106" xfId="47" applyFont="1" applyFill="1" applyBorder="1" applyAlignment="1" applyProtection="1">
      <alignment horizontal="center" vertical="center"/>
      <protection/>
    </xf>
    <xf numFmtId="0" fontId="19" fillId="0" borderId="0" xfId="47" applyFont="1" applyBorder="1" applyProtection="1">
      <alignment/>
      <protection/>
    </xf>
    <xf numFmtId="0" fontId="28" fillId="0" borderId="67" xfId="47" applyFont="1" applyFill="1" applyBorder="1" applyAlignment="1" applyProtection="1">
      <alignment vertical="center" wrapText="1"/>
      <protection/>
    </xf>
    <xf numFmtId="0" fontId="40" fillId="0" borderId="0" xfId="36" applyFont="1" applyBorder="1" applyAlignment="1" applyProtection="1">
      <alignment vertical="top" wrapText="1"/>
      <protection locked="0"/>
    </xf>
    <xf numFmtId="0" fontId="28" fillId="40" borderId="39" xfId="47" applyFont="1" applyFill="1" applyBorder="1" applyAlignment="1" applyProtection="1">
      <alignment horizontal="center" vertical="center" wrapText="1"/>
      <protection/>
    </xf>
    <xf numFmtId="0" fontId="28" fillId="40" borderId="107" xfId="47" applyFont="1" applyFill="1" applyBorder="1" applyAlignment="1" applyProtection="1">
      <alignment horizontal="center" vertical="center" wrapText="1"/>
      <protection/>
    </xf>
    <xf numFmtId="0" fontId="28" fillId="40" borderId="106" xfId="47" applyFont="1" applyFill="1" applyBorder="1" applyAlignment="1" applyProtection="1">
      <alignment horizontal="center" vertical="center" wrapText="1"/>
      <protection/>
    </xf>
    <xf numFmtId="0" fontId="19" fillId="0" borderId="59" xfId="47" applyFont="1" applyBorder="1" applyProtection="1">
      <alignment/>
      <protection/>
    </xf>
    <xf numFmtId="0" fontId="20" fillId="0" borderId="23" xfId="47" applyFont="1" applyBorder="1" applyAlignment="1" applyProtection="1">
      <alignment horizontal="center" vertical="top" wrapText="1"/>
      <protection/>
    </xf>
    <xf numFmtId="0" fontId="20" fillId="0" borderId="0" xfId="47" applyFont="1" applyBorder="1" applyAlignment="1" applyProtection="1">
      <alignment vertical="top" wrapText="1"/>
      <protection/>
    </xf>
    <xf numFmtId="0" fontId="19" fillId="0" borderId="0" xfId="47" applyFont="1" applyBorder="1" applyAlignment="1" applyProtection="1">
      <alignment vertical="top" wrapText="1"/>
      <protection/>
    </xf>
    <xf numFmtId="0" fontId="19" fillId="0" borderId="0" xfId="47" applyFont="1" applyFill="1" applyBorder="1" applyAlignment="1" applyProtection="1">
      <alignment vertical="center"/>
      <protection/>
    </xf>
    <xf numFmtId="0" fontId="19" fillId="0" borderId="0" xfId="47" applyFont="1" applyFill="1" applyBorder="1" applyProtection="1">
      <alignment/>
      <protection/>
    </xf>
    <xf numFmtId="0" fontId="19" fillId="0" borderId="0" xfId="47" applyFont="1" applyBorder="1" applyAlignment="1" applyProtection="1">
      <alignment horizontal="right"/>
      <protection/>
    </xf>
    <xf numFmtId="0" fontId="19" fillId="0" borderId="23" xfId="47" applyFont="1" applyBorder="1" applyAlignment="1" applyProtection="1">
      <alignment vertical="top" wrapText="1"/>
      <protection/>
    </xf>
    <xf numFmtId="0" fontId="26" fillId="0" borderId="0" xfId="47" applyFont="1" applyBorder="1" applyAlignment="1" applyProtection="1">
      <alignment horizontal="left" vertical="center" wrapText="1"/>
      <protection/>
    </xf>
    <xf numFmtId="0" fontId="26" fillId="0" borderId="23" xfId="47" applyFont="1" applyBorder="1" applyAlignment="1" applyProtection="1">
      <alignment horizontal="left" vertical="center" wrapText="1"/>
      <protection/>
    </xf>
    <xf numFmtId="0" fontId="21" fillId="0" borderId="23" xfId="47" applyFont="1" applyBorder="1" applyAlignment="1" applyProtection="1">
      <alignment horizontal="center" vertical="center" wrapText="1"/>
      <protection/>
    </xf>
    <xf numFmtId="0" fontId="19" fillId="0" borderId="0" xfId="47" applyFont="1" applyFill="1" applyBorder="1" applyProtection="1">
      <alignment/>
      <protection/>
    </xf>
    <xf numFmtId="0" fontId="19" fillId="0" borderId="108" xfId="47" applyFont="1" applyBorder="1" applyAlignment="1" applyProtection="1">
      <alignment horizontal="right" wrapText="1"/>
      <protection/>
    </xf>
    <xf numFmtId="0" fontId="19" fillId="0" borderId="0" xfId="47" applyFont="1" applyBorder="1" applyAlignment="1" applyProtection="1">
      <alignment horizontal="right" wrapText="1"/>
      <protection/>
    </xf>
    <xf numFmtId="0" fontId="20" fillId="0" borderId="50" xfId="47" applyFont="1" applyBorder="1" applyAlignment="1" applyProtection="1">
      <alignment vertical="top" wrapText="1"/>
      <protection/>
    </xf>
    <xf numFmtId="0" fontId="20" fillId="0" borderId="108" xfId="47" applyNumberFormat="1" applyFont="1" applyBorder="1" applyAlignment="1" applyProtection="1">
      <alignment horizontal="left" vertical="center" wrapText="1"/>
      <protection/>
    </xf>
    <xf numFmtId="0" fontId="19" fillId="0" borderId="0" xfId="47" applyFont="1" applyBorder="1" applyAlignment="1" applyProtection="1">
      <alignment horizontal="left" vertical="center" wrapText="1"/>
      <protection/>
    </xf>
    <xf numFmtId="0" fontId="19" fillId="0" borderId="0" xfId="47" applyFont="1" applyBorder="1" applyAlignment="1" applyProtection="1">
      <alignment horizontal="center" vertical="center" wrapText="1"/>
      <protection/>
    </xf>
    <xf numFmtId="0" fontId="20" fillId="37" borderId="108" xfId="47" applyFont="1" applyFill="1" applyBorder="1" applyAlignment="1" applyProtection="1">
      <alignment horizontal="left" vertical="center" wrapText="1"/>
      <protection locked="0"/>
    </xf>
    <xf numFmtId="0" fontId="20" fillId="37" borderId="109" xfId="47" applyFont="1" applyFill="1" applyBorder="1" applyAlignment="1" applyProtection="1">
      <alignment horizontal="left" vertical="center" wrapText="1"/>
      <protection locked="0"/>
    </xf>
    <xf numFmtId="0" fontId="19" fillId="0" borderId="0" xfId="47" applyFont="1" applyBorder="1" applyAlignment="1" applyProtection="1">
      <alignment vertical="center" wrapText="1"/>
      <protection/>
    </xf>
    <xf numFmtId="0" fontId="3" fillId="0" borderId="0" xfId="47" applyFont="1" applyBorder="1" applyAlignment="1" applyProtection="1">
      <alignment vertical="top" wrapText="1"/>
      <protection/>
    </xf>
    <xf numFmtId="0" fontId="3" fillId="0" borderId="0" xfId="47" applyFont="1" applyBorder="1" applyAlignment="1" applyProtection="1">
      <alignment horizontal="left" wrapText="1"/>
      <protection/>
    </xf>
    <xf numFmtId="0" fontId="24" fillId="33" borderId="0" xfId="47" applyFont="1" applyFill="1" applyBorder="1" applyAlignment="1" applyProtection="1">
      <alignment horizontal="center" vertical="center"/>
      <protection/>
    </xf>
    <xf numFmtId="0" fontId="19" fillId="38" borderId="55" xfId="47" applyFont="1" applyFill="1" applyBorder="1" applyAlignment="1" applyProtection="1">
      <alignment horizontal="right" vertical="center" wrapText="1"/>
      <protection/>
    </xf>
    <xf numFmtId="0" fontId="19" fillId="38" borderId="56" xfId="47" applyFont="1" applyFill="1" applyBorder="1" applyAlignment="1" applyProtection="1">
      <alignment horizontal="right" vertical="center" wrapText="1"/>
      <protection/>
    </xf>
    <xf numFmtId="0" fontId="20" fillId="38" borderId="110" xfId="47" applyFont="1" applyFill="1" applyBorder="1" applyAlignment="1" applyProtection="1">
      <alignment horizontal="center" vertical="center" wrapText="1"/>
      <protection/>
    </xf>
    <xf numFmtId="0" fontId="20" fillId="37" borderId="110" xfId="47" applyFont="1" applyFill="1" applyBorder="1" applyAlignment="1" applyProtection="1">
      <alignment horizontal="center" vertical="center" wrapText="1"/>
      <protection locked="0"/>
    </xf>
    <xf numFmtId="0" fontId="26" fillId="38" borderId="63" xfId="47" applyFont="1" applyFill="1" applyBorder="1" applyAlignment="1" applyProtection="1">
      <alignment horizontal="center" vertical="center" wrapText="1"/>
      <protection/>
    </xf>
    <xf numFmtId="0" fontId="26" fillId="38" borderId="111" xfId="47" applyFont="1" applyFill="1" applyBorder="1" applyAlignment="1" applyProtection="1">
      <alignment horizontal="center" vertical="center" wrapText="1"/>
      <protection/>
    </xf>
    <xf numFmtId="0" fontId="20" fillId="0" borderId="0" xfId="47" applyFont="1" applyBorder="1" applyAlignment="1" applyProtection="1">
      <alignment horizontal="left" vertical="top" wrapText="1"/>
      <protection/>
    </xf>
    <xf numFmtId="170" fontId="19" fillId="41" borderId="68" xfId="47" applyNumberFormat="1" applyFont="1" applyFill="1" applyBorder="1" applyAlignment="1" applyProtection="1">
      <alignment vertical="center" wrapText="1"/>
      <protection/>
    </xf>
    <xf numFmtId="173" fontId="33" fillId="0" borderId="61" xfId="39" applyNumberFormat="1" applyFont="1" applyBorder="1" applyAlignment="1" applyProtection="1">
      <alignment horizontal="right" vertical="center" wrapText="1"/>
      <protection/>
    </xf>
    <xf numFmtId="2" fontId="33" fillId="0" borderId="61" xfId="47" applyNumberFormat="1" applyFont="1" applyBorder="1" applyAlignment="1" applyProtection="1">
      <alignment horizontal="right" vertical="center" wrapText="1"/>
      <protection/>
    </xf>
    <xf numFmtId="0" fontId="64" fillId="0" borderId="0" xfId="47" applyFont="1" applyFill="1" applyBorder="1" applyAlignment="1" applyProtection="1">
      <alignment/>
      <protection/>
    </xf>
    <xf numFmtId="0" fontId="28" fillId="0" borderId="0" xfId="47" applyFont="1" applyFill="1" applyBorder="1" applyAlignment="1" applyProtection="1">
      <alignment horizontal="center" vertical="center" wrapText="1"/>
      <protection/>
    </xf>
    <xf numFmtId="0" fontId="28" fillId="0" borderId="0" xfId="47" applyFont="1" applyFill="1" applyBorder="1" applyAlignment="1" applyProtection="1">
      <alignment horizontal="center" vertical="center"/>
      <protection/>
    </xf>
    <xf numFmtId="0" fontId="20" fillId="50" borderId="63" xfId="47" applyFont="1" applyFill="1" applyBorder="1" applyAlignment="1" applyProtection="1">
      <alignment horizontal="center" vertical="center" wrapText="1"/>
      <protection/>
    </xf>
    <xf numFmtId="0" fontId="20" fillId="50" borderId="62" xfId="47" applyFont="1" applyFill="1" applyBorder="1" applyAlignment="1" applyProtection="1">
      <alignment horizontal="center" vertical="center" wrapText="1"/>
      <protection/>
    </xf>
    <xf numFmtId="0" fontId="20" fillId="0" borderId="112" xfId="47" applyFont="1" applyBorder="1" applyAlignment="1" applyProtection="1">
      <alignment vertical="center" wrapText="1"/>
      <protection/>
    </xf>
    <xf numFmtId="0" fontId="20" fillId="0" borderId="67" xfId="47" applyFont="1" applyBorder="1" applyAlignment="1" applyProtection="1">
      <alignment vertical="center" wrapText="1"/>
      <protection/>
    </xf>
    <xf numFmtId="0" fontId="3" fillId="0" borderId="113" xfId="47" applyFont="1" applyFill="1" applyBorder="1" applyAlignment="1" applyProtection="1">
      <alignment horizontal="center" vertical="center" wrapText="1"/>
      <protection/>
    </xf>
    <xf numFmtId="0" fontId="3" fillId="0" borderId="114" xfId="47" applyFont="1" applyFill="1" applyBorder="1" applyAlignment="1" applyProtection="1">
      <alignment horizontal="center" vertical="center" wrapText="1"/>
      <protection/>
    </xf>
    <xf numFmtId="0" fontId="3" fillId="0" borderId="115" xfId="47" applyFont="1" applyFill="1" applyBorder="1" applyAlignment="1" applyProtection="1">
      <alignment horizontal="center" vertical="center" wrapText="1"/>
      <protection/>
    </xf>
    <xf numFmtId="0" fontId="19" fillId="41" borderId="68" xfId="47" applyFont="1" applyFill="1" applyBorder="1" applyAlignment="1" applyProtection="1">
      <alignment vertical="center" wrapText="1"/>
      <protection/>
    </xf>
    <xf numFmtId="0" fontId="19" fillId="41" borderId="116" xfId="47" applyFont="1" applyFill="1" applyBorder="1" applyAlignment="1" applyProtection="1">
      <alignment vertical="center" wrapText="1"/>
      <protection/>
    </xf>
    <xf numFmtId="2" fontId="34" fillId="41" borderId="116" xfId="34" applyNumberFormat="1" applyFont="1" applyFill="1" applyBorder="1" applyAlignment="1" applyProtection="1">
      <alignment horizontal="right" vertical="center" wrapText="1"/>
      <protection/>
    </xf>
    <xf numFmtId="2" fontId="34" fillId="41" borderId="29" xfId="34" applyNumberFormat="1" applyFont="1" applyFill="1" applyBorder="1" applyAlignment="1" applyProtection="1">
      <alignment horizontal="right" vertical="center" wrapText="1"/>
      <protection/>
    </xf>
    <xf numFmtId="2" fontId="34" fillId="41" borderId="21" xfId="34" applyNumberFormat="1" applyFont="1" applyFill="1" applyBorder="1" applyAlignment="1" applyProtection="1">
      <alignment horizontal="right" vertical="center" wrapText="1"/>
      <protection/>
    </xf>
    <xf numFmtId="0" fontId="19" fillId="41" borderId="113" xfId="47" applyFont="1" applyFill="1" applyBorder="1" applyAlignment="1" applyProtection="1">
      <alignment horizontal="left" vertical="center" wrapText="1"/>
      <protection/>
    </xf>
    <xf numFmtId="0" fontId="19" fillId="41" borderId="114" xfId="47" applyFont="1" applyFill="1" applyBorder="1" applyAlignment="1" applyProtection="1">
      <alignment horizontal="left" vertical="center" wrapText="1"/>
      <protection/>
    </xf>
    <xf numFmtId="0" fontId="19" fillId="41" borderId="117" xfId="47" applyFont="1" applyFill="1" applyBorder="1" applyAlignment="1" applyProtection="1">
      <alignment horizontal="left" vertical="center" wrapText="1"/>
      <protection/>
    </xf>
    <xf numFmtId="0" fontId="19" fillId="41" borderId="118" xfId="47" applyFont="1" applyFill="1" applyBorder="1" applyAlignment="1" applyProtection="1">
      <alignment vertical="center" wrapText="1"/>
      <protection/>
    </xf>
    <xf numFmtId="0" fontId="19" fillId="41" borderId="51" xfId="47" applyFont="1" applyFill="1" applyBorder="1" applyAlignment="1" applyProtection="1">
      <alignment vertical="center" wrapText="1"/>
      <protection/>
    </xf>
    <xf numFmtId="169" fontId="20" fillId="0" borderId="108" xfId="47" applyNumberFormat="1" applyFont="1" applyBorder="1" applyAlignment="1" applyProtection="1">
      <alignment horizontal="left" vertical="center" wrapText="1"/>
      <protection/>
    </xf>
    <xf numFmtId="0" fontId="20" fillId="0" borderId="108" xfId="47" applyFont="1" applyBorder="1" applyAlignment="1" applyProtection="1">
      <alignment horizontal="left" vertical="center" indent="1"/>
      <protection/>
    </xf>
    <xf numFmtId="0" fontId="19" fillId="37" borderId="109" xfId="47" applyFont="1" applyFill="1" applyBorder="1" applyAlignment="1" applyProtection="1">
      <alignment horizontal="left" vertical="center"/>
      <protection locked="0"/>
    </xf>
    <xf numFmtId="0" fontId="20" fillId="0" borderId="109" xfId="47" applyFont="1" applyBorder="1" applyAlignment="1" applyProtection="1">
      <alignment horizontal="left" vertical="center" wrapText="1" indent="1"/>
      <protection/>
    </xf>
    <xf numFmtId="0" fontId="19" fillId="0" borderId="0" xfId="47" applyFont="1" applyBorder="1" applyAlignment="1" applyProtection="1">
      <alignment horizontal="right" vertical="center" wrapText="1"/>
      <protection/>
    </xf>
    <xf numFmtId="0" fontId="19" fillId="0" borderId="0" xfId="47" applyFont="1" applyBorder="1" applyAlignment="1" applyProtection="1">
      <alignment horizontal="right" vertical="center" wrapText="1" indent="1"/>
      <protection/>
    </xf>
    <xf numFmtId="0" fontId="40" fillId="0" borderId="0" xfId="36" applyFont="1" applyFill="1" applyBorder="1" applyAlignment="1" applyProtection="1">
      <alignment vertical="top"/>
      <protection/>
    </xf>
    <xf numFmtId="0" fontId="3" fillId="0" borderId="0" xfId="47" applyFont="1" applyFill="1" applyBorder="1" applyAlignment="1" applyProtection="1">
      <alignment vertical="top"/>
      <protection/>
    </xf>
    <xf numFmtId="0" fontId="3" fillId="0" borderId="0" xfId="47" applyFont="1" applyFill="1" applyBorder="1" applyProtection="1">
      <alignment/>
      <protection/>
    </xf>
    <xf numFmtId="14" fontId="20" fillId="0" borderId="109" xfId="47" applyNumberFormat="1" applyFont="1" applyBorder="1" applyAlignment="1" applyProtection="1">
      <alignment horizontal="left" vertical="center" wrapText="1" indent="1"/>
      <protection/>
    </xf>
    <xf numFmtId="0" fontId="20" fillId="37" borderId="112" xfId="47" applyFont="1" applyFill="1" applyBorder="1" applyAlignment="1" applyProtection="1">
      <alignment horizontal="center" vertical="center" wrapText="1"/>
      <protection locked="0"/>
    </xf>
    <xf numFmtId="0" fontId="20" fillId="37" borderId="67" xfId="47" applyFont="1" applyFill="1" applyBorder="1" applyAlignment="1" applyProtection="1">
      <alignment horizontal="center" vertical="center" wrapText="1"/>
      <protection locked="0"/>
    </xf>
    <xf numFmtId="0" fontId="20" fillId="37" borderId="62" xfId="47" applyFont="1" applyFill="1" applyBorder="1" applyAlignment="1" applyProtection="1">
      <alignment horizontal="center" vertical="center" wrapText="1"/>
      <protection locked="0"/>
    </xf>
    <xf numFmtId="0" fontId="20" fillId="0" borderId="108" xfId="47" applyFont="1" applyBorder="1" applyAlignment="1" applyProtection="1">
      <alignment horizontal="left" vertical="center" wrapText="1" indent="1"/>
      <protection/>
    </xf>
    <xf numFmtId="0" fontId="20" fillId="0" borderId="50" xfId="47" applyFont="1" applyBorder="1" applyAlignment="1" applyProtection="1">
      <alignment horizontal="center" wrapText="1"/>
      <protection/>
    </xf>
    <xf numFmtId="0" fontId="20" fillId="0" borderId="108" xfId="47" applyFont="1" applyBorder="1" applyAlignment="1" applyProtection="1">
      <alignment horizontal="left" vertical="center" wrapText="1"/>
      <protection/>
    </xf>
    <xf numFmtId="0" fontId="19" fillId="0" borderId="119" xfId="47" applyFont="1" applyBorder="1" applyAlignment="1" applyProtection="1">
      <alignment horizontal="left" vertical="center" wrapText="1"/>
      <protection/>
    </xf>
    <xf numFmtId="0" fontId="19" fillId="0" borderId="0" xfId="47" applyFont="1" applyFill="1" applyBorder="1" applyAlignment="1" applyProtection="1">
      <alignment horizontal="center" wrapText="1"/>
      <protection/>
    </xf>
    <xf numFmtId="0" fontId="20" fillId="0" borderId="0" xfId="47" applyFont="1" applyFill="1" applyBorder="1" applyAlignment="1" applyProtection="1">
      <alignment horizontal="center" vertical="center" wrapText="1"/>
      <protection/>
    </xf>
    <xf numFmtId="4" fontId="22" fillId="37" borderId="108" xfId="47" applyNumberFormat="1" applyFont="1" applyFill="1" applyBorder="1" applyAlignment="1" applyProtection="1">
      <alignment horizontal="right" vertical="center"/>
      <protection locked="0"/>
    </xf>
    <xf numFmtId="174" fontId="19" fillId="37" borderId="120" xfId="47" applyNumberFormat="1" applyFont="1" applyFill="1" applyBorder="1" applyAlignment="1" applyProtection="1">
      <alignment vertical="center" wrapText="1"/>
      <protection locked="0"/>
    </xf>
    <xf numFmtId="193" fontId="19" fillId="37" borderId="68" xfId="47" applyNumberFormat="1" applyFont="1" applyFill="1" applyBorder="1" applyAlignment="1" applyProtection="1">
      <alignment horizontal="right" vertical="center" wrapText="1"/>
      <protection locked="0"/>
    </xf>
    <xf numFmtId="176" fontId="19" fillId="41" borderId="68" xfId="47" applyNumberFormat="1" applyFont="1" applyFill="1" applyBorder="1" applyAlignment="1" applyProtection="1">
      <alignment vertical="center" wrapText="1"/>
      <protection/>
    </xf>
    <xf numFmtId="173" fontId="19" fillId="37" borderId="68" xfId="39" applyNumberFormat="1" applyFont="1" applyFill="1" applyBorder="1" applyAlignment="1" applyProtection="1">
      <alignment vertical="center" wrapText="1"/>
      <protection locked="0"/>
    </xf>
    <xf numFmtId="0" fontId="19" fillId="41" borderId="120" xfId="47" applyFont="1" applyFill="1" applyBorder="1" applyAlignment="1" applyProtection="1">
      <alignment vertical="center" wrapText="1"/>
      <protection/>
    </xf>
    <xf numFmtId="0" fontId="19" fillId="41" borderId="121" xfId="47" applyFont="1" applyFill="1" applyBorder="1" applyAlignment="1" applyProtection="1">
      <alignment vertical="center" wrapText="1"/>
      <protection/>
    </xf>
    <xf numFmtId="0" fontId="19" fillId="0" borderId="50" xfId="47" applyFont="1" applyBorder="1" applyAlignment="1" applyProtection="1">
      <alignment vertical="top" wrapText="1"/>
      <protection/>
    </xf>
    <xf numFmtId="0" fontId="20" fillId="0" borderId="108" xfId="47" applyFont="1" applyBorder="1" applyAlignment="1" applyProtection="1">
      <alignment horizontal="left" vertical="center" wrapText="1" indent="1"/>
      <protection/>
    </xf>
    <xf numFmtId="0" fontId="20" fillId="0" borderId="0" xfId="47" applyFont="1" applyBorder="1" applyAlignment="1" applyProtection="1">
      <alignment vertical="center" wrapText="1"/>
      <protection/>
    </xf>
    <xf numFmtId="0" fontId="19" fillId="0" borderId="0" xfId="47" applyFont="1" applyBorder="1" applyAlignment="1" applyProtection="1">
      <alignment horizontal="left" wrapText="1"/>
      <protection/>
    </xf>
    <xf numFmtId="0" fontId="19" fillId="37" borderId="109" xfId="47" applyFont="1" applyFill="1" applyBorder="1" applyAlignment="1" applyProtection="1">
      <alignment horizontal="left" vertical="center"/>
      <protection locked="0"/>
    </xf>
    <xf numFmtId="2" fontId="34" fillId="41" borderId="122" xfId="34" applyNumberFormat="1" applyFont="1" applyFill="1" applyBorder="1" applyAlignment="1" applyProtection="1">
      <alignment horizontal="right" vertical="center" wrapText="1"/>
      <protection/>
    </xf>
    <xf numFmtId="173" fontId="34" fillId="41" borderId="51" xfId="39" applyNumberFormat="1" applyFont="1" applyFill="1" applyBorder="1" applyAlignment="1" applyProtection="1">
      <alignment horizontal="right" vertical="center" wrapText="1"/>
      <protection/>
    </xf>
    <xf numFmtId="173" fontId="34" fillId="41" borderId="50" xfId="39" applyNumberFormat="1" applyFont="1" applyFill="1" applyBorder="1" applyAlignment="1" applyProtection="1">
      <alignment horizontal="right" vertical="center" wrapText="1"/>
      <protection/>
    </xf>
    <xf numFmtId="173" fontId="34" fillId="41" borderId="52" xfId="39" applyNumberFormat="1" applyFont="1" applyFill="1" applyBorder="1" applyAlignment="1" applyProtection="1">
      <alignment horizontal="right" vertical="center" wrapText="1"/>
      <protection/>
    </xf>
    <xf numFmtId="170" fontId="19" fillId="41" borderId="15" xfId="47" applyNumberFormat="1" applyFont="1" applyFill="1" applyBorder="1" applyAlignment="1" applyProtection="1">
      <alignment vertical="center" wrapText="1"/>
      <protection/>
    </xf>
    <xf numFmtId="173" fontId="34" fillId="41" borderId="113" xfId="39" applyNumberFormat="1" applyFont="1" applyFill="1" applyBorder="1" applyAlignment="1" applyProtection="1">
      <alignment horizontal="right" vertical="center" wrapText="1"/>
      <protection/>
    </xf>
    <xf numFmtId="173" fontId="34" fillId="41" borderId="114" xfId="39" applyNumberFormat="1" applyFont="1" applyFill="1" applyBorder="1" applyAlignment="1" applyProtection="1">
      <alignment horizontal="right" vertical="center" wrapText="1"/>
      <protection/>
    </xf>
    <xf numFmtId="173" fontId="34" fillId="41" borderId="117" xfId="39" applyNumberFormat="1" applyFont="1" applyFill="1" applyBorder="1" applyAlignment="1" applyProtection="1">
      <alignment horizontal="right" vertical="center" wrapText="1"/>
      <protection/>
    </xf>
    <xf numFmtId="193" fontId="19" fillId="37" borderId="68" xfId="47" applyNumberFormat="1" applyFont="1" applyFill="1" applyBorder="1" applyAlignment="1" applyProtection="1">
      <alignment vertical="center" wrapText="1"/>
      <protection locked="0"/>
    </xf>
    <xf numFmtId="193" fontId="19" fillId="37" borderId="15" xfId="47" applyNumberFormat="1" applyFont="1" applyFill="1" applyBorder="1" applyAlignment="1" applyProtection="1">
      <alignment horizontal="right" vertical="center" wrapText="1"/>
      <protection locked="0"/>
    </xf>
    <xf numFmtId="0" fontId="36" fillId="33" borderId="0" xfId="47" applyFont="1" applyFill="1" applyBorder="1" applyAlignment="1" applyProtection="1">
      <alignment horizontal="center" vertical="center"/>
      <protection/>
    </xf>
    <xf numFmtId="0" fontId="20" fillId="0" borderId="109" xfId="47" applyNumberFormat="1" applyFont="1" applyBorder="1" applyAlignment="1" applyProtection="1">
      <alignment horizontal="left" vertical="center" wrapText="1" indent="1"/>
      <protection/>
    </xf>
    <xf numFmtId="0" fontId="21" fillId="0" borderId="0" xfId="47" applyFont="1" applyBorder="1" applyAlignment="1" applyProtection="1">
      <alignment horizontal="center" vertical="center" wrapText="1"/>
      <protection/>
    </xf>
    <xf numFmtId="0" fontId="19" fillId="0" borderId="119" xfId="47" applyFont="1" applyBorder="1" applyAlignment="1" applyProtection="1">
      <alignment horizontal="right" vertical="center" wrapText="1"/>
      <protection/>
    </xf>
    <xf numFmtId="0" fontId="20" fillId="0" borderId="0" xfId="47" applyFont="1" applyBorder="1" applyAlignment="1" applyProtection="1">
      <alignment horizontal="center" vertical="center" wrapText="1"/>
      <protection/>
    </xf>
    <xf numFmtId="0" fontId="19" fillId="0" borderId="0" xfId="47" applyFont="1" applyBorder="1" applyAlignment="1" applyProtection="1">
      <alignment wrapText="1"/>
      <protection/>
    </xf>
    <xf numFmtId="0" fontId="22" fillId="37" borderId="108" xfId="47" applyFont="1" applyFill="1" applyBorder="1" applyAlignment="1" applyProtection="1">
      <alignment horizontal="left" vertical="top" wrapText="1"/>
      <protection locked="0"/>
    </xf>
    <xf numFmtId="174" fontId="19" fillId="37" borderId="14" xfId="47" applyNumberFormat="1" applyFont="1" applyFill="1" applyBorder="1" applyAlignment="1" applyProtection="1">
      <alignment vertical="center" wrapText="1"/>
      <protection locked="0"/>
    </xf>
    <xf numFmtId="0" fontId="19" fillId="37" borderId="108" xfId="47" applyFont="1" applyFill="1" applyBorder="1" applyAlignment="1" applyProtection="1">
      <alignment horizontal="center" wrapText="1"/>
      <protection locked="0"/>
    </xf>
    <xf numFmtId="0" fontId="19" fillId="0" borderId="0" xfId="47" applyFont="1" applyFill="1" applyBorder="1" applyAlignment="1" applyProtection="1">
      <alignment horizontal="right" wrapText="1"/>
      <protection/>
    </xf>
    <xf numFmtId="171" fontId="19" fillId="37" borderId="108" xfId="47" applyNumberFormat="1" applyFont="1" applyFill="1" applyBorder="1" applyAlignment="1" applyProtection="1">
      <alignment horizontal="center" vertical="center" wrapText="1"/>
      <protection locked="0"/>
    </xf>
    <xf numFmtId="0" fontId="2" fillId="51" borderId="58" xfId="0" applyFont="1" applyFill="1" applyBorder="1" applyAlignment="1">
      <alignment horizontal="center" vertical="center"/>
    </xf>
    <xf numFmtId="0" fontId="2" fillId="51" borderId="59" xfId="0" applyFont="1" applyFill="1" applyBorder="1" applyAlignment="1">
      <alignment horizontal="center" vertical="center"/>
    </xf>
    <xf numFmtId="0" fontId="2" fillId="51" borderId="60" xfId="0" applyFont="1" applyFill="1" applyBorder="1" applyAlignment="1">
      <alignment horizontal="center" vertical="center"/>
    </xf>
    <xf numFmtId="0" fontId="7" fillId="0" borderId="63" xfId="0" applyFont="1" applyBorder="1" applyAlignment="1">
      <alignment horizontal="center" vertical="center"/>
    </xf>
    <xf numFmtId="0" fontId="7" fillId="0" borderId="67" xfId="0" applyFont="1" applyBorder="1" applyAlignment="1">
      <alignment horizontal="center" vertical="center"/>
    </xf>
    <xf numFmtId="0" fontId="7" fillId="0" borderId="62" xfId="0" applyFont="1" applyBorder="1" applyAlignment="1">
      <alignment horizontal="center" vertical="center"/>
    </xf>
    <xf numFmtId="164" fontId="33" fillId="0" borderId="35" xfId="0" applyNumberFormat="1" applyFont="1" applyFill="1" applyBorder="1" applyAlignment="1" applyProtection="1">
      <alignment horizontal="right" vertical="center"/>
      <protection/>
    </xf>
    <xf numFmtId="164" fontId="33" fillId="0" borderId="68" xfId="0" applyNumberFormat="1" applyFont="1" applyFill="1" applyBorder="1" applyAlignment="1" applyProtection="1">
      <alignment horizontal="right" vertical="center"/>
      <protection/>
    </xf>
    <xf numFmtId="164" fontId="33" fillId="0" borderId="15" xfId="0" applyNumberFormat="1" applyFont="1" applyFill="1" applyBorder="1" applyAlignment="1" applyProtection="1">
      <alignment horizontal="right" vertical="center"/>
      <protection/>
    </xf>
    <xf numFmtId="49" fontId="20" fillId="0" borderId="35" xfId="0" applyNumberFormat="1" applyFont="1" applyFill="1" applyBorder="1" applyAlignment="1" applyProtection="1">
      <alignment horizontal="center" vertical="center"/>
      <protection/>
    </xf>
    <xf numFmtId="49" fontId="20" fillId="0" borderId="68" xfId="0" applyNumberFormat="1" applyFont="1" applyFill="1" applyBorder="1" applyAlignment="1" applyProtection="1">
      <alignment horizontal="center" vertical="center"/>
      <protection/>
    </xf>
    <xf numFmtId="49" fontId="19" fillId="37" borderId="68" xfId="0" applyNumberFormat="1" applyFont="1" applyFill="1" applyBorder="1" applyAlignment="1" applyProtection="1">
      <alignment horizontal="center" vertical="center"/>
      <protection locked="0"/>
    </xf>
    <xf numFmtId="0" fontId="20" fillId="0" borderId="70" xfId="0" applyNumberFormat="1" applyFont="1" applyFill="1" applyBorder="1" applyAlignment="1" applyProtection="1">
      <alignment horizontal="left" vertical="center" indent="1"/>
      <protection/>
    </xf>
    <xf numFmtId="0" fontId="20" fillId="0" borderId="29" xfId="0" applyNumberFormat="1" applyFont="1" applyFill="1" applyBorder="1" applyAlignment="1" applyProtection="1">
      <alignment horizontal="left" vertical="center" indent="1"/>
      <protection/>
    </xf>
    <xf numFmtId="0" fontId="20" fillId="0" borderId="122" xfId="0" applyNumberFormat="1" applyFont="1" applyFill="1" applyBorder="1" applyAlignment="1" applyProtection="1">
      <alignment horizontal="left" vertical="center" indent="1"/>
      <protection/>
    </xf>
    <xf numFmtId="0" fontId="20" fillId="0" borderId="70" xfId="0" applyFont="1" applyFill="1" applyBorder="1" applyAlignment="1" applyProtection="1">
      <alignment horizontal="left" vertical="center" indent="1"/>
      <protection/>
    </xf>
    <xf numFmtId="0" fontId="20" fillId="0" borderId="29" xfId="0" applyFont="1" applyFill="1" applyBorder="1" applyAlignment="1" applyProtection="1">
      <alignment horizontal="left" vertical="center" indent="1"/>
      <protection/>
    </xf>
    <xf numFmtId="0" fontId="20" fillId="0" borderId="122" xfId="0" applyFont="1" applyFill="1" applyBorder="1" applyAlignment="1" applyProtection="1">
      <alignment horizontal="left" vertical="center" indent="1"/>
      <protection/>
    </xf>
    <xf numFmtId="164" fontId="21" fillId="0" borderId="122" xfId="0" applyNumberFormat="1" applyFont="1" applyFill="1" applyBorder="1" applyAlignment="1" applyProtection="1">
      <alignment horizontal="center" vertical="center"/>
      <protection/>
    </xf>
    <xf numFmtId="164" fontId="21" fillId="0" borderId="117" xfId="0" applyNumberFormat="1" applyFont="1" applyFill="1" applyBorder="1" applyAlignment="1" applyProtection="1">
      <alignment horizontal="center" vertical="center"/>
      <protection/>
    </xf>
    <xf numFmtId="164" fontId="20" fillId="37" borderId="68" xfId="0" applyNumberFormat="1" applyFont="1" applyFill="1" applyBorder="1" applyAlignment="1" applyProtection="1">
      <alignment horizontal="right" vertical="center"/>
      <protection locked="0"/>
    </xf>
    <xf numFmtId="164" fontId="34" fillId="0" borderId="51" xfId="0" applyNumberFormat="1" applyFont="1" applyFill="1" applyBorder="1" applyAlignment="1" applyProtection="1">
      <alignment horizontal="right" vertical="center"/>
      <protection/>
    </xf>
    <xf numFmtId="164" fontId="34" fillId="0" borderId="50" xfId="0" applyNumberFormat="1" applyFont="1" applyFill="1" applyBorder="1" applyAlignment="1" applyProtection="1">
      <alignment horizontal="right" vertical="center"/>
      <protection/>
    </xf>
    <xf numFmtId="164" fontId="34" fillId="0" borderId="123" xfId="0" applyNumberFormat="1" applyFont="1" applyFill="1" applyBorder="1" applyAlignment="1" applyProtection="1">
      <alignment horizontal="right" vertical="center"/>
      <protection/>
    </xf>
    <xf numFmtId="164" fontId="34" fillId="0" borderId="55" xfId="0" applyNumberFormat="1" applyFont="1" applyFill="1" applyBorder="1" applyAlignment="1" applyProtection="1">
      <alignment horizontal="right" vertical="center"/>
      <protection/>
    </xf>
    <xf numFmtId="164" fontId="34" fillId="0" borderId="53" xfId="0" applyNumberFormat="1" applyFont="1" applyFill="1" applyBorder="1" applyAlignment="1" applyProtection="1">
      <alignment horizontal="right" vertical="center"/>
      <protection/>
    </xf>
    <xf numFmtId="164" fontId="34" fillId="0" borderId="23" xfId="0" applyNumberFormat="1" applyFont="1" applyFill="1" applyBorder="1" applyAlignment="1" applyProtection="1">
      <alignment horizontal="right" vertical="center"/>
      <protection/>
    </xf>
    <xf numFmtId="49" fontId="19" fillId="37" borderId="69" xfId="0" applyNumberFormat="1" applyFont="1" applyFill="1" applyBorder="1" applyAlignment="1" applyProtection="1">
      <alignment horizontal="center" vertical="center"/>
      <protection locked="0"/>
    </xf>
    <xf numFmtId="0" fontId="34" fillId="0" borderId="34" xfId="0" applyFont="1" applyBorder="1" applyAlignment="1">
      <alignment horizontal="center" vertical="center"/>
    </xf>
    <xf numFmtId="0" fontId="34" fillId="0" borderId="120" xfId="0" applyFont="1" applyBorder="1" applyAlignment="1">
      <alignment horizontal="center" vertical="center"/>
    </xf>
    <xf numFmtId="0" fontId="34" fillId="0" borderId="14" xfId="0" applyFont="1" applyBorder="1" applyAlignment="1">
      <alignment horizontal="center" vertical="center"/>
    </xf>
    <xf numFmtId="0" fontId="34" fillId="0" borderId="124" xfId="0" applyFont="1" applyBorder="1" applyAlignment="1">
      <alignment horizontal="center" vertical="center"/>
    </xf>
    <xf numFmtId="0" fontId="34" fillId="0" borderId="125" xfId="0" applyFont="1" applyBorder="1" applyAlignment="1">
      <alignment horizontal="center" vertical="center"/>
    </xf>
    <xf numFmtId="0" fontId="34" fillId="0" borderId="126" xfId="0" applyFont="1" applyBorder="1" applyAlignment="1">
      <alignment horizontal="center" vertical="center"/>
    </xf>
    <xf numFmtId="164" fontId="20" fillId="0" borderId="106" xfId="0" applyNumberFormat="1" applyFont="1" applyBorder="1" applyAlignment="1">
      <alignment horizontal="right" vertical="center"/>
    </xf>
    <xf numFmtId="164" fontId="20" fillId="0" borderId="69" xfId="0" applyNumberFormat="1" applyFont="1" applyBorder="1" applyAlignment="1">
      <alignment horizontal="right" vertical="center"/>
    </xf>
    <xf numFmtId="164" fontId="20" fillId="0" borderId="127" xfId="0" applyNumberFormat="1" applyFont="1" applyBorder="1" applyAlignment="1">
      <alignment horizontal="right" vertical="center"/>
    </xf>
    <xf numFmtId="164" fontId="20" fillId="0" borderId="35" xfId="0" applyNumberFormat="1" applyFont="1" applyBorder="1" applyAlignment="1">
      <alignment horizontal="right" vertical="center"/>
    </xf>
    <xf numFmtId="164" fontId="20" fillId="0" borderId="68" xfId="0" applyNumberFormat="1" applyFont="1" applyBorder="1" applyAlignment="1">
      <alignment horizontal="right" vertical="center"/>
    </xf>
    <xf numFmtId="164" fontId="20" fillId="0" borderId="15" xfId="0" applyNumberFormat="1" applyFont="1" applyBorder="1" applyAlignment="1">
      <alignment horizontal="right" vertical="center"/>
    </xf>
    <xf numFmtId="164" fontId="20" fillId="37" borderId="116" xfId="0" applyNumberFormat="1" applyFont="1" applyFill="1" applyBorder="1" applyAlignment="1" applyProtection="1">
      <alignment horizontal="right" vertical="center"/>
      <protection locked="0"/>
    </xf>
    <xf numFmtId="49" fontId="20" fillId="37" borderId="35" xfId="0" applyNumberFormat="1" applyFont="1" applyFill="1" applyBorder="1" applyAlignment="1" applyProtection="1">
      <alignment horizontal="center" vertical="center"/>
      <protection locked="0"/>
    </xf>
    <xf numFmtId="49" fontId="20" fillId="37" borderId="68" xfId="0" applyNumberFormat="1" applyFont="1" applyFill="1" applyBorder="1" applyAlignment="1" applyProtection="1">
      <alignment horizontal="center" vertical="center"/>
      <protection locked="0"/>
    </xf>
    <xf numFmtId="49" fontId="78" fillId="37" borderId="128" xfId="0" applyNumberFormat="1" applyFont="1" applyFill="1" applyBorder="1" applyAlignment="1" applyProtection="1">
      <alignment horizontal="right" vertical="center"/>
      <protection locked="0"/>
    </xf>
    <xf numFmtId="49" fontId="78" fillId="37" borderId="129" xfId="0" applyNumberFormat="1" applyFont="1" applyFill="1" applyBorder="1" applyAlignment="1" applyProtection="1">
      <alignment horizontal="right" vertical="center"/>
      <protection locked="0"/>
    </xf>
    <xf numFmtId="164" fontId="34" fillId="0" borderId="68" xfId="0" applyNumberFormat="1" applyFont="1" applyFill="1" applyBorder="1" applyAlignment="1" applyProtection="1">
      <alignment horizontal="center" vertical="center"/>
      <protection/>
    </xf>
    <xf numFmtId="166" fontId="34" fillId="52" borderId="118" xfId="0" applyNumberFormat="1" applyFont="1" applyFill="1" applyBorder="1" applyAlignment="1" applyProtection="1">
      <alignment horizontal="right" vertical="center"/>
      <protection/>
    </xf>
    <xf numFmtId="166" fontId="34" fillId="52" borderId="69" xfId="0" applyNumberFormat="1" applyFont="1" applyFill="1" applyBorder="1" applyAlignment="1" applyProtection="1">
      <alignment horizontal="right" vertical="center"/>
      <protection/>
    </xf>
    <xf numFmtId="14" fontId="78" fillId="37" borderId="130" xfId="0" applyNumberFormat="1" applyFont="1" applyFill="1" applyBorder="1" applyAlignment="1" applyProtection="1">
      <alignment horizontal="right" vertical="center"/>
      <protection locked="0"/>
    </xf>
    <xf numFmtId="14" fontId="78" fillId="37" borderId="26" xfId="0" applyNumberFormat="1" applyFont="1" applyFill="1" applyBorder="1" applyAlignment="1" applyProtection="1">
      <alignment horizontal="right" vertical="center"/>
      <protection locked="0"/>
    </xf>
    <xf numFmtId="14" fontId="78" fillId="37" borderId="97" xfId="0" applyNumberFormat="1" applyFont="1" applyFill="1" applyBorder="1" applyAlignment="1" applyProtection="1">
      <alignment horizontal="right" vertical="center"/>
      <protection locked="0"/>
    </xf>
    <xf numFmtId="14" fontId="78" fillId="37" borderId="131" xfId="0" applyNumberFormat="1" applyFont="1" applyFill="1" applyBorder="1" applyAlignment="1" applyProtection="1">
      <alignment horizontal="right" vertical="center"/>
      <protection locked="0"/>
    </xf>
    <xf numFmtId="14" fontId="78" fillId="37" borderId="83" xfId="0" applyNumberFormat="1" applyFont="1" applyFill="1" applyBorder="1" applyAlignment="1" applyProtection="1">
      <alignment horizontal="right" vertical="center"/>
      <protection locked="0"/>
    </xf>
    <xf numFmtId="14" fontId="78" fillId="37" borderId="129" xfId="0" applyNumberFormat="1" applyFont="1" applyFill="1" applyBorder="1" applyAlignment="1" applyProtection="1">
      <alignment horizontal="right" vertical="center"/>
      <protection locked="0"/>
    </xf>
    <xf numFmtId="0" fontId="34" fillId="37" borderId="51" xfId="0" applyFont="1" applyFill="1" applyBorder="1" applyAlignment="1" applyProtection="1">
      <alignment horizontal="center" vertical="center"/>
      <protection locked="0"/>
    </xf>
    <xf numFmtId="0" fontId="34" fillId="37" borderId="50" xfId="0" applyFont="1" applyFill="1" applyBorder="1" applyAlignment="1" applyProtection="1">
      <alignment horizontal="center" vertical="center"/>
      <protection locked="0"/>
    </xf>
    <xf numFmtId="0" fontId="34" fillId="37" borderId="52" xfId="0" applyFont="1" applyFill="1" applyBorder="1" applyAlignment="1" applyProtection="1">
      <alignment horizontal="center" vertical="center"/>
      <protection locked="0"/>
    </xf>
    <xf numFmtId="0" fontId="34" fillId="37" borderId="53" xfId="0" applyFont="1" applyFill="1" applyBorder="1" applyAlignment="1" applyProtection="1">
      <alignment horizontal="center" vertical="center"/>
      <protection locked="0"/>
    </xf>
    <xf numFmtId="0" fontId="34" fillId="37" borderId="23" xfId="0" applyFont="1" applyFill="1" applyBorder="1" applyAlignment="1" applyProtection="1">
      <alignment horizontal="center" vertical="center"/>
      <protection locked="0"/>
    </xf>
    <xf numFmtId="0" fontId="34" fillId="37" borderId="54" xfId="0" applyFont="1" applyFill="1" applyBorder="1" applyAlignment="1" applyProtection="1">
      <alignment horizontal="center" vertical="center"/>
      <protection locked="0"/>
    </xf>
    <xf numFmtId="49" fontId="78" fillId="37" borderId="132" xfId="0" applyNumberFormat="1" applyFont="1" applyFill="1" applyBorder="1" applyAlignment="1" applyProtection="1">
      <alignment horizontal="right" vertical="center"/>
      <protection locked="0"/>
    </xf>
    <xf numFmtId="49" fontId="78" fillId="37" borderId="133" xfId="0" applyNumberFormat="1" applyFont="1" applyFill="1" applyBorder="1" applyAlignment="1" applyProtection="1">
      <alignment horizontal="right" vertical="center"/>
      <protection locked="0"/>
    </xf>
    <xf numFmtId="14" fontId="78" fillId="37" borderId="134" xfId="0" applyNumberFormat="1" applyFont="1" applyFill="1" applyBorder="1" applyAlignment="1" applyProtection="1">
      <alignment horizontal="right" vertical="center"/>
      <protection locked="0"/>
    </xf>
    <xf numFmtId="14" fontId="78" fillId="37" borderId="24" xfId="0" applyNumberFormat="1" applyFont="1" applyFill="1" applyBorder="1" applyAlignment="1" applyProtection="1">
      <alignment horizontal="right" vertical="center"/>
      <protection locked="0"/>
    </xf>
    <xf numFmtId="14" fontId="78" fillId="37" borderId="135" xfId="0" applyNumberFormat="1" applyFont="1" applyFill="1" applyBorder="1" applyAlignment="1" applyProtection="1">
      <alignment horizontal="right" vertical="center"/>
      <protection locked="0"/>
    </xf>
    <xf numFmtId="167" fontId="34" fillId="52" borderId="118" xfId="0" applyNumberFormat="1" applyFont="1" applyFill="1" applyBorder="1" applyAlignment="1" applyProtection="1">
      <alignment horizontal="right" vertical="center"/>
      <protection/>
    </xf>
    <xf numFmtId="167" fontId="34" fillId="52" borderId="69" xfId="0" applyNumberFormat="1" applyFont="1" applyFill="1" applyBorder="1" applyAlignment="1" applyProtection="1">
      <alignment horizontal="right" vertical="center"/>
      <protection/>
    </xf>
    <xf numFmtId="49" fontId="78" fillId="37" borderId="136" xfId="0" applyNumberFormat="1" applyFont="1" applyFill="1" applyBorder="1" applyAlignment="1" applyProtection="1">
      <alignment horizontal="right" vertical="center"/>
      <protection locked="0"/>
    </xf>
    <xf numFmtId="49" fontId="78" fillId="37" borderId="135" xfId="0" applyNumberFormat="1" applyFont="1" applyFill="1" applyBorder="1" applyAlignment="1" applyProtection="1">
      <alignment horizontal="right" vertical="center"/>
      <protection locked="0"/>
    </xf>
    <xf numFmtId="0" fontId="49" fillId="0" borderId="134" xfId="0" applyFont="1" applyFill="1" applyBorder="1" applyAlignment="1" applyProtection="1">
      <alignment horizontal="right" vertical="center" indent="1"/>
      <protection/>
    </xf>
    <xf numFmtId="0" fontId="49" fillId="0" borderId="24" xfId="0" applyFont="1" applyFill="1" applyBorder="1" applyAlignment="1" applyProtection="1">
      <alignment horizontal="right" vertical="center" indent="1"/>
      <protection/>
    </xf>
    <xf numFmtId="0" fontId="49" fillId="0" borderId="135" xfId="0" applyFont="1" applyFill="1" applyBorder="1" applyAlignment="1" applyProtection="1">
      <alignment horizontal="right" vertical="center" indent="1"/>
      <protection/>
    </xf>
    <xf numFmtId="0" fontId="3" fillId="0" borderId="137" xfId="0" applyFont="1" applyBorder="1" applyAlignment="1" applyProtection="1">
      <alignment horizontal="left" vertical="center" indent="1"/>
      <protection locked="0"/>
    </xf>
    <xf numFmtId="0" fontId="3" fillId="0" borderId="138" xfId="0" applyFont="1" applyBorder="1" applyAlignment="1" applyProtection="1">
      <alignment horizontal="left" vertical="center" indent="1"/>
      <protection locked="0"/>
    </xf>
    <xf numFmtId="0" fontId="3" fillId="0" borderId="139" xfId="0" applyFont="1" applyBorder="1" applyAlignment="1" applyProtection="1">
      <alignment horizontal="left" vertical="center" indent="1"/>
      <protection locked="0"/>
    </xf>
    <xf numFmtId="49" fontId="20" fillId="37" borderId="140" xfId="0" applyNumberFormat="1" applyFont="1" applyFill="1" applyBorder="1" applyAlignment="1" applyProtection="1">
      <alignment horizontal="right" vertical="center" indent="1"/>
      <protection locked="0"/>
    </xf>
    <xf numFmtId="49" fontId="20" fillId="37" borderId="25" xfId="0" applyNumberFormat="1" applyFont="1" applyFill="1" applyBorder="1" applyAlignment="1" applyProtection="1">
      <alignment horizontal="right" vertical="center" indent="1"/>
      <protection locked="0"/>
    </xf>
    <xf numFmtId="49" fontId="20" fillId="37" borderId="141" xfId="0" applyNumberFormat="1" applyFont="1" applyFill="1" applyBorder="1" applyAlignment="1" applyProtection="1">
      <alignment horizontal="right" vertical="center" indent="1"/>
      <protection locked="0"/>
    </xf>
    <xf numFmtId="49" fontId="20" fillId="37" borderId="82" xfId="0" applyNumberFormat="1" applyFont="1" applyFill="1" applyBorder="1" applyAlignment="1" applyProtection="1">
      <alignment horizontal="right" vertical="center" indent="1"/>
      <protection locked="0"/>
    </xf>
    <xf numFmtId="0" fontId="34" fillId="0" borderId="70" xfId="0" applyFont="1" applyFill="1" applyBorder="1" applyAlignment="1" applyProtection="1">
      <alignment horizontal="left" vertical="center"/>
      <protection/>
    </xf>
    <xf numFmtId="0" fontId="34" fillId="0" borderId="29" xfId="0" applyFont="1" applyFill="1" applyBorder="1" applyAlignment="1" applyProtection="1">
      <alignment horizontal="left" vertical="center"/>
      <protection/>
    </xf>
    <xf numFmtId="0" fontId="34" fillId="0" borderId="21" xfId="0" applyFont="1" applyFill="1" applyBorder="1" applyAlignment="1" applyProtection="1">
      <alignment horizontal="left" vertical="center"/>
      <protection/>
    </xf>
    <xf numFmtId="49" fontId="20" fillId="37" borderId="136" xfId="0" applyNumberFormat="1" applyFont="1" applyFill="1" applyBorder="1" applyAlignment="1" applyProtection="1">
      <alignment horizontal="right" vertical="center" indent="1"/>
      <protection locked="0"/>
    </xf>
    <xf numFmtId="49" fontId="20" fillId="37" borderId="24" xfId="0" applyNumberFormat="1" applyFont="1" applyFill="1" applyBorder="1" applyAlignment="1" applyProtection="1">
      <alignment horizontal="right" vertical="center" indent="1"/>
      <protection locked="0"/>
    </xf>
    <xf numFmtId="49" fontId="20" fillId="37" borderId="142" xfId="0" applyNumberFormat="1" applyFont="1" applyFill="1" applyBorder="1" applyAlignment="1" applyProtection="1">
      <alignment horizontal="right" vertical="center" indent="1"/>
      <protection locked="0"/>
    </xf>
    <xf numFmtId="49" fontId="19" fillId="37" borderId="140" xfId="0" applyNumberFormat="1" applyFont="1" applyFill="1" applyBorder="1" applyAlignment="1" applyProtection="1">
      <alignment horizontal="right" vertical="center" indent="1"/>
      <protection locked="0"/>
    </xf>
    <xf numFmtId="49" fontId="19" fillId="37" borderId="25" xfId="0" applyNumberFormat="1" applyFont="1" applyFill="1" applyBorder="1" applyAlignment="1" applyProtection="1">
      <alignment horizontal="right" vertical="center" indent="1"/>
      <protection locked="0"/>
    </xf>
    <xf numFmtId="49" fontId="19" fillId="37" borderId="141" xfId="0" applyNumberFormat="1" applyFont="1" applyFill="1" applyBorder="1" applyAlignment="1" applyProtection="1">
      <alignment horizontal="right" vertical="center" indent="1"/>
      <protection locked="0"/>
    </xf>
    <xf numFmtId="49" fontId="20" fillId="37" borderId="135" xfId="0" applyNumberFormat="1" applyFont="1" applyFill="1" applyBorder="1" applyAlignment="1" applyProtection="1">
      <alignment horizontal="right" vertical="center" indent="1"/>
      <protection locked="0"/>
    </xf>
    <xf numFmtId="49" fontId="19" fillId="37" borderId="140" xfId="0" applyNumberFormat="1" applyFont="1" applyFill="1" applyBorder="1" applyAlignment="1" applyProtection="1">
      <alignment horizontal="right" vertical="center" wrapText="1" indent="1"/>
      <protection locked="0"/>
    </xf>
    <xf numFmtId="49" fontId="19" fillId="37" borderId="25" xfId="0" applyNumberFormat="1" applyFont="1" applyFill="1" applyBorder="1" applyAlignment="1" applyProtection="1">
      <alignment horizontal="right" vertical="center" wrapText="1" indent="1"/>
      <protection locked="0"/>
    </xf>
    <xf numFmtId="49" fontId="19" fillId="37" borderId="141" xfId="0" applyNumberFormat="1" applyFont="1" applyFill="1" applyBorder="1" applyAlignment="1" applyProtection="1">
      <alignment horizontal="right" vertical="center" wrapText="1" indent="1"/>
      <protection locked="0"/>
    </xf>
    <xf numFmtId="49" fontId="20" fillId="37" borderId="136" xfId="0" applyNumberFormat="1" applyFont="1" applyFill="1" applyBorder="1" applyAlignment="1" applyProtection="1">
      <alignment horizontal="right" vertical="center" wrapText="1" indent="1"/>
      <protection locked="0"/>
    </xf>
    <xf numFmtId="49" fontId="20" fillId="37" borderId="24" xfId="0" applyNumberFormat="1" applyFont="1" applyFill="1" applyBorder="1" applyAlignment="1" applyProtection="1">
      <alignment horizontal="right" vertical="center" wrapText="1" indent="1"/>
      <protection locked="0"/>
    </xf>
    <xf numFmtId="49" fontId="20" fillId="37" borderId="135" xfId="0" applyNumberFormat="1" applyFont="1" applyFill="1" applyBorder="1" applyAlignment="1" applyProtection="1">
      <alignment horizontal="right" vertical="center" wrapText="1" indent="1"/>
      <protection locked="0"/>
    </xf>
    <xf numFmtId="0" fontId="34" fillId="0" borderId="68" xfId="0" applyFont="1" applyFill="1" applyBorder="1" applyAlignment="1" applyProtection="1">
      <alignment horizontal="right" vertical="center"/>
      <protection/>
    </xf>
    <xf numFmtId="0" fontId="34" fillId="37" borderId="116" xfId="0" applyFont="1" applyFill="1" applyBorder="1" applyAlignment="1" applyProtection="1">
      <alignment horizontal="center" vertical="center"/>
      <protection locked="0"/>
    </xf>
    <xf numFmtId="0" fontId="34" fillId="37" borderId="29" xfId="0" applyFont="1" applyFill="1" applyBorder="1" applyAlignment="1" applyProtection="1">
      <alignment horizontal="center" vertical="center"/>
      <protection locked="0"/>
    </xf>
    <xf numFmtId="14" fontId="3" fillId="0" borderId="143" xfId="0" applyNumberFormat="1" applyFont="1" applyFill="1" applyBorder="1" applyAlignment="1" applyProtection="1">
      <alignment horizontal="right" vertical="center" indent="1"/>
      <protection/>
    </xf>
    <xf numFmtId="14" fontId="3" fillId="0" borderId="25" xfId="0" applyNumberFormat="1" applyFont="1" applyFill="1" applyBorder="1" applyAlignment="1" applyProtection="1">
      <alignment horizontal="right" vertical="center" indent="1"/>
      <protection/>
    </xf>
    <xf numFmtId="14" fontId="3" fillId="0" borderId="141" xfId="0" applyNumberFormat="1" applyFont="1" applyFill="1" applyBorder="1" applyAlignment="1" applyProtection="1">
      <alignment horizontal="right" vertical="center" indent="1"/>
      <protection/>
    </xf>
    <xf numFmtId="0" fontId="3" fillId="0" borderId="143" xfId="0" applyFont="1" applyFill="1" applyBorder="1" applyAlignment="1" applyProtection="1">
      <alignment horizontal="right" vertical="center" indent="1"/>
      <protection/>
    </xf>
    <xf numFmtId="0" fontId="3" fillId="0" borderId="25" xfId="0" applyFont="1" applyFill="1" applyBorder="1" applyAlignment="1" applyProtection="1">
      <alignment horizontal="right" vertical="center" indent="1"/>
      <protection/>
    </xf>
    <xf numFmtId="0" fontId="3" fillId="0" borderId="141" xfId="0" applyFont="1" applyFill="1" applyBorder="1" applyAlignment="1" applyProtection="1">
      <alignment horizontal="right" vertical="center" indent="1"/>
      <protection/>
    </xf>
    <xf numFmtId="0" fontId="34" fillId="0" borderId="34" xfId="0" applyFont="1" applyBorder="1" applyAlignment="1">
      <alignment horizontal="center"/>
    </xf>
    <xf numFmtId="0" fontId="34" fillId="0" borderId="120" xfId="0" applyFont="1" applyBorder="1" applyAlignment="1">
      <alignment horizontal="center"/>
    </xf>
    <xf numFmtId="0" fontId="34" fillId="0" borderId="14" xfId="0" applyFont="1" applyBorder="1" applyAlignment="1">
      <alignment horizontal="center"/>
    </xf>
    <xf numFmtId="49" fontId="34" fillId="37" borderId="136" xfId="0" applyNumberFormat="1" applyFont="1" applyFill="1" applyBorder="1" applyAlignment="1" applyProtection="1">
      <alignment horizontal="right" vertical="center"/>
      <protection locked="0"/>
    </xf>
    <xf numFmtId="49" fontId="34" fillId="37" borderId="24" xfId="0" applyNumberFormat="1" applyFont="1" applyFill="1" applyBorder="1" applyAlignment="1" applyProtection="1">
      <alignment horizontal="right" vertical="center"/>
      <protection locked="0"/>
    </xf>
    <xf numFmtId="164" fontId="34" fillId="0" borderId="52" xfId="0" applyNumberFormat="1" applyFont="1" applyFill="1" applyBorder="1" applyAlignment="1" applyProtection="1">
      <alignment horizontal="right" vertical="center"/>
      <protection/>
    </xf>
    <xf numFmtId="164" fontId="34" fillId="0" borderId="54" xfId="0" applyNumberFormat="1" applyFont="1" applyFill="1" applyBorder="1" applyAlignment="1" applyProtection="1">
      <alignment horizontal="right" vertical="center"/>
      <protection/>
    </xf>
    <xf numFmtId="0" fontId="2" fillId="33" borderId="0" xfId="0" applyFont="1" applyFill="1" applyAlignment="1">
      <alignment/>
    </xf>
    <xf numFmtId="164" fontId="20" fillId="37" borderId="15" xfId="0" applyNumberFormat="1" applyFont="1" applyFill="1" applyBorder="1" applyAlignment="1" applyProtection="1">
      <alignment horizontal="right" vertical="center"/>
      <protection locked="0"/>
    </xf>
    <xf numFmtId="0" fontId="3" fillId="0" borderId="45"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3" fillId="0" borderId="38"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49" fontId="34" fillId="37" borderId="95" xfId="0" applyNumberFormat="1" applyFont="1" applyFill="1" applyBorder="1" applyAlignment="1" applyProtection="1">
      <alignment horizontal="right" vertical="center"/>
      <protection locked="0"/>
    </xf>
    <xf numFmtId="49" fontId="34" fillId="37" borderId="26" xfId="0" applyNumberFormat="1" applyFont="1" applyFill="1" applyBorder="1" applyAlignment="1" applyProtection="1">
      <alignment horizontal="right" vertical="center"/>
      <protection locked="0"/>
    </xf>
    <xf numFmtId="49" fontId="19" fillId="37" borderId="144" xfId="0" applyNumberFormat="1" applyFont="1" applyFill="1" applyBorder="1" applyAlignment="1" applyProtection="1">
      <alignment horizontal="center" vertical="center"/>
      <protection locked="0"/>
    </xf>
    <xf numFmtId="0" fontId="20" fillId="37" borderId="26" xfId="0" applyFont="1" applyFill="1" applyBorder="1" applyAlignment="1" applyProtection="1">
      <alignment/>
      <protection locked="0"/>
    </xf>
    <xf numFmtId="0" fontId="20" fillId="37" borderId="85" xfId="0" applyFont="1" applyFill="1" applyBorder="1" applyAlignment="1" applyProtection="1">
      <alignment/>
      <protection locked="0"/>
    </xf>
    <xf numFmtId="0" fontId="34" fillId="37" borderId="145" xfId="0" applyFont="1" applyFill="1" applyBorder="1" applyAlignment="1" applyProtection="1">
      <alignment horizontal="center" vertical="center"/>
      <protection locked="0"/>
    </xf>
    <xf numFmtId="0" fontId="34" fillId="37" borderId="0" xfId="0" applyFont="1" applyFill="1" applyBorder="1" applyAlignment="1" applyProtection="1">
      <alignment horizontal="center" vertical="center"/>
      <protection locked="0"/>
    </xf>
    <xf numFmtId="0" fontId="34" fillId="37" borderId="146" xfId="0" applyFont="1" applyFill="1" applyBorder="1" applyAlignment="1" applyProtection="1">
      <alignment horizontal="center" vertical="center"/>
      <protection locked="0"/>
    </xf>
    <xf numFmtId="164" fontId="34" fillId="0" borderId="147" xfId="0" applyNumberFormat="1" applyFont="1" applyFill="1" applyBorder="1" applyAlignment="1" applyProtection="1">
      <alignment horizontal="center" vertical="center"/>
      <protection/>
    </xf>
    <xf numFmtId="164" fontId="34" fillId="0" borderId="147" xfId="0" applyNumberFormat="1" applyFont="1" applyFill="1" applyBorder="1" applyAlignment="1" applyProtection="1">
      <alignment horizontal="right" vertical="center"/>
      <protection/>
    </xf>
    <xf numFmtId="164" fontId="34" fillId="0" borderId="68" xfId="0" applyNumberFormat="1" applyFont="1" applyFill="1" applyBorder="1" applyAlignment="1" applyProtection="1">
      <alignment horizontal="right" vertical="center"/>
      <protection/>
    </xf>
    <xf numFmtId="0" fontId="3" fillId="0" borderId="110" xfId="0" applyFont="1" applyBorder="1" applyAlignment="1">
      <alignment horizontal="center" vertical="center"/>
    </xf>
    <xf numFmtId="0" fontId="3" fillId="0" borderId="148" xfId="0" applyFont="1" applyBorder="1" applyAlignment="1">
      <alignment horizontal="center" vertical="center"/>
    </xf>
    <xf numFmtId="0" fontId="34" fillId="0" borderId="147" xfId="0" applyFont="1" applyFill="1" applyBorder="1" applyAlignment="1" applyProtection="1">
      <alignment horizontal="right" vertical="center"/>
      <protection/>
    </xf>
    <xf numFmtId="0" fontId="3" fillId="0" borderId="0" xfId="0" applyFont="1" applyBorder="1" applyAlignment="1">
      <alignment/>
    </xf>
    <xf numFmtId="0" fontId="34" fillId="37" borderId="149" xfId="0" applyFont="1" applyFill="1" applyBorder="1" applyAlignment="1" applyProtection="1">
      <alignment horizontal="center" vertical="center"/>
      <protection locked="0"/>
    </xf>
    <xf numFmtId="0" fontId="34" fillId="37" borderId="105" xfId="0" applyFont="1" applyFill="1" applyBorder="1" applyAlignment="1" applyProtection="1">
      <alignment horizontal="center" vertical="center"/>
      <protection locked="0"/>
    </xf>
    <xf numFmtId="0" fontId="34" fillId="37" borderId="150" xfId="0" applyFont="1" applyFill="1" applyBorder="1" applyAlignment="1" applyProtection="1">
      <alignment horizontal="center" vertical="center"/>
      <protection locked="0"/>
    </xf>
    <xf numFmtId="14" fontId="20" fillId="37" borderId="26" xfId="0" applyNumberFormat="1" applyFont="1" applyFill="1" applyBorder="1" applyAlignment="1" applyProtection="1">
      <alignment/>
      <protection locked="0"/>
    </xf>
    <xf numFmtId="185" fontId="34" fillId="0" borderId="151" xfId="0" applyNumberFormat="1" applyFont="1" applyFill="1" applyBorder="1" applyAlignment="1" applyProtection="1">
      <alignment horizontal="right" vertical="center"/>
      <protection/>
    </xf>
    <xf numFmtId="185" fontId="34" fillId="0" borderId="152" xfId="0" applyNumberFormat="1" applyFont="1" applyFill="1" applyBorder="1" applyAlignment="1" applyProtection="1">
      <alignment horizontal="right" vertical="center"/>
      <protection/>
    </xf>
    <xf numFmtId="185" fontId="34" fillId="0" borderId="116" xfId="0" applyNumberFormat="1" applyFont="1" applyFill="1" applyBorder="1" applyAlignment="1" applyProtection="1">
      <alignment horizontal="right" vertical="center"/>
      <protection/>
    </xf>
    <xf numFmtId="185" fontId="34" fillId="0" borderId="29" xfId="0" applyNumberFormat="1" applyFont="1" applyFill="1" applyBorder="1" applyAlignment="1" applyProtection="1">
      <alignment horizontal="right" vertical="center"/>
      <protection/>
    </xf>
    <xf numFmtId="0" fontId="3" fillId="0" borderId="0" xfId="0" applyFont="1" applyBorder="1" applyAlignment="1">
      <alignment horizontal="right"/>
    </xf>
    <xf numFmtId="167" fontId="34" fillId="52" borderId="153" xfId="0" applyNumberFormat="1" applyFont="1" applyFill="1" applyBorder="1" applyAlignment="1" applyProtection="1">
      <alignment horizontal="right" vertical="center"/>
      <protection/>
    </xf>
    <xf numFmtId="166" fontId="34" fillId="52" borderId="153" xfId="0" applyNumberFormat="1" applyFont="1" applyFill="1" applyBorder="1" applyAlignment="1" applyProtection="1">
      <alignment horizontal="right" vertical="center"/>
      <protection/>
    </xf>
    <xf numFmtId="20" fontId="20" fillId="37" borderId="26" xfId="0" applyNumberFormat="1" applyFont="1" applyFill="1" applyBorder="1" applyAlignment="1" applyProtection="1">
      <alignment/>
      <protection locked="0"/>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6" xfId="0" applyFont="1" applyBorder="1" applyAlignment="1">
      <alignment horizontal="center" vertical="center" wrapText="1"/>
    </xf>
    <xf numFmtId="0" fontId="3" fillId="0" borderId="110" xfId="0" applyFont="1" applyBorder="1" applyAlignment="1">
      <alignment horizontal="center" vertical="center" textRotation="90" wrapText="1"/>
    </xf>
    <xf numFmtId="0" fontId="3" fillId="0" borderId="148" xfId="0" applyFont="1" applyBorder="1" applyAlignment="1">
      <alignment horizontal="center" vertical="center" textRotation="90" wrapText="1"/>
    </xf>
    <xf numFmtId="0" fontId="3" fillId="0" borderId="45" xfId="0" applyFont="1" applyBorder="1" applyAlignment="1">
      <alignment/>
    </xf>
    <xf numFmtId="0" fontId="56" fillId="0" borderId="38" xfId="0" applyFont="1" applyBorder="1" applyAlignment="1">
      <alignment vertical="center"/>
    </xf>
    <xf numFmtId="0" fontId="56" fillId="0" borderId="55" xfId="0" applyFont="1" applyBorder="1" applyAlignment="1">
      <alignment vertical="center"/>
    </xf>
    <xf numFmtId="0" fontId="56" fillId="0" borderId="56" xfId="0" applyFont="1" applyBorder="1" applyAlignment="1">
      <alignment vertical="center"/>
    </xf>
    <xf numFmtId="0" fontId="3" fillId="0" borderId="45" xfId="0" applyFont="1" applyBorder="1" applyAlignment="1">
      <alignment/>
    </xf>
    <xf numFmtId="0" fontId="3" fillId="0" borderId="0" xfId="0" applyFont="1" applyBorder="1" applyAlignment="1">
      <alignment/>
    </xf>
    <xf numFmtId="0" fontId="3" fillId="0" borderId="33" xfId="0" applyFont="1" applyBorder="1" applyAlignment="1">
      <alignment/>
    </xf>
    <xf numFmtId="164" fontId="22" fillId="37" borderId="157" xfId="0" applyNumberFormat="1" applyFont="1" applyFill="1" applyBorder="1" applyAlignment="1" applyProtection="1">
      <alignment horizontal="right" vertical="center"/>
      <protection/>
    </xf>
    <xf numFmtId="164" fontId="22" fillId="37" borderId="158" xfId="0" applyNumberFormat="1" applyFont="1" applyFill="1" applyBorder="1" applyAlignment="1" applyProtection="1">
      <alignment horizontal="right" vertical="center"/>
      <protection/>
    </xf>
    <xf numFmtId="164" fontId="22" fillId="37" borderId="159" xfId="0" applyNumberFormat="1" applyFont="1" applyFill="1" applyBorder="1" applyAlignment="1" applyProtection="1">
      <alignment horizontal="right" vertical="center"/>
      <protection/>
    </xf>
    <xf numFmtId="164" fontId="22" fillId="37" borderId="160" xfId="0" applyNumberFormat="1" applyFont="1" applyFill="1" applyBorder="1" applyAlignment="1" applyProtection="1">
      <alignment horizontal="right" vertical="center"/>
      <protection/>
    </xf>
    <xf numFmtId="164" fontId="22" fillId="37" borderId="161" xfId="0" applyNumberFormat="1" applyFont="1" applyFill="1" applyBorder="1" applyAlignment="1" applyProtection="1">
      <alignment horizontal="right" vertical="center"/>
      <protection/>
    </xf>
    <xf numFmtId="164" fontId="20" fillId="0" borderId="69" xfId="0" applyNumberFormat="1" applyFont="1" applyFill="1" applyBorder="1" applyAlignment="1" applyProtection="1">
      <alignment horizontal="right" vertical="center"/>
      <protection/>
    </xf>
    <xf numFmtId="164" fontId="20" fillId="0" borderId="53" xfId="0" applyNumberFormat="1" applyFont="1" applyFill="1" applyBorder="1" applyAlignment="1" applyProtection="1">
      <alignment horizontal="right" vertical="center"/>
      <protection/>
    </xf>
    <xf numFmtId="164" fontId="22" fillId="37" borderId="162" xfId="0" applyNumberFormat="1" applyFont="1" applyFill="1" applyBorder="1" applyAlignment="1" applyProtection="1">
      <alignment horizontal="right" vertical="center"/>
      <protection/>
    </xf>
    <xf numFmtId="164" fontId="22" fillId="37" borderId="163" xfId="0" applyNumberFormat="1" applyFont="1" applyFill="1" applyBorder="1" applyAlignment="1" applyProtection="1">
      <alignment horizontal="right" vertical="center"/>
      <protection/>
    </xf>
    <xf numFmtId="0" fontId="34" fillId="0" borderId="69" xfId="0" applyFont="1" applyFill="1" applyBorder="1" applyAlignment="1" applyProtection="1">
      <alignment horizontal="center" vertical="center"/>
      <protection/>
    </xf>
    <xf numFmtId="0" fontId="34" fillId="0" borderId="68" xfId="0" applyFont="1" applyFill="1" applyBorder="1" applyAlignment="1" applyProtection="1">
      <alignment horizontal="center" vertical="center"/>
      <protection/>
    </xf>
    <xf numFmtId="164" fontId="22" fillId="37" borderId="164" xfId="0" applyNumberFormat="1" applyFont="1" applyFill="1" applyBorder="1" applyAlignment="1" applyProtection="1">
      <alignment horizontal="right" vertical="center"/>
      <protection/>
    </xf>
    <xf numFmtId="0" fontId="49" fillId="0" borderId="131" xfId="0" applyFont="1" applyFill="1" applyBorder="1" applyAlignment="1" applyProtection="1">
      <alignment horizontal="right" vertical="center" wrapText="1" indent="1"/>
      <protection/>
    </xf>
    <xf numFmtId="0" fontId="49" fillId="0" borderId="83" xfId="0" applyFont="1" applyFill="1" applyBorder="1" applyAlignment="1" applyProtection="1">
      <alignment horizontal="right" vertical="center" wrapText="1" indent="1"/>
      <protection/>
    </xf>
    <xf numFmtId="0" fontId="49" fillId="0" borderId="129" xfId="0" applyFont="1" applyFill="1" applyBorder="1" applyAlignment="1" applyProtection="1">
      <alignment horizontal="right" vertical="center" wrapText="1" indent="1"/>
      <protection/>
    </xf>
    <xf numFmtId="0" fontId="34" fillId="0" borderId="134" xfId="0" applyFont="1" applyFill="1" applyBorder="1" applyAlignment="1" applyProtection="1">
      <alignment horizontal="right" vertical="center" indent="1"/>
      <protection/>
    </xf>
    <xf numFmtId="0" fontId="34" fillId="0" borderId="24" xfId="0" applyFont="1" applyFill="1" applyBorder="1" applyAlignment="1" applyProtection="1">
      <alignment horizontal="right" vertical="center" indent="1"/>
      <protection/>
    </xf>
    <xf numFmtId="0" fontId="34" fillId="0" borderId="135" xfId="0" applyFont="1" applyFill="1" applyBorder="1" applyAlignment="1" applyProtection="1">
      <alignment horizontal="right" vertical="center" indent="1"/>
      <protection/>
    </xf>
    <xf numFmtId="0" fontId="3" fillId="0" borderId="125" xfId="0" applyFont="1" applyBorder="1" applyAlignment="1">
      <alignment horizontal="center" vertical="center"/>
    </xf>
    <xf numFmtId="0" fontId="3" fillId="37" borderId="128" xfId="0" applyFont="1" applyFill="1" applyBorder="1" applyAlignment="1" applyProtection="1">
      <alignment horizontal="left" vertical="center" wrapText="1" indent="1"/>
      <protection locked="0"/>
    </xf>
    <xf numFmtId="0" fontId="3" fillId="37" borderId="83" xfId="0" applyFont="1" applyFill="1" applyBorder="1" applyAlignment="1" applyProtection="1">
      <alignment horizontal="left" vertical="center" wrapText="1" indent="1"/>
      <protection locked="0"/>
    </xf>
    <xf numFmtId="0" fontId="3" fillId="37" borderId="129" xfId="0" applyFont="1" applyFill="1" applyBorder="1" applyAlignment="1" applyProtection="1">
      <alignment horizontal="left" vertical="center" wrapText="1" indent="1"/>
      <protection locked="0"/>
    </xf>
    <xf numFmtId="0" fontId="3" fillId="0" borderId="136" xfId="0" applyFont="1" applyBorder="1" applyAlignment="1" applyProtection="1">
      <alignment horizontal="left" vertical="center" indent="1"/>
      <protection locked="0"/>
    </xf>
    <xf numFmtId="0" fontId="3" fillId="0" borderId="24" xfId="0" applyFont="1" applyBorder="1" applyAlignment="1" applyProtection="1">
      <alignment horizontal="left" vertical="center" indent="1"/>
      <protection locked="0"/>
    </xf>
    <xf numFmtId="0" fontId="3" fillId="0" borderId="135" xfId="0" applyFont="1" applyBorder="1" applyAlignment="1" applyProtection="1">
      <alignment horizontal="left" vertical="center" indent="1"/>
      <protection locked="0"/>
    </xf>
    <xf numFmtId="0" fontId="47" fillId="0" borderId="29" xfId="0" applyFont="1" applyFill="1" applyBorder="1" applyAlignment="1" applyProtection="1">
      <alignment horizontal="left" vertical="center"/>
      <protection/>
    </xf>
    <xf numFmtId="0" fontId="47" fillId="0" borderId="21" xfId="0" applyFont="1" applyFill="1" applyBorder="1" applyAlignment="1" applyProtection="1">
      <alignment horizontal="left" vertical="center"/>
      <protection/>
    </xf>
    <xf numFmtId="0" fontId="3" fillId="37" borderId="128" xfId="0" applyFont="1" applyFill="1" applyBorder="1" applyAlignment="1" applyProtection="1">
      <alignment horizontal="right" vertical="center" wrapText="1" indent="1"/>
      <protection locked="0"/>
    </xf>
    <xf numFmtId="0" fontId="3" fillId="37" borderId="83" xfId="0" applyFont="1" applyFill="1" applyBorder="1" applyAlignment="1" applyProtection="1">
      <alignment horizontal="right" vertical="center" wrapText="1" indent="1"/>
      <protection locked="0"/>
    </xf>
    <xf numFmtId="0" fontId="3" fillId="37" borderId="84" xfId="0" applyFont="1" applyFill="1" applyBorder="1" applyAlignment="1" applyProtection="1">
      <alignment horizontal="right" vertical="center" wrapText="1" indent="1"/>
      <protection locked="0"/>
    </xf>
    <xf numFmtId="0" fontId="3" fillId="0" borderId="136" xfId="0" applyFont="1" applyFill="1" applyBorder="1" applyAlignment="1" applyProtection="1">
      <alignment horizontal="left" vertical="center" wrapText="1" indent="1"/>
      <protection locked="0"/>
    </xf>
    <xf numFmtId="0" fontId="3" fillId="0" borderId="24" xfId="0" applyFont="1" applyFill="1" applyBorder="1" applyAlignment="1" applyProtection="1">
      <alignment horizontal="left" vertical="center" wrapText="1" indent="1"/>
      <protection locked="0"/>
    </xf>
    <xf numFmtId="0" fontId="3" fillId="0" borderId="135" xfId="0" applyFont="1" applyFill="1" applyBorder="1" applyAlignment="1" applyProtection="1">
      <alignment horizontal="left" vertical="center" wrapText="1" indent="1"/>
      <protection locked="0"/>
    </xf>
    <xf numFmtId="0" fontId="34" fillId="0" borderId="165"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154" xfId="0" applyFont="1" applyBorder="1" applyAlignment="1">
      <alignment horizontal="center" vertical="center" wrapText="1"/>
    </xf>
    <xf numFmtId="0" fontId="34" fillId="0" borderId="16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156" xfId="0" applyFont="1" applyBorder="1" applyAlignment="1">
      <alignment horizontal="center" vertical="center" wrapText="1"/>
    </xf>
    <xf numFmtId="164" fontId="21" fillId="0" borderId="54" xfId="0" applyNumberFormat="1" applyFont="1" applyFill="1" applyBorder="1" applyAlignment="1" applyProtection="1">
      <alignment horizontal="center" vertical="center"/>
      <protection/>
    </xf>
    <xf numFmtId="14" fontId="3" fillId="0" borderId="136" xfId="0" applyNumberFormat="1" applyFont="1" applyBorder="1" applyAlignment="1" applyProtection="1">
      <alignment horizontal="left" vertical="center" indent="1"/>
      <protection locked="0"/>
    </xf>
    <xf numFmtId="14" fontId="3" fillId="0" borderId="24" xfId="0" applyNumberFormat="1" applyFont="1" applyBorder="1" applyAlignment="1" applyProtection="1">
      <alignment horizontal="left" vertical="center" indent="1"/>
      <protection locked="0"/>
    </xf>
    <xf numFmtId="14" fontId="3" fillId="0" borderId="142" xfId="0" applyNumberFormat="1" applyFont="1" applyBorder="1" applyAlignment="1" applyProtection="1">
      <alignment horizontal="left" vertical="center" indent="1"/>
      <protection locked="0"/>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20" fillId="0" borderId="35" xfId="0" applyFont="1" applyFill="1" applyBorder="1" applyAlignment="1" applyProtection="1">
      <alignment horizontal="left" vertical="center" indent="1"/>
      <protection/>
    </xf>
    <xf numFmtId="0" fontId="20" fillId="0" borderId="68" xfId="0" applyFont="1" applyFill="1" applyBorder="1" applyAlignment="1" applyProtection="1">
      <alignment horizontal="left" vertical="center" indent="1"/>
      <protection/>
    </xf>
    <xf numFmtId="167" fontId="34" fillId="52" borderId="167" xfId="0" applyNumberFormat="1" applyFont="1" applyFill="1" applyBorder="1" applyAlignment="1" applyProtection="1">
      <alignment horizontal="right" vertical="center"/>
      <protection/>
    </xf>
    <xf numFmtId="0" fontId="34" fillId="0" borderId="69" xfId="0" applyFont="1" applyFill="1" applyBorder="1" applyAlignment="1" applyProtection="1">
      <alignment horizontal="right" vertical="center"/>
      <protection/>
    </xf>
    <xf numFmtId="164" fontId="20" fillId="37" borderId="144" xfId="0" applyNumberFormat="1" applyFont="1" applyFill="1" applyBorder="1" applyAlignment="1" applyProtection="1">
      <alignment horizontal="right" vertical="center"/>
      <protection locked="0"/>
    </xf>
    <xf numFmtId="49" fontId="20" fillId="37" borderId="40" xfId="0" applyNumberFormat="1" applyFont="1" applyFill="1" applyBorder="1" applyAlignment="1" applyProtection="1">
      <alignment horizontal="center" vertical="center"/>
      <protection locked="0"/>
    </xf>
    <xf numFmtId="49" fontId="20" fillId="37" borderId="144" xfId="0" applyNumberFormat="1" applyFont="1" applyFill="1" applyBorder="1" applyAlignment="1" applyProtection="1">
      <alignment horizontal="center" vertical="center"/>
      <protection locked="0"/>
    </xf>
    <xf numFmtId="0" fontId="20" fillId="0" borderId="59" xfId="0" applyFont="1" applyFill="1" applyBorder="1" applyAlignment="1" applyProtection="1">
      <alignment horizontal="center" vertical="center"/>
      <protection/>
    </xf>
    <xf numFmtId="49" fontId="19" fillId="37" borderId="128" xfId="0" applyNumberFormat="1" applyFont="1" applyFill="1" applyBorder="1" applyAlignment="1" applyProtection="1">
      <alignment horizontal="right" vertical="center" indent="1"/>
      <protection locked="0"/>
    </xf>
    <xf numFmtId="49" fontId="19" fillId="37" borderId="83" xfId="0" applyNumberFormat="1" applyFont="1" applyFill="1" applyBorder="1" applyAlignment="1" applyProtection="1">
      <alignment horizontal="right" vertical="center" indent="1"/>
      <protection locked="0"/>
    </xf>
    <xf numFmtId="49" fontId="19" fillId="37" borderId="129" xfId="0" applyNumberFormat="1" applyFont="1" applyFill="1" applyBorder="1" applyAlignment="1" applyProtection="1">
      <alignment horizontal="right" vertical="center" indent="1"/>
      <protection locked="0"/>
    </xf>
    <xf numFmtId="0" fontId="56" fillId="0" borderId="63" xfId="0" applyFont="1" applyBorder="1" applyAlignment="1">
      <alignment vertical="center"/>
    </xf>
    <xf numFmtId="0" fontId="56" fillId="0" borderId="67" xfId="0" applyFont="1" applyBorder="1" applyAlignment="1">
      <alignment vertical="center"/>
    </xf>
    <xf numFmtId="0" fontId="56" fillId="0" borderId="62" xfId="0" applyFont="1" applyBorder="1" applyAlignment="1">
      <alignment vertical="center"/>
    </xf>
    <xf numFmtId="166" fontId="34" fillId="52" borderId="167" xfId="0" applyNumberFormat="1" applyFont="1" applyFill="1" applyBorder="1" applyAlignment="1" applyProtection="1">
      <alignment horizontal="right" vertical="center"/>
      <protection/>
    </xf>
    <xf numFmtId="14" fontId="22" fillId="37" borderId="26" xfId="0" applyNumberFormat="1" applyFont="1" applyFill="1" applyBorder="1" applyAlignment="1" applyProtection="1">
      <alignment horizontal="right"/>
      <protection locked="0"/>
    </xf>
    <xf numFmtId="0" fontId="3" fillId="0" borderId="0" xfId="0" applyFont="1" applyFill="1" applyBorder="1" applyAlignment="1">
      <alignment/>
    </xf>
    <xf numFmtId="0" fontId="3" fillId="0" borderId="26" xfId="0" applyFont="1" applyBorder="1" applyAlignment="1">
      <alignment/>
    </xf>
    <xf numFmtId="0" fontId="20" fillId="0" borderId="92" xfId="0" applyFont="1" applyFill="1" applyBorder="1" applyAlignment="1" applyProtection="1">
      <alignment vertical="center"/>
      <protection/>
    </xf>
    <xf numFmtId="0" fontId="20" fillId="0" borderId="93" xfId="0" applyFont="1" applyFill="1" applyBorder="1" applyAlignment="1" applyProtection="1">
      <alignment vertical="center"/>
      <protection/>
    </xf>
    <xf numFmtId="0" fontId="20" fillId="0" borderId="99" xfId="0" applyFont="1" applyFill="1" applyBorder="1" applyAlignment="1" applyProtection="1">
      <alignment vertical="center"/>
      <protection/>
    </xf>
    <xf numFmtId="0" fontId="2" fillId="0" borderId="0" xfId="0" applyFont="1" applyAlignment="1">
      <alignment/>
    </xf>
    <xf numFmtId="0" fontId="19" fillId="0" borderId="0" xfId="0" applyFont="1" applyAlignment="1">
      <alignment/>
    </xf>
    <xf numFmtId="49" fontId="20" fillId="37" borderId="128" xfId="0" applyNumberFormat="1" applyFont="1" applyFill="1" applyBorder="1" applyAlignment="1" applyProtection="1">
      <alignment horizontal="right" vertical="center" indent="1"/>
      <protection locked="0"/>
    </xf>
    <xf numFmtId="49" fontId="20" fillId="37" borderId="83" xfId="0" applyNumberFormat="1" applyFont="1" applyFill="1" applyBorder="1" applyAlignment="1" applyProtection="1">
      <alignment horizontal="right" vertical="center" indent="1"/>
      <protection locked="0"/>
    </xf>
    <xf numFmtId="49" fontId="20" fillId="37" borderId="84" xfId="0" applyNumberFormat="1" applyFont="1" applyFill="1" applyBorder="1" applyAlignment="1" applyProtection="1">
      <alignment horizontal="right" vertical="center" indent="1"/>
      <protection locked="0"/>
    </xf>
    <xf numFmtId="49" fontId="19" fillId="37" borderId="128" xfId="0" applyNumberFormat="1" applyFont="1" applyFill="1" applyBorder="1" applyAlignment="1" applyProtection="1">
      <alignment horizontal="right" vertical="center" wrapText="1" indent="1"/>
      <protection locked="0"/>
    </xf>
    <xf numFmtId="49" fontId="19" fillId="37" borderId="83" xfId="0" applyNumberFormat="1" applyFont="1" applyFill="1" applyBorder="1" applyAlignment="1" applyProtection="1">
      <alignment horizontal="right" vertical="center" wrapText="1" indent="1"/>
      <protection locked="0"/>
    </xf>
    <xf numFmtId="49" fontId="19" fillId="37" borderId="129" xfId="0" applyNumberFormat="1" applyFont="1" applyFill="1" applyBorder="1" applyAlignment="1" applyProtection="1">
      <alignment horizontal="right" vertical="center" wrapText="1" indent="1"/>
      <protection locked="0"/>
    </xf>
    <xf numFmtId="0" fontId="20" fillId="0" borderId="0" xfId="0" applyFont="1" applyFill="1" applyBorder="1" applyAlignment="1" applyProtection="1">
      <alignment horizontal="left" vertical="center" indent="2"/>
      <protection/>
    </xf>
    <xf numFmtId="0" fontId="34" fillId="0" borderId="131" xfId="0" applyFont="1" applyFill="1" applyBorder="1" applyAlignment="1" applyProtection="1">
      <alignment horizontal="right" vertical="center" indent="1"/>
      <protection/>
    </xf>
    <xf numFmtId="0" fontId="34" fillId="0" borderId="83" xfId="0" applyFont="1" applyFill="1" applyBorder="1" applyAlignment="1" applyProtection="1">
      <alignment horizontal="right" vertical="center" indent="1"/>
      <protection/>
    </xf>
    <xf numFmtId="0" fontId="34" fillId="0" borderId="129" xfId="0" applyFont="1" applyFill="1" applyBorder="1" applyAlignment="1" applyProtection="1">
      <alignment horizontal="right" vertical="center" indent="1"/>
      <protection/>
    </xf>
    <xf numFmtId="164" fontId="19" fillId="37" borderId="116" xfId="0" applyNumberFormat="1" applyFont="1" applyFill="1" applyBorder="1" applyAlignment="1" applyProtection="1">
      <alignment horizontal="right" vertical="center"/>
      <protection locked="0"/>
    </xf>
    <xf numFmtId="164" fontId="19" fillId="37" borderId="29" xfId="0" applyNumberFormat="1" applyFont="1" applyFill="1" applyBorder="1" applyAlignment="1" applyProtection="1">
      <alignment horizontal="right" vertical="center"/>
      <protection locked="0"/>
    </xf>
    <xf numFmtId="164" fontId="19" fillId="37" borderId="122" xfId="0" applyNumberFormat="1" applyFont="1" applyFill="1" applyBorder="1" applyAlignment="1" applyProtection="1">
      <alignment horizontal="right" vertical="center"/>
      <protection locked="0"/>
    </xf>
    <xf numFmtId="14" fontId="3" fillId="37" borderId="26" xfId="0" applyNumberFormat="1" applyFont="1" applyFill="1" applyBorder="1" applyAlignment="1" applyProtection="1">
      <alignment/>
      <protection locked="0"/>
    </xf>
    <xf numFmtId="0" fontId="22" fillId="0" borderId="0" xfId="0" applyFont="1" applyAlignment="1">
      <alignment vertical="center"/>
    </xf>
    <xf numFmtId="164" fontId="19" fillId="37" borderId="113" xfId="0" applyNumberFormat="1" applyFont="1" applyFill="1" applyBorder="1" applyAlignment="1" applyProtection="1">
      <alignment horizontal="right" vertical="center"/>
      <protection locked="0"/>
    </xf>
    <xf numFmtId="164" fontId="19" fillId="37" borderId="114" xfId="0" applyNumberFormat="1" applyFont="1" applyFill="1" applyBorder="1" applyAlignment="1" applyProtection="1">
      <alignment horizontal="right" vertical="center"/>
      <protection locked="0"/>
    </xf>
    <xf numFmtId="164" fontId="19" fillId="37" borderId="117" xfId="0" applyNumberFormat="1" applyFont="1" applyFill="1" applyBorder="1" applyAlignment="1" applyProtection="1">
      <alignment horizontal="right" vertical="center"/>
      <protection locked="0"/>
    </xf>
    <xf numFmtId="164" fontId="19" fillId="0" borderId="116" xfId="0" applyNumberFormat="1" applyFont="1" applyFill="1" applyBorder="1" applyAlignment="1" applyProtection="1">
      <alignment horizontal="right" vertical="center"/>
      <protection/>
    </xf>
    <xf numFmtId="164" fontId="19" fillId="0" borderId="29" xfId="0" applyNumberFormat="1" applyFont="1" applyFill="1" applyBorder="1" applyAlignment="1" applyProtection="1">
      <alignment horizontal="right" vertical="center"/>
      <protection/>
    </xf>
    <xf numFmtId="164" fontId="19" fillId="0" borderId="122" xfId="0" applyNumberFormat="1" applyFont="1" applyFill="1" applyBorder="1" applyAlignment="1" applyProtection="1">
      <alignment horizontal="right" vertical="center"/>
      <protection/>
    </xf>
    <xf numFmtId="0" fontId="20" fillId="38" borderId="168" xfId="0" applyFont="1" applyFill="1" applyBorder="1" applyAlignment="1" applyProtection="1">
      <alignment horizontal="right" vertical="center"/>
      <protection/>
    </xf>
    <xf numFmtId="0" fontId="3" fillId="0" borderId="106" xfId="0" applyFont="1" applyBorder="1" applyAlignment="1">
      <alignment horizontal="center" vertical="center"/>
    </xf>
    <xf numFmtId="0" fontId="3" fillId="0" borderId="69" xfId="0" applyFont="1" applyBorder="1" applyAlignment="1">
      <alignment horizontal="center" vertical="center"/>
    </xf>
    <xf numFmtId="0" fontId="3" fillId="0" borderId="169" xfId="0" applyFont="1" applyBorder="1" applyAlignment="1">
      <alignment horizontal="center" vertical="center"/>
    </xf>
    <xf numFmtId="0" fontId="3" fillId="0" borderId="168" xfId="0" applyFont="1" applyBorder="1" applyAlignment="1">
      <alignment horizontal="center" vertical="center"/>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62" fillId="0" borderId="33" xfId="0" applyFont="1" applyBorder="1" applyAlignment="1">
      <alignment horizontal="center" vertical="center"/>
    </xf>
    <xf numFmtId="0" fontId="3" fillId="0" borderId="63" xfId="0" applyFont="1" applyBorder="1" applyAlignment="1">
      <alignment vertical="center"/>
    </xf>
    <xf numFmtId="0" fontId="3" fillId="0" borderId="67" xfId="0" applyFont="1" applyBorder="1" applyAlignment="1">
      <alignment vertical="center"/>
    </xf>
    <xf numFmtId="0" fontId="3" fillId="0" borderId="62" xfId="0" applyFont="1" applyBorder="1" applyAlignment="1">
      <alignment vertical="center"/>
    </xf>
    <xf numFmtId="14" fontId="3" fillId="37" borderId="35" xfId="0" applyNumberFormat="1" applyFont="1" applyFill="1" applyBorder="1" applyAlignment="1" applyProtection="1">
      <alignment horizontal="right" vertical="center"/>
      <protection locked="0"/>
    </xf>
    <xf numFmtId="14" fontId="3" fillId="37" borderId="68" xfId="0" applyNumberFormat="1" applyFont="1" applyFill="1" applyBorder="1" applyAlignment="1" applyProtection="1">
      <alignment horizontal="right" vertical="center"/>
      <protection locked="0"/>
    </xf>
    <xf numFmtId="0" fontId="20" fillId="37" borderId="78" xfId="0" applyFont="1" applyFill="1" applyBorder="1" applyAlignment="1" applyProtection="1">
      <alignment horizontal="left" vertical="center"/>
      <protection locked="0"/>
    </xf>
    <xf numFmtId="0" fontId="20" fillId="37" borderId="170" xfId="0" applyFont="1" applyFill="1" applyBorder="1" applyAlignment="1" applyProtection="1">
      <alignment horizontal="left" vertical="center"/>
      <protection locked="0"/>
    </xf>
    <xf numFmtId="0" fontId="20" fillId="37" borderId="171" xfId="0" applyFont="1" applyFill="1" applyBorder="1" applyAlignment="1" applyProtection="1">
      <alignment horizontal="left" vertical="center"/>
      <protection locked="0"/>
    </xf>
    <xf numFmtId="0" fontId="20" fillId="37" borderId="172" xfId="0" applyFont="1" applyFill="1" applyBorder="1" applyAlignment="1" applyProtection="1">
      <alignment horizontal="left" vertical="center"/>
      <protection locked="0"/>
    </xf>
    <xf numFmtId="0" fontId="6" fillId="0" borderId="0" xfId="0" applyFont="1" applyAlignment="1" quotePrefix="1">
      <alignment horizontal="center" vertical="top"/>
    </xf>
    <xf numFmtId="0" fontId="6" fillId="0" borderId="0" xfId="0" applyFont="1" applyAlignment="1">
      <alignment horizontal="center" vertical="top"/>
    </xf>
    <xf numFmtId="0" fontId="21" fillId="0" borderId="58" xfId="0" applyFont="1" applyBorder="1" applyAlignment="1">
      <alignment vertical="center"/>
    </xf>
    <xf numFmtId="0" fontId="21" fillId="0" borderId="59" xfId="0" applyFont="1" applyBorder="1" applyAlignment="1">
      <alignment vertical="center"/>
    </xf>
    <xf numFmtId="0" fontId="21" fillId="0" borderId="60" xfId="0" applyFont="1" applyBorder="1" applyAlignment="1">
      <alignment vertical="center"/>
    </xf>
    <xf numFmtId="0" fontId="3" fillId="0" borderId="148" xfId="0" applyFont="1" applyBorder="1" applyAlignment="1">
      <alignment horizontal="center" vertical="center" wrapText="1"/>
    </xf>
    <xf numFmtId="0" fontId="3" fillId="0" borderId="173" xfId="0" applyFont="1" applyBorder="1" applyAlignment="1">
      <alignment horizontal="center" vertical="center" wrapText="1"/>
    </xf>
    <xf numFmtId="14" fontId="3" fillId="37" borderId="106" xfId="0" applyNumberFormat="1" applyFont="1" applyFill="1" applyBorder="1" applyAlignment="1" applyProtection="1">
      <alignment horizontal="right" vertical="center"/>
      <protection locked="0"/>
    </xf>
    <xf numFmtId="14" fontId="3" fillId="37" borderId="69" xfId="0" applyNumberFormat="1" applyFont="1" applyFill="1" applyBorder="1" applyAlignment="1" applyProtection="1">
      <alignment horizontal="right" vertical="center"/>
      <protection locked="0"/>
    </xf>
    <xf numFmtId="0" fontId="20" fillId="37" borderId="69" xfId="0" applyFont="1" applyFill="1" applyBorder="1" applyAlignment="1" applyProtection="1">
      <alignment horizontal="center" vertical="center"/>
      <protection locked="0"/>
    </xf>
    <xf numFmtId="0" fontId="20" fillId="37" borderId="68" xfId="0" applyFont="1" applyFill="1" applyBorder="1" applyAlignment="1" applyProtection="1">
      <alignment horizontal="center" vertical="center"/>
      <protection locked="0"/>
    </xf>
    <xf numFmtId="164" fontId="20" fillId="0" borderId="68" xfId="0" applyNumberFormat="1" applyFont="1" applyFill="1" applyBorder="1" applyAlignment="1" applyProtection="1">
      <alignment horizontal="right" vertical="center"/>
      <protection/>
    </xf>
    <xf numFmtId="164" fontId="20" fillId="0" borderId="116" xfId="0" applyNumberFormat="1" applyFont="1" applyFill="1" applyBorder="1" applyAlignment="1" applyProtection="1">
      <alignment horizontal="right" vertical="center"/>
      <protection/>
    </xf>
    <xf numFmtId="164" fontId="20" fillId="37" borderId="106" xfId="0" applyNumberFormat="1" applyFont="1" applyFill="1" applyBorder="1" applyAlignment="1" applyProtection="1">
      <alignment horizontal="right" vertical="center"/>
      <protection locked="0"/>
    </xf>
    <xf numFmtId="164" fontId="20" fillId="37" borderId="69" xfId="0" applyNumberFormat="1" applyFont="1" applyFill="1" applyBorder="1" applyAlignment="1" applyProtection="1">
      <alignment horizontal="right" vertical="center"/>
      <protection locked="0"/>
    </xf>
    <xf numFmtId="164" fontId="20" fillId="37" borderId="35" xfId="0" applyNumberFormat="1" applyFont="1" applyFill="1" applyBorder="1" applyAlignment="1" applyProtection="1">
      <alignment horizontal="right" vertical="center"/>
      <protection locked="0"/>
    </xf>
    <xf numFmtId="164" fontId="22" fillId="38" borderId="167" xfId="0" applyNumberFormat="1" applyFont="1" applyFill="1" applyBorder="1" applyAlignment="1" applyProtection="1">
      <alignment horizontal="right" vertical="center"/>
      <protection/>
    </xf>
    <xf numFmtId="164" fontId="22" fillId="38" borderId="20" xfId="0" applyNumberFormat="1" applyFont="1" applyFill="1" applyBorder="1" applyAlignment="1" applyProtection="1">
      <alignment horizontal="right" vertical="center"/>
      <protection/>
    </xf>
    <xf numFmtId="164" fontId="22" fillId="37" borderId="174" xfId="0" applyNumberFormat="1" applyFont="1" applyFill="1" applyBorder="1" applyAlignment="1" applyProtection="1">
      <alignment horizontal="right" vertical="center"/>
      <protection/>
    </xf>
    <xf numFmtId="164" fontId="22" fillId="37" borderId="175" xfId="0" applyNumberFormat="1" applyFont="1" applyFill="1" applyBorder="1" applyAlignment="1" applyProtection="1">
      <alignment horizontal="right" vertical="center"/>
      <protection/>
    </xf>
    <xf numFmtId="164" fontId="22" fillId="37" borderId="176" xfId="0" applyNumberFormat="1" applyFont="1" applyFill="1" applyBorder="1" applyAlignment="1" applyProtection="1">
      <alignment horizontal="right" vertical="center"/>
      <protection/>
    </xf>
    <xf numFmtId="0" fontId="34" fillId="0" borderId="121" xfId="0" applyFont="1" applyBorder="1" applyAlignment="1">
      <alignment horizontal="center" vertical="center"/>
    </xf>
    <xf numFmtId="0" fontId="34" fillId="0" borderId="93" xfId="0" applyFont="1" applyBorder="1" applyAlignment="1">
      <alignment horizontal="center" vertical="center"/>
    </xf>
    <xf numFmtId="0" fontId="34" fillId="0" borderId="99" xfId="0" applyFont="1" applyBorder="1" applyAlignment="1">
      <alignment horizontal="center" vertical="center"/>
    </xf>
    <xf numFmtId="0" fontId="2" fillId="0" borderId="38" xfId="0" applyFont="1" applyBorder="1" applyAlignment="1">
      <alignment/>
    </xf>
    <xf numFmtId="0" fontId="2" fillId="0" borderId="55" xfId="0" applyFont="1" applyBorder="1" applyAlignment="1">
      <alignment/>
    </xf>
    <xf numFmtId="0" fontId="2" fillId="0" borderId="56" xfId="0" applyFont="1" applyBorder="1" applyAlignment="1">
      <alignment/>
    </xf>
    <xf numFmtId="0" fontId="47" fillId="0" borderId="67" xfId="0" applyFont="1" applyBorder="1" applyAlignment="1" quotePrefix="1">
      <alignment vertical="center" wrapText="1"/>
    </xf>
    <xf numFmtId="0" fontId="47" fillId="0" borderId="67" xfId="0" applyFont="1" applyBorder="1" applyAlignment="1">
      <alignment vertical="center" wrapText="1"/>
    </xf>
    <xf numFmtId="0" fontId="47" fillId="0" borderId="62" xfId="0" applyFont="1" applyBorder="1" applyAlignment="1">
      <alignment vertical="center" wrapText="1"/>
    </xf>
    <xf numFmtId="164" fontId="21" fillId="0" borderId="55" xfId="0" applyNumberFormat="1" applyFont="1" applyBorder="1" applyAlignment="1">
      <alignment horizontal="right" vertical="center"/>
    </xf>
    <xf numFmtId="164" fontId="21" fillId="0" borderId="56" xfId="0" applyNumberFormat="1" applyFont="1" applyBorder="1" applyAlignment="1">
      <alignment horizontal="right" vertical="center"/>
    </xf>
    <xf numFmtId="0" fontId="21" fillId="0" borderId="63" xfId="0" applyFont="1" applyBorder="1" applyAlignment="1">
      <alignment vertical="center"/>
    </xf>
    <xf numFmtId="0" fontId="21" fillId="0" borderId="67" xfId="0" applyFont="1" applyBorder="1" applyAlignment="1">
      <alignment vertical="center"/>
    </xf>
    <xf numFmtId="164" fontId="22" fillId="0" borderId="177" xfId="0" applyNumberFormat="1" applyFont="1" applyBorder="1" applyAlignment="1">
      <alignment horizontal="right"/>
    </xf>
    <xf numFmtId="164" fontId="22" fillId="0" borderId="178" xfId="0" applyNumberFormat="1" applyFont="1" applyBorder="1" applyAlignment="1">
      <alignment horizontal="right"/>
    </xf>
    <xf numFmtId="0" fontId="21" fillId="0" borderId="179" xfId="0" applyFont="1" applyBorder="1" applyAlignment="1">
      <alignment horizontal="center"/>
    </xf>
    <xf numFmtId="0" fontId="3" fillId="0" borderId="178" xfId="0" applyFont="1" applyBorder="1" applyAlignment="1">
      <alignment horizontal="center"/>
    </xf>
    <xf numFmtId="0" fontId="20" fillId="38" borderId="180" xfId="0" applyFont="1" applyFill="1" applyBorder="1" applyAlignment="1" applyProtection="1">
      <alignment horizontal="right" vertical="center"/>
      <protection/>
    </xf>
    <xf numFmtId="164" fontId="22" fillId="0" borderId="181" xfId="0" applyNumberFormat="1" applyFont="1" applyFill="1" applyBorder="1" applyAlignment="1">
      <alignment horizontal="right"/>
    </xf>
    <xf numFmtId="164" fontId="22" fillId="0" borderId="167" xfId="0" applyNumberFormat="1" applyFont="1" applyFill="1" applyBorder="1" applyAlignment="1">
      <alignment horizontal="right"/>
    </xf>
    <xf numFmtId="164" fontId="22" fillId="0" borderId="123" xfId="0" applyNumberFormat="1" applyFont="1" applyFill="1" applyBorder="1" applyAlignment="1">
      <alignment horizontal="right"/>
    </xf>
    <xf numFmtId="164" fontId="22" fillId="0" borderId="179" xfId="0" applyNumberFormat="1" applyFont="1" applyBorder="1" applyAlignment="1">
      <alignment horizontal="right"/>
    </xf>
    <xf numFmtId="0" fontId="20" fillId="0" borderId="168" xfId="0" applyFont="1" applyBorder="1" applyAlignment="1" applyProtection="1">
      <alignment horizontal="right" vertical="center"/>
      <protection/>
    </xf>
    <xf numFmtId="0" fontId="20" fillId="0" borderId="182" xfId="0" applyFont="1" applyBorder="1" applyAlignment="1" applyProtection="1">
      <alignment horizontal="right" vertical="center"/>
      <protection/>
    </xf>
    <xf numFmtId="0" fontId="3" fillId="0" borderId="182" xfId="0" applyFont="1" applyBorder="1" applyAlignment="1">
      <alignment horizontal="center" vertical="center"/>
    </xf>
    <xf numFmtId="0" fontId="3" fillId="0" borderId="168" xfId="0" applyFont="1" applyBorder="1" applyAlignment="1">
      <alignment horizontal="center" vertical="center" wrapText="1"/>
    </xf>
    <xf numFmtId="164" fontId="20" fillId="0" borderId="15" xfId="0" applyNumberFormat="1" applyFont="1" applyFill="1" applyBorder="1" applyAlignment="1" applyProtection="1">
      <alignment horizontal="right" vertical="center"/>
      <protection/>
    </xf>
    <xf numFmtId="164" fontId="20" fillId="0" borderId="125" xfId="0" applyNumberFormat="1" applyFont="1" applyFill="1" applyBorder="1" applyAlignment="1" applyProtection="1">
      <alignment horizontal="right" vertical="center"/>
      <protection/>
    </xf>
    <xf numFmtId="164" fontId="20" fillId="0" borderId="126" xfId="0" applyNumberFormat="1" applyFont="1" applyFill="1" applyBorder="1" applyAlignment="1" applyProtection="1">
      <alignment horizontal="right" vertical="center"/>
      <protection/>
    </xf>
    <xf numFmtId="164" fontId="20" fillId="37" borderId="127" xfId="0" applyNumberFormat="1" applyFont="1" applyFill="1" applyBorder="1" applyAlignment="1" applyProtection="1">
      <alignment horizontal="right" vertical="center"/>
      <protection locked="0"/>
    </xf>
    <xf numFmtId="0" fontId="3" fillId="0" borderId="102" xfId="0" applyFont="1" applyBorder="1" applyAlignment="1">
      <alignment horizontal="center" vertical="center"/>
    </xf>
    <xf numFmtId="0" fontId="3" fillId="0" borderId="124" xfId="0" applyFont="1" applyBorder="1" applyAlignment="1">
      <alignment horizontal="center" vertical="center"/>
    </xf>
    <xf numFmtId="0" fontId="20" fillId="37" borderId="89" xfId="0" applyFont="1" applyFill="1" applyBorder="1" applyAlignment="1" applyProtection="1">
      <alignment horizontal="left" vertical="center"/>
      <protection locked="0"/>
    </xf>
    <xf numFmtId="0" fontId="20" fillId="37" borderId="183" xfId="0" applyFont="1" applyFill="1" applyBorder="1" applyAlignment="1" applyProtection="1">
      <alignment horizontal="left" vertical="center"/>
      <protection locked="0"/>
    </xf>
    <xf numFmtId="0" fontId="3" fillId="0" borderId="39" xfId="0" applyFont="1" applyBorder="1" applyAlignment="1">
      <alignment horizontal="center" vertical="center"/>
    </xf>
    <xf numFmtId="0" fontId="3" fillId="0" borderId="118" xfId="0" applyFont="1" applyBorder="1" applyAlignment="1">
      <alignment horizontal="center" vertical="center"/>
    </xf>
    <xf numFmtId="0" fontId="3" fillId="0" borderId="165" xfId="0" applyFont="1" applyBorder="1" applyAlignment="1">
      <alignment horizontal="center" vertical="center" wrapText="1"/>
    </xf>
    <xf numFmtId="0" fontId="3" fillId="0" borderId="166" xfId="0" applyFont="1" applyBorder="1" applyAlignment="1">
      <alignment horizontal="center" vertical="center" wrapText="1"/>
    </xf>
    <xf numFmtId="164" fontId="20" fillId="38" borderId="69" xfId="0" applyNumberFormat="1" applyFont="1" applyFill="1" applyBorder="1" applyAlignment="1" applyProtection="1">
      <alignment horizontal="right" vertical="center"/>
      <protection/>
    </xf>
    <xf numFmtId="164" fontId="20" fillId="38" borderId="53" xfId="0" applyNumberFormat="1" applyFont="1" applyFill="1" applyBorder="1" applyAlignment="1" applyProtection="1">
      <alignment horizontal="right" vertical="center"/>
      <protection/>
    </xf>
    <xf numFmtId="0" fontId="34" fillId="0" borderId="41" xfId="0" applyFont="1" applyBorder="1" applyAlignment="1">
      <alignment horizontal="center" vertical="center"/>
    </xf>
    <xf numFmtId="0" fontId="34" fillId="0" borderId="184" xfId="0" applyFont="1" applyBorder="1" applyAlignment="1">
      <alignment horizontal="center" vertical="center"/>
    </xf>
    <xf numFmtId="0" fontId="34" fillId="0" borderId="112" xfId="0" applyFont="1" applyBorder="1" applyAlignment="1">
      <alignment horizontal="center" vertical="center"/>
    </xf>
    <xf numFmtId="0" fontId="34" fillId="0" borderId="63" xfId="0" applyFont="1" applyBorder="1" applyAlignment="1">
      <alignment horizontal="right" vertical="center" indent="1"/>
    </xf>
    <xf numFmtId="0" fontId="3" fillId="0" borderId="67" xfId="0" applyFont="1" applyBorder="1" applyAlignment="1">
      <alignment horizontal="right" vertical="center" indent="1"/>
    </xf>
    <xf numFmtId="0" fontId="20" fillId="0" borderId="106" xfId="0" applyFont="1" applyBorder="1" applyAlignment="1" applyProtection="1">
      <alignment horizontal="center" vertical="center"/>
      <protection/>
    </xf>
    <xf numFmtId="0" fontId="20" fillId="0" borderId="69" xfId="0" applyFont="1" applyBorder="1" applyAlignment="1" applyProtection="1">
      <alignment horizontal="center" vertical="center"/>
      <protection/>
    </xf>
    <xf numFmtId="0" fontId="3" fillId="0" borderId="185" xfId="0" applyFont="1" applyBorder="1" applyAlignment="1">
      <alignment horizontal="center" vertical="center"/>
    </xf>
    <xf numFmtId="0" fontId="34" fillId="0" borderId="110" xfId="0" applyFont="1" applyFill="1" applyBorder="1" applyAlignment="1">
      <alignment horizontal="center" vertical="center"/>
    </xf>
    <xf numFmtId="0" fontId="34" fillId="0" borderId="148" xfId="0" applyFont="1" applyFill="1" applyBorder="1" applyAlignment="1">
      <alignment horizontal="center" vertical="center"/>
    </xf>
    <xf numFmtId="0" fontId="26" fillId="0" borderId="110" xfId="0" applyFont="1" applyFill="1" applyBorder="1" applyAlignment="1">
      <alignment horizontal="center" vertical="center" wrapText="1"/>
    </xf>
    <xf numFmtId="0" fontId="47" fillId="0" borderId="110" xfId="0" applyFont="1" applyFill="1" applyBorder="1" applyAlignment="1">
      <alignment horizontal="center" vertical="center" wrapText="1"/>
    </xf>
    <xf numFmtId="0" fontId="47" fillId="0" borderId="148" xfId="0" applyFont="1" applyFill="1" applyBorder="1" applyAlignment="1">
      <alignment horizontal="center" vertical="center" wrapText="1"/>
    </xf>
    <xf numFmtId="164" fontId="20" fillId="38" borderId="118" xfId="0" applyNumberFormat="1" applyFont="1" applyFill="1" applyBorder="1" applyAlignment="1" applyProtection="1">
      <alignment horizontal="right" vertical="center"/>
      <protection/>
    </xf>
    <xf numFmtId="164" fontId="20" fillId="38" borderId="186" xfId="0" applyNumberFormat="1" applyFont="1" applyFill="1" applyBorder="1" applyAlignment="1" applyProtection="1">
      <alignment horizontal="right" vertical="center"/>
      <protection/>
    </xf>
    <xf numFmtId="164" fontId="22" fillId="0" borderId="111" xfId="0" applyNumberFormat="1" applyFont="1" applyBorder="1" applyAlignment="1" applyProtection="1">
      <alignment horizontal="right" vertical="center"/>
      <protection/>
    </xf>
    <xf numFmtId="164" fontId="22" fillId="0" borderId="184" xfId="0" applyNumberFormat="1" applyFont="1" applyBorder="1" applyAlignment="1" applyProtection="1">
      <alignment horizontal="right" vertical="center"/>
      <protection/>
    </xf>
    <xf numFmtId="164" fontId="22" fillId="0" borderId="187" xfId="0" applyNumberFormat="1" applyFont="1" applyBorder="1" applyAlignment="1" applyProtection="1">
      <alignment horizontal="right" vertical="center"/>
      <protection/>
    </xf>
    <xf numFmtId="0" fontId="80" fillId="53" borderId="63" xfId="0" applyFont="1" applyFill="1" applyBorder="1" applyAlignment="1">
      <alignment vertical="center"/>
    </xf>
    <xf numFmtId="0" fontId="80" fillId="53" borderId="67" xfId="0" applyFont="1" applyFill="1" applyBorder="1" applyAlignment="1">
      <alignment vertical="center"/>
    </xf>
    <xf numFmtId="0" fontId="80" fillId="53" borderId="62" xfId="0" applyFont="1" applyFill="1" applyBorder="1" applyAlignment="1">
      <alignment vertical="center"/>
    </xf>
    <xf numFmtId="0" fontId="3" fillId="0" borderId="188" xfId="0" applyFont="1" applyBorder="1" applyAlignment="1">
      <alignment horizontal="center" vertical="center"/>
    </xf>
    <xf numFmtId="0" fontId="3" fillId="0" borderId="103" xfId="0" applyFont="1" applyBorder="1" applyAlignment="1">
      <alignment horizontal="center" vertical="center"/>
    </xf>
    <xf numFmtId="164" fontId="20" fillId="37" borderId="113" xfId="0" applyNumberFormat="1" applyFont="1" applyFill="1" applyBorder="1" applyAlignment="1" applyProtection="1">
      <alignment horizontal="right" vertical="center"/>
      <protection locked="0"/>
    </xf>
    <xf numFmtId="0" fontId="2" fillId="0" borderId="0" xfId="0" applyFont="1" applyAlignment="1">
      <alignment horizontal="center"/>
    </xf>
    <xf numFmtId="0" fontId="34" fillId="37" borderId="113" xfId="0" applyFont="1" applyFill="1" applyBorder="1" applyAlignment="1" applyProtection="1">
      <alignment horizontal="center" vertical="center"/>
      <protection locked="0"/>
    </xf>
    <xf numFmtId="0" fontId="34" fillId="37" borderId="114" xfId="0" applyFont="1" applyFill="1" applyBorder="1" applyAlignment="1" applyProtection="1">
      <alignment horizontal="center" vertical="center"/>
      <protection locked="0"/>
    </xf>
    <xf numFmtId="164" fontId="34" fillId="0" borderId="144" xfId="0" applyNumberFormat="1" applyFont="1" applyFill="1" applyBorder="1" applyAlignment="1" applyProtection="1">
      <alignment horizontal="center" vertical="center"/>
      <protection/>
    </xf>
    <xf numFmtId="164" fontId="34" fillId="0" borderId="181" xfId="0" applyNumberFormat="1" applyFont="1" applyFill="1" applyBorder="1" applyAlignment="1" applyProtection="1">
      <alignment horizontal="right" vertical="center"/>
      <protection/>
    </xf>
    <xf numFmtId="14" fontId="78" fillId="37" borderId="38" xfId="0" applyNumberFormat="1" applyFont="1" applyFill="1" applyBorder="1" applyAlignment="1" applyProtection="1">
      <alignment horizontal="right" vertical="center"/>
      <protection locked="0"/>
    </xf>
    <xf numFmtId="14" fontId="78" fillId="37" borderId="55" xfId="0" applyNumberFormat="1" applyFont="1" applyFill="1" applyBorder="1" applyAlignment="1" applyProtection="1">
      <alignment horizontal="right" vertical="center"/>
      <protection locked="0"/>
    </xf>
    <xf numFmtId="14" fontId="78" fillId="37" borderId="181" xfId="0" applyNumberFormat="1" applyFont="1" applyFill="1" applyBorder="1" applyAlignment="1" applyProtection="1">
      <alignment horizontal="right" vertical="center"/>
      <protection locked="0"/>
    </xf>
    <xf numFmtId="0" fontId="47" fillId="0" borderId="0" xfId="0" applyFont="1" applyFill="1" applyBorder="1" applyAlignment="1">
      <alignment horizontal="center" vertical="center" textRotation="90" wrapText="1"/>
    </xf>
    <xf numFmtId="0" fontId="47" fillId="0" borderId="0" xfId="0" applyFont="1" applyFill="1" applyBorder="1" applyAlignment="1">
      <alignment horizontal="center" vertical="center" textRotation="90"/>
    </xf>
    <xf numFmtId="0" fontId="47" fillId="0" borderId="0" xfId="0" applyFont="1" applyFill="1" applyBorder="1" applyAlignment="1" quotePrefix="1">
      <alignment horizontal="center" vertical="center" textRotation="90"/>
    </xf>
    <xf numFmtId="49" fontId="78" fillId="37" borderId="137" xfId="0" applyNumberFormat="1" applyFont="1" applyFill="1" applyBorder="1" applyAlignment="1" applyProtection="1">
      <alignment horizontal="right" vertical="center"/>
      <protection locked="0"/>
    </xf>
    <xf numFmtId="49" fontId="78" fillId="37" borderId="189" xfId="0" applyNumberFormat="1" applyFont="1" applyFill="1" applyBorder="1" applyAlignment="1" applyProtection="1">
      <alignment horizontal="right" vertical="center"/>
      <protection locked="0"/>
    </xf>
    <xf numFmtId="0" fontId="34" fillId="0" borderId="144" xfId="0" applyFont="1" applyFill="1" applyBorder="1" applyAlignment="1" applyProtection="1">
      <alignment horizontal="right" vertical="center"/>
      <protection/>
    </xf>
    <xf numFmtId="185" fontId="34" fillId="0" borderId="113" xfId="0" applyNumberFormat="1" applyFont="1" applyFill="1" applyBorder="1" applyAlignment="1" applyProtection="1">
      <alignment horizontal="right" vertical="center"/>
      <protection/>
    </xf>
    <xf numFmtId="185" fontId="34" fillId="0" borderId="114" xfId="0" applyNumberFormat="1" applyFont="1" applyFill="1" applyBorder="1" applyAlignment="1" applyProtection="1">
      <alignment horizontal="right" vertical="center"/>
      <protection/>
    </xf>
    <xf numFmtId="0" fontId="6" fillId="0" borderId="0" xfId="0" applyFont="1" applyAlignment="1">
      <alignment horizontal="center"/>
    </xf>
    <xf numFmtId="164" fontId="22" fillId="37" borderId="190" xfId="0" applyNumberFormat="1" applyFont="1" applyFill="1" applyBorder="1" applyAlignment="1" applyProtection="1">
      <alignment horizontal="right" vertical="center"/>
      <protection/>
    </xf>
    <xf numFmtId="164" fontId="22" fillId="37" borderId="191" xfId="0" applyNumberFormat="1" applyFont="1" applyFill="1" applyBorder="1" applyAlignment="1" applyProtection="1">
      <alignment horizontal="right" vertical="center"/>
      <protection/>
    </xf>
    <xf numFmtId="164" fontId="22" fillId="37" borderId="192" xfId="0" applyNumberFormat="1" applyFont="1" applyFill="1" applyBorder="1" applyAlignment="1" applyProtection="1">
      <alignment horizontal="right" vertical="center"/>
      <protection/>
    </xf>
    <xf numFmtId="49" fontId="78" fillId="37" borderId="95" xfId="0" applyNumberFormat="1" applyFont="1" applyFill="1" applyBorder="1" applyAlignment="1" applyProtection="1">
      <alignment horizontal="right" vertical="center"/>
      <protection locked="0"/>
    </xf>
    <xf numFmtId="49" fontId="78" fillId="37" borderId="97" xfId="0" applyNumberFormat="1" applyFont="1" applyFill="1" applyBorder="1" applyAlignment="1" applyProtection="1">
      <alignment horizontal="right" vertical="center"/>
      <protection locked="0"/>
    </xf>
    <xf numFmtId="166" fontId="34" fillId="52" borderId="193" xfId="0" applyNumberFormat="1" applyFont="1" applyFill="1" applyBorder="1" applyAlignment="1" applyProtection="1">
      <alignment horizontal="right" vertical="center"/>
      <protection/>
    </xf>
    <xf numFmtId="0" fontId="20" fillId="0" borderId="106" xfId="0" applyFont="1" applyFill="1" applyBorder="1" applyAlignment="1" applyProtection="1">
      <alignment horizontal="left" vertical="center" indent="1"/>
      <protection/>
    </xf>
    <xf numFmtId="0" fontId="20" fillId="0" borderId="69" xfId="0" applyFont="1" applyFill="1" applyBorder="1" applyAlignment="1" applyProtection="1">
      <alignment horizontal="left" vertical="center" indent="1"/>
      <protection/>
    </xf>
    <xf numFmtId="164" fontId="22" fillId="37" borderId="194" xfId="0" applyNumberFormat="1" applyFont="1" applyFill="1" applyBorder="1" applyAlignment="1" applyProtection="1">
      <alignment horizontal="right" vertical="center"/>
      <protection/>
    </xf>
    <xf numFmtId="0" fontId="20" fillId="0" borderId="70" xfId="0" applyNumberFormat="1" applyFont="1" applyFill="1" applyBorder="1" applyAlignment="1" applyProtection="1">
      <alignment horizontal="center" vertical="center"/>
      <protection/>
    </xf>
    <xf numFmtId="0" fontId="20" fillId="0" borderId="29" xfId="0" applyNumberFormat="1" applyFont="1" applyFill="1" applyBorder="1" applyAlignment="1" applyProtection="1">
      <alignment horizontal="center" vertical="center"/>
      <protection/>
    </xf>
    <xf numFmtId="0" fontId="20" fillId="0" borderId="122" xfId="0" applyNumberFormat="1" applyFont="1" applyFill="1" applyBorder="1" applyAlignment="1" applyProtection="1">
      <alignment horizontal="center" vertical="center"/>
      <protection/>
    </xf>
    <xf numFmtId="164" fontId="33" fillId="0" borderId="40" xfId="0" applyNumberFormat="1" applyFont="1" applyFill="1" applyBorder="1" applyAlignment="1" applyProtection="1">
      <alignment horizontal="right" vertical="center"/>
      <protection/>
    </xf>
    <xf numFmtId="164" fontId="33" fillId="0" borderId="144" xfId="0" applyNumberFormat="1" applyFont="1" applyFill="1" applyBorder="1" applyAlignment="1" applyProtection="1">
      <alignment horizontal="right" vertical="center"/>
      <protection/>
    </xf>
    <xf numFmtId="164" fontId="33" fillId="0" borderId="195"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center" wrapText="1" indent="2"/>
      <protection/>
    </xf>
    <xf numFmtId="164" fontId="19" fillId="0" borderId="113" xfId="0" applyNumberFormat="1" applyFont="1" applyFill="1" applyBorder="1" applyAlignment="1" applyProtection="1">
      <alignment horizontal="right" vertical="center"/>
      <protection/>
    </xf>
    <xf numFmtId="164" fontId="19" fillId="0" borderId="114" xfId="0" applyNumberFormat="1" applyFont="1" applyFill="1" applyBorder="1" applyAlignment="1" applyProtection="1">
      <alignment horizontal="right" vertical="center"/>
      <protection/>
    </xf>
    <xf numFmtId="0" fontId="3" fillId="37" borderId="84" xfId="0" applyFont="1" applyFill="1" applyBorder="1" applyAlignment="1" applyProtection="1">
      <alignment horizontal="left" vertical="center" wrapText="1" indent="1"/>
      <protection locked="0"/>
    </xf>
    <xf numFmtId="0" fontId="3" fillId="37" borderId="129" xfId="0" applyFont="1" applyFill="1" applyBorder="1" applyAlignment="1" applyProtection="1">
      <alignment horizontal="right" vertical="center" wrapText="1" indent="1"/>
      <protection locked="0"/>
    </xf>
    <xf numFmtId="0" fontId="3" fillId="0" borderId="136" xfId="0" applyFont="1" applyFill="1" applyBorder="1" applyAlignment="1" applyProtection="1">
      <alignment horizontal="left" vertical="center" indent="1"/>
      <protection locked="0"/>
    </xf>
    <xf numFmtId="0" fontId="3" fillId="0" borderId="24" xfId="0" applyFont="1" applyFill="1" applyBorder="1" applyAlignment="1" applyProtection="1">
      <alignment horizontal="left" vertical="center" indent="1"/>
      <protection locked="0"/>
    </xf>
    <xf numFmtId="0" fontId="3" fillId="0" borderId="142" xfId="0" applyFont="1" applyFill="1" applyBorder="1" applyAlignment="1" applyProtection="1">
      <alignment horizontal="left" vertical="center" indent="1"/>
      <protection locked="0"/>
    </xf>
    <xf numFmtId="0" fontId="34" fillId="0" borderId="70" xfId="0" applyFont="1" applyFill="1" applyBorder="1" applyAlignment="1" applyProtection="1">
      <alignment horizontal="left" vertical="center" wrapText="1"/>
      <protection/>
    </xf>
    <xf numFmtId="0" fontId="34" fillId="0" borderId="29" xfId="0" applyFont="1" applyFill="1" applyBorder="1" applyAlignment="1" applyProtection="1">
      <alignment horizontal="left" vertical="center" wrapText="1"/>
      <protection/>
    </xf>
    <xf numFmtId="0" fontId="34" fillId="0" borderId="21" xfId="0" applyFont="1" applyFill="1" applyBorder="1" applyAlignment="1" applyProtection="1">
      <alignment horizontal="left" vertical="center" wrapText="1"/>
      <protection/>
    </xf>
    <xf numFmtId="4" fontId="20" fillId="52" borderId="116" xfId="0" applyNumberFormat="1" applyFont="1" applyFill="1" applyBorder="1" applyAlignment="1" applyProtection="1">
      <alignment horizontal="center" vertical="center"/>
      <protection locked="0"/>
    </xf>
    <xf numFmtId="4" fontId="20" fillId="52" borderId="29" xfId="0" applyNumberFormat="1" applyFont="1" applyFill="1" applyBorder="1" applyAlignment="1" applyProtection="1">
      <alignment horizontal="center" vertical="center"/>
      <protection locked="0"/>
    </xf>
    <xf numFmtId="4" fontId="20" fillId="52" borderId="122" xfId="0" applyNumberFormat="1" applyFont="1" applyFill="1" applyBorder="1" applyAlignment="1" applyProtection="1">
      <alignment horizontal="center" vertical="center"/>
      <protection locked="0"/>
    </xf>
    <xf numFmtId="0" fontId="34" fillId="0" borderId="0" xfId="0" applyFont="1" applyAlignment="1" quotePrefix="1">
      <alignment horizontal="center"/>
    </xf>
    <xf numFmtId="0" fontId="50" fillId="0" borderId="0" xfId="0" applyFont="1" applyAlignment="1">
      <alignment horizontal="center"/>
    </xf>
    <xf numFmtId="0" fontId="49" fillId="0" borderId="196" xfId="0" applyFont="1" applyFill="1" applyBorder="1" applyAlignment="1" applyProtection="1">
      <alignment horizontal="right" vertical="center" indent="1"/>
      <protection/>
    </xf>
    <xf numFmtId="0" fontId="49" fillId="0" borderId="138" xfId="0" applyFont="1" applyFill="1" applyBorder="1" applyAlignment="1" applyProtection="1">
      <alignment horizontal="right" vertical="center" indent="1"/>
      <protection/>
    </xf>
    <xf numFmtId="0" fontId="49" fillId="0" borderId="189" xfId="0" applyFont="1" applyFill="1" applyBorder="1" applyAlignment="1" applyProtection="1">
      <alignment horizontal="right" vertical="center" indent="1"/>
      <protection/>
    </xf>
    <xf numFmtId="0" fontId="3" fillId="0" borderId="26" xfId="0" applyFont="1" applyBorder="1" applyAlignment="1">
      <alignment/>
    </xf>
    <xf numFmtId="167" fontId="2" fillId="0" borderId="0" xfId="0" applyNumberFormat="1" applyFont="1" applyAlignment="1">
      <alignment/>
    </xf>
    <xf numFmtId="0" fontId="66" fillId="0" borderId="0" xfId="0" applyFont="1" applyAlignment="1">
      <alignment horizontal="center"/>
    </xf>
    <xf numFmtId="167" fontId="2" fillId="0" borderId="0" xfId="0" applyNumberFormat="1" applyFont="1" applyAlignment="1">
      <alignment horizontal="center" vertical="center"/>
    </xf>
    <xf numFmtId="49" fontId="2" fillId="0" borderId="0" xfId="0" applyNumberFormat="1" applyFont="1" applyAlignment="1">
      <alignment/>
    </xf>
    <xf numFmtId="167" fontId="34" fillId="52" borderId="193" xfId="0" applyNumberFormat="1" applyFont="1" applyFill="1" applyBorder="1" applyAlignment="1" applyProtection="1">
      <alignment horizontal="right" vertical="center"/>
      <protection/>
    </xf>
    <xf numFmtId="0" fontId="34" fillId="0" borderId="70" xfId="0" applyFont="1" applyBorder="1" applyAlignment="1">
      <alignment horizontal="center"/>
    </xf>
    <xf numFmtId="0" fontId="34" fillId="0" borderId="29" xfId="0" applyFont="1" applyBorder="1" applyAlignment="1">
      <alignment horizontal="center"/>
    </xf>
    <xf numFmtId="0" fontId="34" fillId="0" borderId="21" xfId="0" applyFont="1" applyBorder="1" applyAlignment="1">
      <alignment horizontal="center"/>
    </xf>
    <xf numFmtId="164" fontId="20" fillId="0" borderId="69" xfId="0" applyNumberFormat="1" applyFont="1" applyFill="1" applyBorder="1" applyAlignment="1" applyProtection="1">
      <alignment horizontal="center" vertical="center"/>
      <protection/>
    </xf>
    <xf numFmtId="164" fontId="20" fillId="0" borderId="68" xfId="0" applyNumberFormat="1" applyFont="1" applyFill="1" applyBorder="1" applyAlignment="1" applyProtection="1">
      <alignment horizontal="center" vertical="center"/>
      <protection/>
    </xf>
    <xf numFmtId="164" fontId="34" fillId="0" borderId="69" xfId="0" applyNumberFormat="1" applyFont="1" applyFill="1" applyBorder="1" applyAlignment="1" applyProtection="1">
      <alignment horizontal="right" vertical="center"/>
      <protection/>
    </xf>
    <xf numFmtId="185" fontId="34" fillId="0" borderId="145" xfId="0" applyNumberFormat="1" applyFont="1" applyFill="1" applyBorder="1" applyAlignment="1" applyProtection="1">
      <alignment horizontal="right" vertical="center"/>
      <protection/>
    </xf>
    <xf numFmtId="185" fontId="34" fillId="0" borderId="0" xfId="0" applyNumberFormat="1" applyFont="1" applyFill="1" applyBorder="1" applyAlignment="1" applyProtection="1">
      <alignment horizontal="right" vertical="center"/>
      <protection/>
    </xf>
    <xf numFmtId="185" fontId="34" fillId="0" borderId="53" xfId="0" applyNumberFormat="1" applyFont="1" applyFill="1" applyBorder="1" applyAlignment="1" applyProtection="1">
      <alignment horizontal="right" vertical="center"/>
      <protection/>
    </xf>
    <xf numFmtId="185" fontId="34" fillId="0" borderId="23" xfId="0" applyNumberFormat="1" applyFont="1" applyFill="1" applyBorder="1" applyAlignment="1" applyProtection="1">
      <alignment horizontal="right" vertical="center"/>
      <protection/>
    </xf>
    <xf numFmtId="164" fontId="20" fillId="0" borderId="144" xfId="0" applyNumberFormat="1" applyFont="1" applyFill="1" applyBorder="1" applyAlignment="1" applyProtection="1">
      <alignment horizontal="center" vertical="center"/>
      <protection/>
    </xf>
    <xf numFmtId="164" fontId="34" fillId="0" borderId="144" xfId="0" applyNumberFormat="1" applyFont="1" applyFill="1" applyBorder="1" applyAlignment="1" applyProtection="1">
      <alignment horizontal="right" vertical="center"/>
      <protection/>
    </xf>
    <xf numFmtId="14" fontId="78" fillId="37" borderId="196" xfId="0" applyNumberFormat="1" applyFont="1" applyFill="1" applyBorder="1" applyAlignment="1" applyProtection="1">
      <alignment horizontal="right" vertical="center"/>
      <protection locked="0"/>
    </xf>
    <xf numFmtId="14" fontId="78" fillId="37" borderId="138" xfId="0" applyNumberFormat="1" applyFont="1" applyFill="1" applyBorder="1" applyAlignment="1" applyProtection="1">
      <alignment horizontal="right" vertical="center"/>
      <protection locked="0"/>
    </xf>
    <xf numFmtId="14" fontId="78" fillId="37" borderId="189" xfId="0" applyNumberFormat="1" applyFont="1" applyFill="1" applyBorder="1" applyAlignment="1" applyProtection="1">
      <alignment horizontal="right" vertical="center"/>
      <protection locked="0"/>
    </xf>
    <xf numFmtId="0" fontId="34" fillId="0" borderId="144" xfId="0" applyFont="1" applyFill="1" applyBorder="1" applyAlignment="1" applyProtection="1">
      <alignment horizontal="center" vertical="center"/>
      <protection/>
    </xf>
    <xf numFmtId="0" fontId="34" fillId="0" borderId="169" xfId="0" applyFont="1" applyBorder="1" applyAlignment="1">
      <alignment horizontal="center" vertical="center"/>
    </xf>
    <xf numFmtId="0" fontId="34" fillId="0" borderId="168" xfId="0" applyFont="1" applyBorder="1" applyAlignment="1">
      <alignment horizontal="center" vertical="center"/>
    </xf>
    <xf numFmtId="0" fontId="34" fillId="0" borderId="180" xfId="0" applyFont="1" applyBorder="1" applyAlignment="1">
      <alignment horizontal="center" vertical="center"/>
    </xf>
    <xf numFmtId="164" fontId="33" fillId="0" borderId="106" xfId="0" applyNumberFormat="1" applyFont="1" applyFill="1" applyBorder="1" applyAlignment="1" applyProtection="1">
      <alignment horizontal="right" vertical="center"/>
      <protection/>
    </xf>
    <xf numFmtId="164" fontId="33" fillId="0" borderId="69" xfId="0" applyNumberFormat="1" applyFont="1" applyFill="1" applyBorder="1" applyAlignment="1" applyProtection="1">
      <alignment horizontal="right" vertical="center"/>
      <protection/>
    </xf>
    <xf numFmtId="164" fontId="33" fillId="0" borderId="127" xfId="0" applyNumberFormat="1" applyFont="1" applyFill="1" applyBorder="1" applyAlignment="1" applyProtection="1">
      <alignment horizontal="right" vertical="center"/>
      <protection/>
    </xf>
    <xf numFmtId="164" fontId="20" fillId="0" borderId="40" xfId="0" applyNumberFormat="1" applyFont="1" applyBorder="1" applyAlignment="1">
      <alignment horizontal="right" vertical="center"/>
    </xf>
    <xf numFmtId="164" fontId="20" fillId="0" borderId="144" xfId="0" applyNumberFormat="1" applyFont="1" applyBorder="1" applyAlignment="1">
      <alignment horizontal="right" vertical="center"/>
    </xf>
    <xf numFmtId="164" fontId="20" fillId="0" borderId="195" xfId="0" applyNumberFormat="1" applyFont="1" applyBorder="1" applyAlignment="1">
      <alignment horizontal="right" vertical="center"/>
    </xf>
    <xf numFmtId="0" fontId="3" fillId="0" borderId="0" xfId="0" applyFont="1" applyBorder="1" applyAlignment="1">
      <alignment horizontal="center" vertical="center" wrapText="1"/>
    </xf>
    <xf numFmtId="164" fontId="21" fillId="0" borderId="197" xfId="0" applyNumberFormat="1" applyFont="1" applyFill="1" applyBorder="1" applyAlignment="1" applyProtection="1">
      <alignment horizontal="center" vertical="center"/>
      <protection/>
    </xf>
    <xf numFmtId="164" fontId="19" fillId="0" borderId="151" xfId="0" applyNumberFormat="1" applyFont="1" applyFill="1" applyBorder="1" applyAlignment="1" applyProtection="1">
      <alignment horizontal="right" vertical="center"/>
      <protection/>
    </xf>
    <xf numFmtId="164" fontId="19" fillId="0" borderId="152" xfId="0" applyNumberFormat="1" applyFont="1" applyFill="1" applyBorder="1" applyAlignment="1" applyProtection="1">
      <alignment horizontal="right" vertical="center"/>
      <protection/>
    </xf>
    <xf numFmtId="164" fontId="19" fillId="0" borderId="197" xfId="0" applyNumberFormat="1" applyFont="1" applyFill="1" applyBorder="1" applyAlignment="1" applyProtection="1">
      <alignment horizontal="right" vertical="center"/>
      <protection/>
    </xf>
    <xf numFmtId="164" fontId="19" fillId="0" borderId="198" xfId="0" applyNumberFormat="1" applyFont="1" applyFill="1" applyBorder="1" applyAlignment="1" applyProtection="1">
      <alignment horizontal="right" vertical="center"/>
      <protection/>
    </xf>
    <xf numFmtId="164" fontId="19" fillId="37" borderId="151" xfId="0" applyNumberFormat="1" applyFont="1" applyFill="1" applyBorder="1" applyAlignment="1" applyProtection="1">
      <alignment horizontal="right" vertical="center"/>
      <protection locked="0"/>
    </xf>
    <xf numFmtId="164" fontId="19" fillId="37" borderId="152" xfId="0" applyNumberFormat="1" applyFont="1" applyFill="1" applyBorder="1" applyAlignment="1" applyProtection="1">
      <alignment horizontal="right" vertical="center"/>
      <protection locked="0"/>
    </xf>
    <xf numFmtId="164" fontId="19" fillId="37" borderId="197" xfId="0" applyNumberFormat="1" applyFont="1" applyFill="1" applyBorder="1" applyAlignment="1" applyProtection="1">
      <alignment horizontal="right" vertical="center"/>
      <protection locked="0"/>
    </xf>
    <xf numFmtId="2" fontId="19" fillId="0" borderId="116" xfId="0" applyNumberFormat="1" applyFont="1" applyFill="1" applyBorder="1" applyAlignment="1" applyProtection="1">
      <alignment horizontal="right" vertical="center"/>
      <protection/>
    </xf>
    <xf numFmtId="2" fontId="19" fillId="0" borderId="29" xfId="0" applyNumberFormat="1" applyFont="1" applyFill="1" applyBorder="1" applyAlignment="1" applyProtection="1">
      <alignment horizontal="right" vertical="center"/>
      <protection/>
    </xf>
    <xf numFmtId="2" fontId="19" fillId="0" borderId="21" xfId="0" applyNumberFormat="1" applyFont="1" applyFill="1" applyBorder="1" applyAlignment="1" applyProtection="1">
      <alignment horizontal="right" vertical="center"/>
      <protection/>
    </xf>
    <xf numFmtId="0" fontId="82" fillId="46" borderId="0" xfId="47" applyFont="1" applyFill="1" applyBorder="1" applyAlignment="1">
      <alignment horizontal="center" vertical="center" wrapText="1"/>
      <protection/>
    </xf>
    <xf numFmtId="0" fontId="83" fillId="46" borderId="0" xfId="47" applyFont="1" applyFill="1" applyBorder="1" applyAlignment="1">
      <alignment horizontal="center" vertical="center" wrapText="1"/>
      <protection/>
    </xf>
    <xf numFmtId="0" fontId="20" fillId="47" borderId="0" xfId="47" applyFont="1" applyFill="1" applyBorder="1" applyAlignment="1">
      <alignment wrapText="1"/>
      <protection/>
    </xf>
    <xf numFmtId="0" fontId="19" fillId="47" borderId="0" xfId="47" applyFont="1" applyFill="1" applyBorder="1">
      <alignment/>
      <protection/>
    </xf>
    <xf numFmtId="0" fontId="20" fillId="47" borderId="0" xfId="47" applyFont="1" applyFill="1" applyBorder="1" applyAlignment="1">
      <alignment horizontal="left" wrapText="1" indent="1"/>
      <protection/>
    </xf>
    <xf numFmtId="0" fontId="19" fillId="47" borderId="0" xfId="47" applyFont="1" applyFill="1" applyBorder="1" applyAlignment="1">
      <alignment horizontal="left" vertical="top" wrapText="1" indent="1"/>
      <protection/>
    </xf>
    <xf numFmtId="0" fontId="19" fillId="47" borderId="0" xfId="47" applyFont="1" applyFill="1" applyBorder="1" applyAlignment="1">
      <alignment horizontal="left" vertical="top" wrapText="1" indent="1"/>
      <protection/>
    </xf>
    <xf numFmtId="0" fontId="21" fillId="47" borderId="0" xfId="47" applyFont="1" applyFill="1" applyBorder="1" applyAlignment="1">
      <alignment horizontal="center" wrapText="1"/>
      <protection/>
    </xf>
    <xf numFmtId="0" fontId="19" fillId="47" borderId="0" xfId="47" applyFont="1" applyFill="1" applyBorder="1" applyAlignment="1">
      <alignment wrapText="1"/>
      <protection/>
    </xf>
    <xf numFmtId="0" fontId="22" fillId="47" borderId="108" xfId="47" applyNumberFormat="1" applyFont="1" applyFill="1" applyBorder="1" applyAlignment="1" applyProtection="1">
      <alignment horizontal="left" vertical="center" wrapText="1" indent="1"/>
      <protection/>
    </xf>
    <xf numFmtId="0" fontId="19" fillId="47" borderId="0" xfId="47" applyFont="1" applyFill="1" applyBorder="1" applyAlignment="1">
      <alignment horizontal="left" wrapText="1"/>
      <protection/>
    </xf>
    <xf numFmtId="0" fontId="20" fillId="47" borderId="108" xfId="47" applyFont="1" applyFill="1" applyBorder="1" applyAlignment="1" applyProtection="1">
      <alignment horizontal="left" vertical="center" wrapText="1" indent="1"/>
      <protection/>
    </xf>
    <xf numFmtId="0" fontId="20" fillId="47" borderId="108" xfId="47" applyFont="1" applyFill="1" applyBorder="1" applyAlignment="1" applyProtection="1">
      <alignment vertical="center" wrapText="1"/>
      <protection locked="0"/>
    </xf>
    <xf numFmtId="0" fontId="20" fillId="47" borderId="108" xfId="47" applyFont="1" applyFill="1" applyBorder="1" applyAlignment="1" applyProtection="1">
      <alignment horizontal="left" vertical="center" wrapText="1" indent="1"/>
      <protection locked="0"/>
    </xf>
    <xf numFmtId="0" fontId="19" fillId="47" borderId="0" xfId="47" applyFont="1" applyFill="1" applyBorder="1" applyAlignment="1">
      <alignment horizontal="center" wrapText="1"/>
      <protection/>
    </xf>
    <xf numFmtId="0" fontId="20" fillId="47" borderId="109" xfId="47" applyFont="1" applyFill="1" applyBorder="1" applyAlignment="1" applyProtection="1">
      <alignment horizontal="left" vertical="center" wrapText="1" indent="1"/>
      <protection locked="0"/>
    </xf>
    <xf numFmtId="0" fontId="21" fillId="0" borderId="0" xfId="0" applyFont="1" applyAlignment="1">
      <alignment horizontal="center" vertical="center"/>
    </xf>
    <xf numFmtId="0" fontId="49" fillId="0" borderId="0" xfId="0" applyFont="1" applyAlignment="1">
      <alignment vertical="top" wrapText="1"/>
    </xf>
    <xf numFmtId="0" fontId="49" fillId="0" borderId="0" xfId="0" applyFont="1" applyAlignment="1">
      <alignment horizontal="center" vertical="center" wrapText="1"/>
    </xf>
    <xf numFmtId="0" fontId="48" fillId="0" borderId="0" xfId="0" applyFont="1" applyAlignment="1">
      <alignment vertical="top" wrapText="1"/>
    </xf>
    <xf numFmtId="171" fontId="19" fillId="47" borderId="108" xfId="47" applyNumberFormat="1" applyFont="1" applyFill="1" applyBorder="1" applyAlignment="1" applyProtection="1">
      <alignment horizontal="center" vertical="center" wrapText="1"/>
      <protection locked="0"/>
    </xf>
    <xf numFmtId="0" fontId="19" fillId="47" borderId="0" xfId="47" applyFont="1" applyFill="1" applyBorder="1" applyAlignment="1">
      <alignment horizontal="right" wrapText="1"/>
      <protection/>
    </xf>
    <xf numFmtId="0" fontId="19" fillId="47" borderId="108" xfId="47" applyFont="1" applyFill="1" applyBorder="1" applyAlignment="1">
      <alignment horizontal="right" wrapText="1"/>
      <protection/>
    </xf>
    <xf numFmtId="0" fontId="82" fillId="46" borderId="0" xfId="47" applyFont="1" applyFill="1" applyBorder="1" applyAlignment="1" applyProtection="1">
      <alignment horizontal="center" vertical="center" wrapText="1"/>
      <protection/>
    </xf>
    <xf numFmtId="0" fontId="83" fillId="46" borderId="0" xfId="47" applyFont="1" applyFill="1" applyBorder="1" applyAlignment="1" applyProtection="1">
      <alignment horizontal="center" vertical="center" wrapText="1"/>
      <protection/>
    </xf>
    <xf numFmtId="0" fontId="20" fillId="47" borderId="0" xfId="47" applyFont="1" applyFill="1" applyBorder="1" applyAlignment="1" applyProtection="1">
      <alignment wrapText="1"/>
      <protection/>
    </xf>
    <xf numFmtId="0" fontId="19" fillId="47" borderId="0" xfId="47" applyFont="1" applyFill="1" applyBorder="1" applyProtection="1">
      <alignment/>
      <protection/>
    </xf>
    <xf numFmtId="0" fontId="20" fillId="47" borderId="0" xfId="47" applyFont="1" applyFill="1" applyBorder="1" applyAlignment="1" applyProtection="1">
      <alignment horizontal="left" wrapText="1" indent="1"/>
      <protection/>
    </xf>
    <xf numFmtId="0" fontId="21" fillId="47" borderId="0" xfId="47" applyFont="1" applyFill="1" applyBorder="1" applyAlignment="1" applyProtection="1">
      <alignment horizontal="center" wrapText="1"/>
      <protection/>
    </xf>
    <xf numFmtId="0" fontId="19" fillId="47" borderId="0" xfId="47" applyFont="1" applyFill="1" applyBorder="1" applyAlignment="1" applyProtection="1">
      <alignment horizontal="left" wrapText="1"/>
      <protection/>
    </xf>
    <xf numFmtId="0" fontId="19" fillId="47" borderId="0" xfId="47" applyFont="1" applyFill="1" applyBorder="1" applyAlignment="1" applyProtection="1">
      <alignment horizontal="center" wrapText="1"/>
      <protection/>
    </xf>
    <xf numFmtId="0" fontId="19" fillId="47" borderId="0" xfId="47" applyFont="1" applyFill="1" applyBorder="1" applyAlignment="1" applyProtection="1">
      <alignment wrapText="1"/>
      <protection/>
    </xf>
    <xf numFmtId="169" fontId="20" fillId="47" borderId="108" xfId="47" applyNumberFormat="1" applyFont="1" applyFill="1" applyBorder="1" applyAlignment="1" applyProtection="1">
      <alignment horizontal="left" vertical="center" wrapText="1" indent="1"/>
      <protection/>
    </xf>
    <xf numFmtId="0" fontId="20" fillId="47" borderId="108" xfId="47" applyFont="1" applyFill="1" applyBorder="1" applyAlignment="1" applyProtection="1">
      <alignment horizontal="left" vertical="center" indent="1"/>
      <protection/>
    </xf>
    <xf numFmtId="0" fontId="20" fillId="47" borderId="109" xfId="47" applyFont="1" applyFill="1" applyBorder="1" applyAlignment="1" applyProtection="1">
      <alignment horizontal="left" vertical="center" wrapText="1" indent="1"/>
      <protection/>
    </xf>
    <xf numFmtId="0" fontId="19" fillId="47" borderId="119" xfId="47" applyFont="1" applyFill="1" applyBorder="1" applyAlignment="1" applyProtection="1">
      <alignment horizontal="right" wrapText="1"/>
      <protection/>
    </xf>
    <xf numFmtId="14" fontId="20" fillId="47" borderId="109" xfId="47" applyNumberFormat="1" applyFont="1" applyFill="1" applyBorder="1" applyAlignment="1" applyProtection="1">
      <alignment horizontal="left" vertical="center" wrapText="1" indent="1"/>
      <protection/>
    </xf>
    <xf numFmtId="0" fontId="20" fillId="47" borderId="109" xfId="47" applyNumberFormat="1" applyFont="1" applyFill="1" applyBorder="1" applyAlignment="1" applyProtection="1">
      <alignment horizontal="left" vertical="center" wrapText="1" indent="1"/>
      <protection/>
    </xf>
    <xf numFmtId="0" fontId="19" fillId="47" borderId="0" xfId="47" applyFont="1" applyFill="1" applyBorder="1" applyAlignment="1" applyProtection="1">
      <alignment horizontal="right" wrapText="1"/>
      <protection/>
    </xf>
    <xf numFmtId="0" fontId="23" fillId="47" borderId="0" xfId="47" applyFont="1" applyFill="1" applyBorder="1" applyAlignment="1" applyProtection="1">
      <alignment horizontal="center" vertical="center" wrapText="1"/>
      <protection/>
    </xf>
    <xf numFmtId="0" fontId="22" fillId="47" borderId="0" xfId="47" applyFont="1" applyFill="1" applyBorder="1" applyAlignment="1" applyProtection="1">
      <alignment horizontal="left" wrapText="1"/>
      <protection/>
    </xf>
    <xf numFmtId="0" fontId="22" fillId="47" borderId="0" xfId="47" applyFont="1" applyFill="1" applyBorder="1" applyAlignment="1" applyProtection="1">
      <alignment horizontal="justify" vertical="center" wrapText="1"/>
      <protection/>
    </xf>
    <xf numFmtId="0" fontId="48" fillId="47" borderId="0" xfId="47" applyFont="1" applyFill="1" applyBorder="1" applyAlignment="1" applyProtection="1">
      <alignment vertical="center" wrapText="1"/>
      <protection/>
    </xf>
    <xf numFmtId="0" fontId="19" fillId="47" borderId="0" xfId="47" applyFont="1" applyFill="1" applyBorder="1" applyAlignment="1" applyProtection="1">
      <alignment horizontal="right" wrapText="1"/>
      <protection/>
    </xf>
    <xf numFmtId="0" fontId="19" fillId="47" borderId="108" xfId="47" applyFont="1" applyFill="1" applyBorder="1" applyAlignment="1" applyProtection="1">
      <alignment horizontal="right" wrapText="1"/>
      <protection/>
    </xf>
    <xf numFmtId="0" fontId="49" fillId="0" borderId="0" xfId="0" applyFont="1" applyAlignment="1" applyProtection="1">
      <alignment horizontal="center"/>
      <protection/>
    </xf>
    <xf numFmtId="0" fontId="57" fillId="0" borderId="0" xfId="0" applyFont="1" applyBorder="1" applyAlignment="1" applyProtection="1">
      <alignment horizontal="center" vertical="top"/>
      <protection/>
    </xf>
    <xf numFmtId="0" fontId="57" fillId="0" borderId="0" xfId="0" applyFont="1" applyBorder="1" applyAlignment="1" applyProtection="1">
      <alignment horizontal="center" vertic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Povolení soukr.vozidla"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ont>
        <b/>
        <i val="0"/>
        <color indexed="9"/>
      </font>
      <fill>
        <patternFill>
          <bgColor indexed="10"/>
        </patternFill>
      </fill>
    </dxf>
    <dxf>
      <font>
        <color indexed="9"/>
      </font>
      <fill>
        <patternFill patternType="solid">
          <bgColor indexed="64"/>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3</xdr:col>
      <xdr:colOff>38100</xdr:colOff>
      <xdr:row>4</xdr:row>
      <xdr:rowOff>114300</xdr:rowOff>
    </xdr:to>
    <xdr:pic>
      <xdr:nvPicPr>
        <xdr:cNvPr id="1" name="Obrázek 18" descr=" Filozofická fakulta "/>
        <xdr:cNvPicPr preferRelativeResize="1">
          <a:picLocks noChangeAspect="1"/>
        </xdr:cNvPicPr>
      </xdr:nvPicPr>
      <xdr:blipFill>
        <a:blip r:embed="rId1"/>
        <a:stretch>
          <a:fillRect/>
        </a:stretch>
      </xdr:blipFill>
      <xdr:spPr>
        <a:xfrm>
          <a:off x="381000" y="371475"/>
          <a:ext cx="6477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9525</xdr:colOff>
      <xdr:row>5</xdr:row>
      <xdr:rowOff>47625</xdr:rowOff>
    </xdr:to>
    <xdr:pic>
      <xdr:nvPicPr>
        <xdr:cNvPr id="1" name="Obrázek 2" descr=" Filozofická fakulta "/>
        <xdr:cNvPicPr preferRelativeResize="1">
          <a:picLocks noChangeAspect="1"/>
        </xdr:cNvPicPr>
      </xdr:nvPicPr>
      <xdr:blipFill>
        <a:blip r:embed="rId1"/>
        <a:stretch>
          <a:fillRect/>
        </a:stretch>
      </xdr:blipFill>
      <xdr:spPr>
        <a:xfrm>
          <a:off x="438150" y="342900"/>
          <a:ext cx="7334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4</xdr:col>
      <xdr:colOff>19050</xdr:colOff>
      <xdr:row>4</xdr:row>
      <xdr:rowOff>180975</xdr:rowOff>
    </xdr:to>
    <xdr:pic>
      <xdr:nvPicPr>
        <xdr:cNvPr id="1" name="Obrázek 7" descr=" Filozofická fakulta "/>
        <xdr:cNvPicPr preferRelativeResize="1">
          <a:picLocks noChangeAspect="1"/>
        </xdr:cNvPicPr>
      </xdr:nvPicPr>
      <xdr:blipFill>
        <a:blip r:embed="rId1"/>
        <a:stretch>
          <a:fillRect/>
        </a:stretch>
      </xdr:blipFill>
      <xdr:spPr>
        <a:xfrm>
          <a:off x="352425" y="666750"/>
          <a:ext cx="7620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52</xdr:col>
      <xdr:colOff>114300</xdr:colOff>
      <xdr:row>52</xdr:row>
      <xdr:rowOff>28575</xdr:rowOff>
    </xdr:from>
    <xdr:to>
      <xdr:col>52</xdr:col>
      <xdr:colOff>1295400</xdr:colOff>
      <xdr:row>53</xdr:row>
      <xdr:rowOff>133350</xdr:rowOff>
    </xdr:to>
    <xdr:pic>
      <xdr:nvPicPr>
        <xdr:cNvPr id="1" name="CommandButton1"/>
        <xdr:cNvPicPr preferRelativeResize="1">
          <a:picLocks noChangeAspect="1"/>
        </xdr:cNvPicPr>
      </xdr:nvPicPr>
      <xdr:blipFill>
        <a:blip r:embed="rId1"/>
        <a:stretch>
          <a:fillRect/>
        </a:stretch>
      </xdr:blipFill>
      <xdr:spPr>
        <a:xfrm>
          <a:off x="7639050" y="9791700"/>
          <a:ext cx="1181100" cy="247650"/>
        </a:xfrm>
        <a:prstGeom prst="rect">
          <a:avLst/>
        </a:prstGeom>
        <a:noFill/>
        <a:ln w="9525" cmpd="sng">
          <a:noFill/>
        </a:ln>
      </xdr:spPr>
    </xdr:pic>
    <xdr:clientData/>
  </xdr:twoCellAnchor>
  <xdr:twoCellAnchor editAs="oneCell">
    <xdr:from>
      <xdr:col>52</xdr:col>
      <xdr:colOff>114300</xdr:colOff>
      <xdr:row>50</xdr:row>
      <xdr:rowOff>66675</xdr:rowOff>
    </xdr:from>
    <xdr:to>
      <xdr:col>52</xdr:col>
      <xdr:colOff>1295400</xdr:colOff>
      <xdr:row>52</xdr:row>
      <xdr:rowOff>28575</xdr:rowOff>
    </xdr:to>
    <xdr:pic>
      <xdr:nvPicPr>
        <xdr:cNvPr id="2" name="CommandButton2"/>
        <xdr:cNvPicPr preferRelativeResize="1">
          <a:picLocks noChangeAspect="1"/>
        </xdr:cNvPicPr>
      </xdr:nvPicPr>
      <xdr:blipFill>
        <a:blip r:embed="rId2"/>
        <a:stretch>
          <a:fillRect/>
        </a:stretch>
      </xdr:blipFill>
      <xdr:spPr>
        <a:xfrm>
          <a:off x="7639050" y="9544050"/>
          <a:ext cx="1181100" cy="247650"/>
        </a:xfrm>
        <a:prstGeom prst="rect">
          <a:avLst/>
        </a:prstGeom>
        <a:noFill/>
        <a:ln w="9525" cmpd="sng">
          <a:noFill/>
        </a:ln>
      </xdr:spPr>
    </xdr:pic>
    <xdr:clientData/>
  </xdr:twoCellAnchor>
  <xdr:twoCellAnchor>
    <xdr:from>
      <xdr:col>30</xdr:col>
      <xdr:colOff>190500</xdr:colOff>
      <xdr:row>56</xdr:row>
      <xdr:rowOff>38100</xdr:rowOff>
    </xdr:from>
    <xdr:to>
      <xdr:col>32</xdr:col>
      <xdr:colOff>95250</xdr:colOff>
      <xdr:row>117</xdr:row>
      <xdr:rowOff>114300</xdr:rowOff>
    </xdr:to>
    <xdr:grpSp>
      <xdr:nvGrpSpPr>
        <xdr:cNvPr id="3" name="Group 362"/>
        <xdr:cNvGrpSpPr>
          <a:grpSpLocks/>
        </xdr:cNvGrpSpPr>
      </xdr:nvGrpSpPr>
      <xdr:grpSpPr>
        <a:xfrm>
          <a:off x="7324725" y="10048875"/>
          <a:ext cx="200025" cy="0"/>
          <a:chOff x="756" y="1134"/>
          <a:chExt cx="32" cy="923"/>
        </a:xfrm>
        <a:solidFill>
          <a:srgbClr val="FFFFFF"/>
        </a:solidFill>
      </xdr:grpSpPr>
    </xdr:grpSp>
    <xdr:clientData/>
  </xdr:twoCellAnchor>
  <xdr:twoCellAnchor>
    <xdr:from>
      <xdr:col>29</xdr:col>
      <xdr:colOff>0</xdr:colOff>
      <xdr:row>56</xdr:row>
      <xdr:rowOff>38100</xdr:rowOff>
    </xdr:from>
    <xdr:to>
      <xdr:col>30</xdr:col>
      <xdr:colOff>57150</xdr:colOff>
      <xdr:row>117</xdr:row>
      <xdr:rowOff>114300</xdr:rowOff>
    </xdr:to>
    <xdr:grpSp>
      <xdr:nvGrpSpPr>
        <xdr:cNvPr id="35" name="Group 354"/>
        <xdr:cNvGrpSpPr>
          <a:grpSpLocks/>
        </xdr:cNvGrpSpPr>
      </xdr:nvGrpSpPr>
      <xdr:grpSpPr>
        <a:xfrm>
          <a:off x="6934200" y="10048875"/>
          <a:ext cx="257175" cy="0"/>
          <a:chOff x="655" y="1124"/>
          <a:chExt cx="27" cy="923"/>
        </a:xfrm>
        <a:solidFill>
          <a:srgbClr val="FFFFFF"/>
        </a:solidFill>
      </xdr:grpSpPr>
    </xdr:grpSp>
    <xdr:clientData/>
  </xdr:twoCellAnchor>
  <xdr:twoCellAnchor>
    <xdr:from>
      <xdr:col>30</xdr:col>
      <xdr:colOff>0</xdr:colOff>
      <xdr:row>56</xdr:row>
      <xdr:rowOff>38100</xdr:rowOff>
    </xdr:from>
    <xdr:to>
      <xdr:col>31</xdr:col>
      <xdr:colOff>57150</xdr:colOff>
      <xdr:row>117</xdr:row>
      <xdr:rowOff>114300</xdr:rowOff>
    </xdr:to>
    <xdr:grpSp>
      <xdr:nvGrpSpPr>
        <xdr:cNvPr id="67" name="Group 353"/>
        <xdr:cNvGrpSpPr>
          <a:grpSpLocks/>
        </xdr:cNvGrpSpPr>
      </xdr:nvGrpSpPr>
      <xdr:grpSpPr>
        <a:xfrm>
          <a:off x="7134225" y="10048875"/>
          <a:ext cx="257175" cy="0"/>
          <a:chOff x="674" y="1124"/>
          <a:chExt cx="27" cy="923"/>
        </a:xfrm>
        <a:solidFill>
          <a:srgbClr val="FFFFFF"/>
        </a:solidFill>
      </xdr:grpSpPr>
    </xdr:grpSp>
    <xdr:clientData/>
  </xdr:twoCellAnchor>
  <xdr:twoCellAnchor editAs="oneCell">
    <xdr:from>
      <xdr:col>52</xdr:col>
      <xdr:colOff>114300</xdr:colOff>
      <xdr:row>28</xdr:row>
      <xdr:rowOff>66675</xdr:rowOff>
    </xdr:from>
    <xdr:to>
      <xdr:col>52</xdr:col>
      <xdr:colOff>1295400</xdr:colOff>
      <xdr:row>29</xdr:row>
      <xdr:rowOff>247650</xdr:rowOff>
    </xdr:to>
    <xdr:pic>
      <xdr:nvPicPr>
        <xdr:cNvPr id="99" name="CommandButton3"/>
        <xdr:cNvPicPr preferRelativeResize="1">
          <a:picLocks noChangeAspect="1"/>
        </xdr:cNvPicPr>
      </xdr:nvPicPr>
      <xdr:blipFill>
        <a:blip r:embed="rId3"/>
        <a:stretch>
          <a:fillRect/>
        </a:stretch>
      </xdr:blipFill>
      <xdr:spPr>
        <a:xfrm>
          <a:off x="7639050" y="5962650"/>
          <a:ext cx="1181100" cy="457200"/>
        </a:xfrm>
        <a:prstGeom prst="rect">
          <a:avLst/>
        </a:prstGeom>
        <a:noFill/>
        <a:ln w="9525" cmpd="sng">
          <a:noFill/>
        </a:ln>
      </xdr:spPr>
    </xdr:pic>
    <xdr:clientData/>
  </xdr:twoCellAnchor>
  <xdr:twoCellAnchor editAs="oneCell">
    <xdr:from>
      <xdr:col>52</xdr:col>
      <xdr:colOff>114300</xdr:colOff>
      <xdr:row>29</xdr:row>
      <xdr:rowOff>247650</xdr:rowOff>
    </xdr:from>
    <xdr:to>
      <xdr:col>52</xdr:col>
      <xdr:colOff>1295400</xdr:colOff>
      <xdr:row>31</xdr:row>
      <xdr:rowOff>114300</xdr:rowOff>
    </xdr:to>
    <xdr:pic>
      <xdr:nvPicPr>
        <xdr:cNvPr id="100" name="CommandButton4"/>
        <xdr:cNvPicPr preferRelativeResize="1">
          <a:picLocks noChangeAspect="1"/>
        </xdr:cNvPicPr>
      </xdr:nvPicPr>
      <xdr:blipFill>
        <a:blip r:embed="rId4"/>
        <a:stretch>
          <a:fillRect/>
        </a:stretch>
      </xdr:blipFill>
      <xdr:spPr>
        <a:xfrm>
          <a:off x="7639050" y="6419850"/>
          <a:ext cx="118110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66675</xdr:rowOff>
    </xdr:from>
    <xdr:to>
      <xdr:col>4</xdr:col>
      <xdr:colOff>95250</xdr:colOff>
      <xdr:row>3</xdr:row>
      <xdr:rowOff>219075</xdr:rowOff>
    </xdr:to>
    <xdr:pic>
      <xdr:nvPicPr>
        <xdr:cNvPr id="1" name="Obrázek 4" descr=" Filozofická fakulta "/>
        <xdr:cNvPicPr preferRelativeResize="1">
          <a:picLocks noChangeAspect="1"/>
        </xdr:cNvPicPr>
      </xdr:nvPicPr>
      <xdr:blipFill>
        <a:blip r:embed="rId1"/>
        <a:stretch>
          <a:fillRect/>
        </a:stretch>
      </xdr:blipFill>
      <xdr:spPr>
        <a:xfrm>
          <a:off x="247650" y="704850"/>
          <a:ext cx="80962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133350</xdr:colOff>
      <xdr:row>3</xdr:row>
      <xdr:rowOff>209550</xdr:rowOff>
    </xdr:to>
    <xdr:pic>
      <xdr:nvPicPr>
        <xdr:cNvPr id="1" name="Obrázek 3" descr=" Filozofická fakulta "/>
        <xdr:cNvPicPr preferRelativeResize="1">
          <a:picLocks noChangeAspect="1"/>
        </xdr:cNvPicPr>
      </xdr:nvPicPr>
      <xdr:blipFill>
        <a:blip r:embed="rId1"/>
        <a:stretch>
          <a:fillRect/>
        </a:stretch>
      </xdr:blipFill>
      <xdr:spPr>
        <a:xfrm>
          <a:off x="247650" y="638175"/>
          <a:ext cx="84772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ci.muni.cz/NW/EKO/forms/Cest_prikaz_komplet_2013_nov&#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ávod"/>
      <sheetName val="Pouziti soukr.vozidla"/>
      <sheetName val="Pouziti vozidla z pujcovny"/>
      <sheetName val="1.strana tiskopisu"/>
      <sheetName val="2.strana tiskopisu"/>
      <sheetName val="Prohlášení ke stravnému"/>
      <sheetName val="Dodatečný souhlas s autem"/>
      <sheetName val="Udaje o osobe a vozidle"/>
    </sheetNames>
    <sheetDataSet>
      <sheetData sheetId="7">
        <row r="21">
          <cell r="M21">
            <v>0</v>
          </cell>
        </row>
        <row r="22">
          <cell r="M22">
            <v>0</v>
          </cell>
        </row>
        <row r="25">
          <cell r="M25" t="str">
            <v>BA 95 Super</v>
          </cell>
        </row>
        <row r="28">
          <cell r="M28">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1">
    <tabColor indexed="10"/>
  </sheetPr>
  <dimension ref="A1:K27"/>
  <sheetViews>
    <sheetView tabSelected="1" zoomScalePageLayoutView="0" workbookViewId="0" topLeftCell="A1">
      <selection activeCell="B6" sqref="B6:J6"/>
    </sheetView>
  </sheetViews>
  <sheetFormatPr defaultColWidth="9.140625" defaultRowHeight="12.75"/>
  <cols>
    <col min="1" max="1" width="6.57421875" style="0" customWidth="1"/>
    <col min="2" max="9" width="9.140625" style="48" customWidth="1"/>
    <col min="10" max="10" width="14.8515625" style="48" customWidth="1"/>
    <col min="11" max="11" width="6.421875" style="0" customWidth="1"/>
  </cols>
  <sheetData>
    <row r="1" spans="1:11" ht="31.5" customHeight="1">
      <c r="A1" s="21"/>
      <c r="B1" s="419" t="s">
        <v>486</v>
      </c>
      <c r="C1" s="419"/>
      <c r="D1" s="419"/>
      <c r="E1" s="419"/>
      <c r="F1" s="419"/>
      <c r="G1" s="419"/>
      <c r="H1" s="419"/>
      <c r="I1" s="419"/>
      <c r="J1" s="419"/>
      <c r="K1" s="21"/>
    </row>
    <row r="2" spans="1:11" ht="27.75" customHeight="1">
      <c r="A2" s="21"/>
      <c r="B2" s="421" t="s">
        <v>249</v>
      </c>
      <c r="C2" s="421"/>
      <c r="D2" s="421"/>
      <c r="E2" s="421"/>
      <c r="F2" s="421"/>
      <c r="G2" s="421"/>
      <c r="H2" s="421"/>
      <c r="I2" s="421"/>
      <c r="J2" s="421"/>
      <c r="K2" s="21"/>
    </row>
    <row r="3" spans="1:11" ht="124.5" customHeight="1">
      <c r="A3" s="21"/>
      <c r="B3" s="420" t="s">
        <v>491</v>
      </c>
      <c r="C3" s="420"/>
      <c r="D3" s="420"/>
      <c r="E3" s="420"/>
      <c r="F3" s="420"/>
      <c r="G3" s="420"/>
      <c r="H3" s="420"/>
      <c r="I3" s="420"/>
      <c r="J3" s="420"/>
      <c r="K3" s="21"/>
    </row>
    <row r="4" spans="1:11" s="9" customFormat="1" ht="102.75" customHeight="1">
      <c r="A4" s="21"/>
      <c r="B4" s="420" t="s">
        <v>466</v>
      </c>
      <c r="C4" s="420"/>
      <c r="D4" s="420"/>
      <c r="E4" s="420"/>
      <c r="F4" s="420"/>
      <c r="G4" s="420"/>
      <c r="H4" s="420"/>
      <c r="I4" s="420"/>
      <c r="J4" s="420"/>
      <c r="K4" s="21"/>
    </row>
    <row r="5" spans="1:11" ht="109.5" customHeight="1">
      <c r="A5" s="21"/>
      <c r="B5" s="428" t="s">
        <v>465</v>
      </c>
      <c r="C5" s="425"/>
      <c r="D5" s="425"/>
      <c r="E5" s="425"/>
      <c r="F5" s="425"/>
      <c r="G5" s="425"/>
      <c r="H5" s="425"/>
      <c r="I5" s="425"/>
      <c r="J5" s="425"/>
      <c r="K5" s="22"/>
    </row>
    <row r="6" spans="1:11" ht="109.5" customHeight="1">
      <c r="A6" s="21"/>
      <c r="B6" s="427" t="s">
        <v>512</v>
      </c>
      <c r="C6" s="427"/>
      <c r="D6" s="427"/>
      <c r="E6" s="427"/>
      <c r="F6" s="427"/>
      <c r="G6" s="427"/>
      <c r="H6" s="427"/>
      <c r="I6" s="427"/>
      <c r="J6" s="427"/>
      <c r="K6" s="22"/>
    </row>
    <row r="7" spans="1:11" ht="45" customHeight="1">
      <c r="A7" s="21"/>
      <c r="B7" s="425" t="s">
        <v>322</v>
      </c>
      <c r="C7" s="425"/>
      <c r="D7" s="425"/>
      <c r="E7" s="425"/>
      <c r="F7" s="425"/>
      <c r="G7" s="425"/>
      <c r="H7" s="425"/>
      <c r="I7" s="425"/>
      <c r="J7" s="425"/>
      <c r="K7" s="22"/>
    </row>
    <row r="8" spans="1:11" ht="74.25" customHeight="1">
      <c r="A8" s="21"/>
      <c r="B8" s="425" t="s">
        <v>272</v>
      </c>
      <c r="C8" s="425"/>
      <c r="D8" s="425"/>
      <c r="E8" s="425"/>
      <c r="F8" s="425"/>
      <c r="G8" s="425"/>
      <c r="H8" s="425"/>
      <c r="I8" s="425"/>
      <c r="J8" s="425"/>
      <c r="K8" s="22"/>
    </row>
    <row r="9" spans="1:11" ht="70.5" customHeight="1">
      <c r="A9" s="21"/>
      <c r="B9" s="425" t="s">
        <v>273</v>
      </c>
      <c r="C9" s="425"/>
      <c r="D9" s="425"/>
      <c r="E9" s="425"/>
      <c r="F9" s="425"/>
      <c r="G9" s="425"/>
      <c r="H9" s="425"/>
      <c r="I9" s="425"/>
      <c r="J9" s="425"/>
      <c r="K9" s="22"/>
    </row>
    <row r="10" spans="1:11" ht="120" customHeight="1">
      <c r="A10" s="21"/>
      <c r="B10" s="427" t="s">
        <v>439</v>
      </c>
      <c r="C10" s="427"/>
      <c r="D10" s="427"/>
      <c r="E10" s="427"/>
      <c r="F10" s="427"/>
      <c r="G10" s="427"/>
      <c r="H10" s="427"/>
      <c r="I10" s="427"/>
      <c r="J10" s="427"/>
      <c r="K10" s="22"/>
    </row>
    <row r="11" spans="1:11" ht="44.25" customHeight="1" thickBot="1">
      <c r="A11" s="21"/>
      <c r="B11" s="429" t="s">
        <v>437</v>
      </c>
      <c r="C11" s="429"/>
      <c r="D11" s="429"/>
      <c r="E11" s="429"/>
      <c r="F11" s="429"/>
      <c r="G11" s="429"/>
      <c r="H11" s="429"/>
      <c r="I11" s="429"/>
      <c r="J11" s="429"/>
      <c r="K11" s="22"/>
    </row>
    <row r="12" spans="1:11" ht="44.25" customHeight="1" thickBot="1">
      <c r="A12" s="21"/>
      <c r="B12" s="433" t="s">
        <v>7</v>
      </c>
      <c r="C12" s="434"/>
      <c r="D12" s="434"/>
      <c r="E12" s="434"/>
      <c r="F12" s="434"/>
      <c r="G12" s="434"/>
      <c r="H12" s="434"/>
      <c r="I12" s="434"/>
      <c r="J12" s="435"/>
      <c r="K12" s="22"/>
    </row>
    <row r="13" spans="1:11" ht="4.5" customHeight="1">
      <c r="A13" s="21"/>
      <c r="B13" s="349"/>
      <c r="C13" s="349"/>
      <c r="D13" s="349"/>
      <c r="E13" s="349"/>
      <c r="F13" s="349"/>
      <c r="G13" s="349"/>
      <c r="H13" s="349"/>
      <c r="I13" s="349"/>
      <c r="J13" s="349"/>
      <c r="K13" s="22"/>
    </row>
    <row r="14" spans="1:11" ht="166.5" customHeight="1">
      <c r="A14" s="21"/>
      <c r="B14" s="430" t="s">
        <v>492</v>
      </c>
      <c r="C14" s="430"/>
      <c r="D14" s="430"/>
      <c r="E14" s="430"/>
      <c r="F14" s="430"/>
      <c r="G14" s="430"/>
      <c r="H14" s="430"/>
      <c r="I14" s="430"/>
      <c r="J14" s="430"/>
      <c r="K14" s="22"/>
    </row>
    <row r="15" spans="1:11" s="8" customFormat="1" ht="24" customHeight="1">
      <c r="A15" s="24"/>
      <c r="B15" s="426" t="s">
        <v>440</v>
      </c>
      <c r="C15" s="426"/>
      <c r="D15" s="426"/>
      <c r="E15" s="426"/>
      <c r="F15" s="426"/>
      <c r="G15" s="426"/>
      <c r="H15" s="426"/>
      <c r="I15" s="426"/>
      <c r="J15" s="426"/>
      <c r="K15" s="23"/>
    </row>
    <row r="16" spans="1:11" ht="108" customHeight="1">
      <c r="A16" s="21"/>
      <c r="B16" s="424" t="s">
        <v>484</v>
      </c>
      <c r="C16" s="424"/>
      <c r="D16" s="424"/>
      <c r="E16" s="424"/>
      <c r="F16" s="424"/>
      <c r="G16" s="424"/>
      <c r="H16" s="424"/>
      <c r="I16" s="424"/>
      <c r="J16" s="424"/>
      <c r="K16" s="22"/>
    </row>
    <row r="17" spans="1:11" ht="123" customHeight="1">
      <c r="A17" s="21"/>
      <c r="B17" s="424" t="s">
        <v>1</v>
      </c>
      <c r="C17" s="424"/>
      <c r="D17" s="424"/>
      <c r="E17" s="424"/>
      <c r="F17" s="424"/>
      <c r="G17" s="424"/>
      <c r="H17" s="424"/>
      <c r="I17" s="424"/>
      <c r="J17" s="424"/>
      <c r="K17" s="22"/>
    </row>
    <row r="18" spans="1:11" ht="47.25" customHeight="1">
      <c r="A18" s="21"/>
      <c r="B18" s="425" t="s">
        <v>438</v>
      </c>
      <c r="C18" s="425"/>
      <c r="D18" s="425"/>
      <c r="E18" s="425"/>
      <c r="F18" s="425"/>
      <c r="G18" s="425"/>
      <c r="H18" s="425"/>
      <c r="I18" s="425"/>
      <c r="J18" s="425"/>
      <c r="K18" s="22"/>
    </row>
    <row r="19" spans="1:11" ht="63" customHeight="1">
      <c r="A19" s="21"/>
      <c r="B19" s="423" t="s">
        <v>3</v>
      </c>
      <c r="C19" s="425"/>
      <c r="D19" s="425"/>
      <c r="E19" s="425"/>
      <c r="F19" s="425"/>
      <c r="G19" s="425"/>
      <c r="H19" s="425"/>
      <c r="I19" s="425"/>
      <c r="J19" s="425"/>
      <c r="K19" s="22"/>
    </row>
    <row r="20" spans="1:11" ht="151.5" customHeight="1">
      <c r="A20" s="21"/>
      <c r="B20" s="431" t="s">
        <v>4</v>
      </c>
      <c r="C20" s="423"/>
      <c r="D20" s="423"/>
      <c r="E20" s="423"/>
      <c r="F20" s="423"/>
      <c r="G20" s="423"/>
      <c r="H20" s="423"/>
      <c r="I20" s="423"/>
      <c r="J20" s="423"/>
      <c r="K20" s="22"/>
    </row>
    <row r="21" spans="1:11" ht="58.5" customHeight="1">
      <c r="A21" s="21"/>
      <c r="B21" s="432" t="s">
        <v>485</v>
      </c>
      <c r="C21" s="431"/>
      <c r="D21" s="431"/>
      <c r="E21" s="431"/>
      <c r="F21" s="431"/>
      <c r="G21" s="431"/>
      <c r="H21" s="431"/>
      <c r="I21" s="431"/>
      <c r="J21" s="431"/>
      <c r="K21" s="22"/>
    </row>
    <row r="22" spans="1:11" ht="62.25" customHeight="1">
      <c r="A22" s="21"/>
      <c r="B22" s="422" t="s">
        <v>0</v>
      </c>
      <c r="C22" s="422"/>
      <c r="D22" s="422"/>
      <c r="E22" s="422"/>
      <c r="F22" s="422"/>
      <c r="G22" s="422"/>
      <c r="H22" s="422"/>
      <c r="I22" s="422"/>
      <c r="J22" s="422"/>
      <c r="K22" s="22"/>
    </row>
    <row r="23" spans="1:11" ht="127.5" customHeight="1">
      <c r="A23" s="21"/>
      <c r="B23" s="422" t="s">
        <v>2</v>
      </c>
      <c r="C23" s="423"/>
      <c r="D23" s="423"/>
      <c r="E23" s="423"/>
      <c r="F23" s="423"/>
      <c r="G23" s="423"/>
      <c r="H23" s="423"/>
      <c r="I23" s="423"/>
      <c r="J23" s="423"/>
      <c r="K23" s="22"/>
    </row>
    <row r="24" spans="1:11" ht="97.5" customHeight="1">
      <c r="A24" s="21"/>
      <c r="B24" s="425" t="s">
        <v>489</v>
      </c>
      <c r="C24" s="425"/>
      <c r="D24" s="425"/>
      <c r="E24" s="425"/>
      <c r="F24" s="425"/>
      <c r="G24" s="425"/>
      <c r="H24" s="425"/>
      <c r="I24" s="425"/>
      <c r="J24" s="425"/>
      <c r="K24" s="21"/>
    </row>
    <row r="25" spans="1:11" ht="87" customHeight="1">
      <c r="A25" s="21"/>
      <c r="B25" s="423" t="s">
        <v>490</v>
      </c>
      <c r="C25" s="423"/>
      <c r="D25" s="423"/>
      <c r="E25" s="423"/>
      <c r="F25" s="423"/>
      <c r="G25" s="423"/>
      <c r="H25" s="423"/>
      <c r="I25" s="423"/>
      <c r="J25" s="423"/>
      <c r="K25" s="21"/>
    </row>
    <row r="26" spans="1:11" ht="107.25" customHeight="1">
      <c r="A26" s="21"/>
      <c r="B26" s="425" t="s">
        <v>509</v>
      </c>
      <c r="C26" s="425"/>
      <c r="D26" s="425"/>
      <c r="E26" s="425"/>
      <c r="F26" s="425"/>
      <c r="G26" s="425"/>
      <c r="H26" s="425"/>
      <c r="I26" s="425"/>
      <c r="J26" s="425"/>
      <c r="K26" s="22"/>
    </row>
    <row r="27" spans="1:11" ht="30.75" customHeight="1">
      <c r="A27" s="21"/>
      <c r="B27" s="47"/>
      <c r="C27" s="47"/>
      <c r="D27" s="47"/>
      <c r="E27" s="47"/>
      <c r="F27" s="47"/>
      <c r="G27" s="47"/>
      <c r="H27" s="47"/>
      <c r="I27" s="47"/>
      <c r="J27" s="47"/>
      <c r="K27" s="21"/>
    </row>
  </sheetData>
  <sheetProtection sheet="1" objects="1" scenarios="1" selectLockedCells="1"/>
  <mergeCells count="25">
    <mergeCell ref="B26:J26"/>
    <mergeCell ref="B25:J25"/>
    <mergeCell ref="B20:J20"/>
    <mergeCell ref="B22:J22"/>
    <mergeCell ref="B21:J21"/>
    <mergeCell ref="B12:J12"/>
    <mergeCell ref="B24:J24"/>
    <mergeCell ref="B18:J18"/>
    <mergeCell ref="B16:J16"/>
    <mergeCell ref="B3:J3"/>
    <mergeCell ref="B8:J8"/>
    <mergeCell ref="B9:J9"/>
    <mergeCell ref="B7:J7"/>
    <mergeCell ref="B14:J14"/>
    <mergeCell ref="B10:J10"/>
    <mergeCell ref="B1:J1"/>
    <mergeCell ref="B4:J4"/>
    <mergeCell ref="B2:J2"/>
    <mergeCell ref="B23:J23"/>
    <mergeCell ref="B17:J17"/>
    <mergeCell ref="B19:J19"/>
    <mergeCell ref="B15:J15"/>
    <mergeCell ref="B6:J6"/>
    <mergeCell ref="B5:J5"/>
    <mergeCell ref="B11:J11"/>
  </mergeCells>
  <printOptions horizontalCentered="1"/>
  <pageMargins left="0.5905511811023623" right="0.5905511811023623" top="0.5905511811023623"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2">
    <tabColor indexed="17"/>
  </sheetPr>
  <dimension ref="A1:CT136"/>
  <sheetViews>
    <sheetView showGridLines="0" showRowColHeaders="0" zoomScalePageLayoutView="0" workbookViewId="0" topLeftCell="A1">
      <selection activeCell="F9" sqref="F9:N9"/>
    </sheetView>
  </sheetViews>
  <sheetFormatPr defaultColWidth="9.140625" defaultRowHeight="12.75"/>
  <cols>
    <col min="1" max="1" width="5.7109375" style="167" customWidth="1"/>
    <col min="2" max="3" width="4.57421875" style="174" customWidth="1"/>
    <col min="4" max="4" width="5.00390625" style="174" customWidth="1"/>
    <col min="5" max="12" width="4.57421875" style="174" customWidth="1"/>
    <col min="13" max="13" width="5.140625" style="174" customWidth="1"/>
    <col min="14" max="14" width="2.7109375" style="174" customWidth="1"/>
    <col min="15" max="22" width="4.57421875" style="174" customWidth="1"/>
    <col min="23" max="23" width="5.57421875" style="167" customWidth="1"/>
    <col min="24" max="33" width="4.57421875" style="167" customWidth="1"/>
    <col min="34" max="98" width="9.140625" style="167" customWidth="1"/>
    <col min="99" max="16384" width="9.140625" style="174" customWidth="1"/>
  </cols>
  <sheetData>
    <row r="1" spans="1:23" s="167" customFormat="1" ht="26.25" customHeight="1">
      <c r="A1" s="166"/>
      <c r="B1" s="541" t="s">
        <v>349</v>
      </c>
      <c r="C1" s="541"/>
      <c r="D1" s="541"/>
      <c r="E1" s="541"/>
      <c r="F1" s="541"/>
      <c r="G1" s="541"/>
      <c r="H1" s="541"/>
      <c r="I1" s="541"/>
      <c r="J1" s="541"/>
      <c r="K1" s="541"/>
      <c r="L1" s="541"/>
      <c r="M1" s="541"/>
      <c r="N1" s="541"/>
      <c r="O1" s="541"/>
      <c r="P1" s="541"/>
      <c r="Q1" s="541"/>
      <c r="R1" s="541"/>
      <c r="S1" s="541"/>
      <c r="T1" s="541"/>
      <c r="U1" s="541"/>
      <c r="V1" s="541"/>
      <c r="W1" s="166"/>
    </row>
    <row r="2" spans="1:23" s="167" customFormat="1" ht="12" customHeight="1" thickBot="1">
      <c r="A2" s="166"/>
      <c r="C2" s="168"/>
      <c r="D2" s="561" t="s">
        <v>513</v>
      </c>
      <c r="E2" s="561"/>
      <c r="F2" s="561"/>
      <c r="G2" s="561"/>
      <c r="H2" s="561"/>
      <c r="I2" s="561"/>
      <c r="J2" s="561"/>
      <c r="Q2" s="475"/>
      <c r="R2" s="475"/>
      <c r="S2" s="475"/>
      <c r="T2" s="475"/>
      <c r="U2" s="475"/>
      <c r="V2" s="475"/>
      <c r="W2" s="166"/>
    </row>
    <row r="3" spans="1:23" s="167" customFormat="1" ht="20.25" customHeight="1" thickBot="1" thickTop="1">
      <c r="A3" s="166"/>
      <c r="B3" s="168"/>
      <c r="C3" s="168"/>
      <c r="D3" s="561"/>
      <c r="E3" s="561"/>
      <c r="F3" s="561"/>
      <c r="G3" s="561"/>
      <c r="H3" s="561"/>
      <c r="I3" s="561"/>
      <c r="J3" s="561"/>
      <c r="K3" s="476" t="s">
        <v>365</v>
      </c>
      <c r="L3" s="476"/>
      <c r="M3" s="476"/>
      <c r="N3" s="476"/>
      <c r="O3" s="476"/>
      <c r="P3" s="476"/>
      <c r="Q3" s="478"/>
      <c r="R3" s="479"/>
      <c r="S3" s="479"/>
      <c r="T3" s="479"/>
      <c r="U3" s="479"/>
      <c r="V3" s="480"/>
      <c r="W3" s="166"/>
    </row>
    <row r="4" spans="1:23" s="167" customFormat="1" ht="12.75" customHeight="1" thickTop="1">
      <c r="A4" s="166"/>
      <c r="B4" s="168"/>
      <c r="C4" s="168"/>
      <c r="D4" s="561"/>
      <c r="E4" s="561"/>
      <c r="F4" s="561"/>
      <c r="G4" s="561"/>
      <c r="H4" s="561"/>
      <c r="I4" s="561"/>
      <c r="J4" s="561"/>
      <c r="K4" s="477"/>
      <c r="L4" s="477"/>
      <c r="M4" s="477"/>
      <c r="N4" s="477"/>
      <c r="O4" s="477"/>
      <c r="P4" s="477"/>
      <c r="Q4" s="169"/>
      <c r="R4" s="169"/>
      <c r="S4" s="169"/>
      <c r="T4" s="169"/>
      <c r="U4" s="169"/>
      <c r="V4" s="169"/>
      <c r="W4" s="166"/>
    </row>
    <row r="5" spans="1:98" s="172" customFormat="1" ht="17.25" customHeight="1">
      <c r="A5" s="170"/>
      <c r="B5" s="542" t="s">
        <v>357</v>
      </c>
      <c r="C5" s="542"/>
      <c r="D5" s="542"/>
      <c r="E5" s="542"/>
      <c r="F5" s="542"/>
      <c r="G5" s="542"/>
      <c r="H5" s="542"/>
      <c r="I5" s="542"/>
      <c r="J5" s="542"/>
      <c r="K5" s="542"/>
      <c r="L5" s="542"/>
      <c r="M5" s="542"/>
      <c r="N5" s="542"/>
      <c r="O5" s="542"/>
      <c r="P5" s="542"/>
      <c r="Q5" s="542"/>
      <c r="R5" s="542"/>
      <c r="S5" s="542"/>
      <c r="T5" s="542"/>
      <c r="U5" s="542"/>
      <c r="V5" s="542"/>
      <c r="W5" s="170"/>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row>
    <row r="6" spans="1:23" ht="3.75" customHeight="1" thickBot="1">
      <c r="A6" s="166"/>
      <c r="B6" s="446"/>
      <c r="C6" s="446"/>
      <c r="D6" s="446"/>
      <c r="E6" s="446"/>
      <c r="F6" s="446"/>
      <c r="G6" s="446"/>
      <c r="H6" s="446"/>
      <c r="I6" s="446"/>
      <c r="J6" s="446"/>
      <c r="K6" s="446"/>
      <c r="L6" s="446"/>
      <c r="M6" s="446"/>
      <c r="N6" s="446"/>
      <c r="O6" s="446"/>
      <c r="P6" s="446"/>
      <c r="Q6" s="446"/>
      <c r="R6" s="446"/>
      <c r="S6" s="446"/>
      <c r="T6" s="446"/>
      <c r="U6" s="446"/>
      <c r="V6" s="446"/>
      <c r="W6" s="166"/>
    </row>
    <row r="7" spans="1:98" s="177" customFormat="1" ht="21.75" customHeight="1">
      <c r="A7" s="175"/>
      <c r="B7" s="544" t="s">
        <v>366</v>
      </c>
      <c r="C7" s="545"/>
      <c r="D7" s="545"/>
      <c r="E7" s="545"/>
      <c r="F7" s="545"/>
      <c r="G7" s="545"/>
      <c r="H7" s="545"/>
      <c r="I7" s="545"/>
      <c r="J7" s="545"/>
      <c r="K7" s="545"/>
      <c r="L7" s="545"/>
      <c r="M7" s="545"/>
      <c r="N7" s="545"/>
      <c r="O7" s="545"/>
      <c r="P7" s="545"/>
      <c r="Q7" s="545"/>
      <c r="R7" s="545"/>
      <c r="S7" s="545"/>
      <c r="T7" s="545"/>
      <c r="U7" s="545"/>
      <c r="V7" s="546"/>
      <c r="W7" s="175"/>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row>
    <row r="8" spans="1:23" ht="3.75" customHeight="1">
      <c r="A8" s="166"/>
      <c r="B8" s="445"/>
      <c r="C8" s="446"/>
      <c r="D8" s="446"/>
      <c r="E8" s="446"/>
      <c r="F8" s="446"/>
      <c r="G8" s="446"/>
      <c r="H8" s="446"/>
      <c r="I8" s="446"/>
      <c r="J8" s="446"/>
      <c r="K8" s="446"/>
      <c r="L8" s="446"/>
      <c r="M8" s="446"/>
      <c r="N8" s="446"/>
      <c r="O8" s="446"/>
      <c r="P8" s="446"/>
      <c r="Q8" s="446"/>
      <c r="R8" s="446"/>
      <c r="S8" s="446"/>
      <c r="T8" s="446"/>
      <c r="U8" s="446"/>
      <c r="V8" s="547"/>
      <c r="W8" s="166"/>
    </row>
    <row r="9" spans="1:23" ht="15" customHeight="1">
      <c r="A9" s="166"/>
      <c r="B9" s="445" t="s">
        <v>13</v>
      </c>
      <c r="C9" s="446"/>
      <c r="D9" s="446"/>
      <c r="E9" s="446"/>
      <c r="F9" s="449"/>
      <c r="G9" s="449"/>
      <c r="H9" s="449"/>
      <c r="I9" s="449"/>
      <c r="J9" s="449"/>
      <c r="K9" s="449"/>
      <c r="L9" s="449"/>
      <c r="M9" s="449"/>
      <c r="N9" s="449"/>
      <c r="O9" s="481" t="s">
        <v>278</v>
      </c>
      <c r="P9" s="481"/>
      <c r="Q9" s="481"/>
      <c r="R9" s="481"/>
      <c r="S9" s="459"/>
      <c r="T9" s="460"/>
      <c r="U9" s="460"/>
      <c r="V9" s="461"/>
      <c r="W9" s="166"/>
    </row>
    <row r="10" spans="1:23" ht="15" customHeight="1">
      <c r="A10" s="166"/>
      <c r="B10" s="443" t="s">
        <v>12</v>
      </c>
      <c r="C10" s="444"/>
      <c r="D10" s="510"/>
      <c r="E10" s="510"/>
      <c r="F10" s="510"/>
      <c r="G10" s="510"/>
      <c r="H10" s="510"/>
      <c r="I10" s="510"/>
      <c r="J10" s="510"/>
      <c r="K10" s="510"/>
      <c r="L10" s="510"/>
      <c r="M10" s="510"/>
      <c r="N10" s="510"/>
      <c r="O10" s="481" t="s">
        <v>14</v>
      </c>
      <c r="P10" s="481"/>
      <c r="Q10" s="481"/>
      <c r="R10" s="481"/>
      <c r="S10" s="508"/>
      <c r="T10" s="508"/>
      <c r="U10" s="508"/>
      <c r="V10" s="509"/>
      <c r="W10" s="166"/>
    </row>
    <row r="11" spans="1:23" ht="15" customHeight="1">
      <c r="A11" s="166"/>
      <c r="B11" s="443" t="s">
        <v>15</v>
      </c>
      <c r="C11" s="444"/>
      <c r="D11" s="548"/>
      <c r="E11" s="548"/>
      <c r="F11" s="548"/>
      <c r="G11" s="548"/>
      <c r="H11" s="548"/>
      <c r="I11" s="548"/>
      <c r="J11" s="548"/>
      <c r="K11" s="548"/>
      <c r="L11" s="548"/>
      <c r="M11" s="548"/>
      <c r="N11" s="548"/>
      <c r="O11" s="548"/>
      <c r="P11" s="548"/>
      <c r="Q11" s="548"/>
      <c r="R11" s="548"/>
      <c r="S11" s="548"/>
      <c r="T11" s="548"/>
      <c r="U11" s="548"/>
      <c r="V11" s="549"/>
      <c r="W11" s="166"/>
    </row>
    <row r="12" spans="1:98" s="248" customFormat="1" ht="16.5" customHeight="1">
      <c r="A12" s="246"/>
      <c r="B12" s="565" t="s">
        <v>362</v>
      </c>
      <c r="C12" s="564"/>
      <c r="D12" s="564"/>
      <c r="E12" s="564"/>
      <c r="F12" s="564"/>
      <c r="G12" s="564"/>
      <c r="H12" s="210"/>
      <c r="I12" s="564" t="s">
        <v>375</v>
      </c>
      <c r="J12" s="564"/>
      <c r="K12" s="564"/>
      <c r="L12" s="210"/>
      <c r="M12" s="564" t="s">
        <v>376</v>
      </c>
      <c r="N12" s="564"/>
      <c r="O12" s="566"/>
      <c r="P12" s="566"/>
      <c r="Q12" s="566"/>
      <c r="R12" s="566"/>
      <c r="S12" s="566"/>
      <c r="T12" s="566"/>
      <c r="U12" s="566"/>
      <c r="V12" s="567"/>
      <c r="W12" s="246"/>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row>
    <row r="13" spans="1:23" ht="15.75" customHeight="1">
      <c r="A13" s="166"/>
      <c r="B13" s="445" t="s">
        <v>350</v>
      </c>
      <c r="C13" s="446"/>
      <c r="D13" s="446"/>
      <c r="E13" s="446"/>
      <c r="F13" s="449"/>
      <c r="G13" s="449"/>
      <c r="H13" s="449"/>
      <c r="I13" s="449"/>
      <c r="J13" s="449"/>
      <c r="K13" s="449"/>
      <c r="L13" s="449"/>
      <c r="M13" s="449"/>
      <c r="N13" s="449"/>
      <c r="O13" s="449"/>
      <c r="P13" s="449"/>
      <c r="Q13" s="449"/>
      <c r="R13" s="449"/>
      <c r="S13" s="449"/>
      <c r="T13" s="449"/>
      <c r="U13" s="449"/>
      <c r="V13" s="472"/>
      <c r="W13" s="166"/>
    </row>
    <row r="14" spans="1:23" ht="11.25" customHeight="1">
      <c r="A14" s="166"/>
      <c r="B14" s="445"/>
      <c r="C14" s="446"/>
      <c r="D14" s="446"/>
      <c r="E14" s="446"/>
      <c r="F14" s="543" t="s">
        <v>409</v>
      </c>
      <c r="G14" s="453"/>
      <c r="H14" s="453"/>
      <c r="I14" s="453"/>
      <c r="J14" s="453"/>
      <c r="K14" s="453"/>
      <c r="L14" s="453"/>
      <c r="M14" s="453"/>
      <c r="N14" s="453"/>
      <c r="O14" s="453"/>
      <c r="P14" s="453"/>
      <c r="Q14" s="453"/>
      <c r="R14" s="453"/>
      <c r="S14" s="453"/>
      <c r="T14" s="453"/>
      <c r="U14" s="453"/>
      <c r="V14" s="454"/>
      <c r="W14" s="166"/>
    </row>
    <row r="15" spans="1:23" ht="12.75">
      <c r="A15" s="166"/>
      <c r="B15" s="445" t="s">
        <v>351</v>
      </c>
      <c r="C15" s="446"/>
      <c r="D15" s="446"/>
      <c r="E15" s="446"/>
      <c r="F15" s="446"/>
      <c r="G15" s="460"/>
      <c r="H15" s="460"/>
      <c r="I15" s="460"/>
      <c r="J15" s="460"/>
      <c r="K15" s="460"/>
      <c r="L15" s="460"/>
      <c r="M15" s="460"/>
      <c r="N15" s="460"/>
      <c r="O15" s="460"/>
      <c r="P15" s="460"/>
      <c r="Q15" s="460"/>
      <c r="R15" s="460"/>
      <c r="S15" s="460"/>
      <c r="T15" s="460"/>
      <c r="U15" s="460"/>
      <c r="V15" s="461"/>
      <c r="W15" s="166"/>
    </row>
    <row r="16" spans="1:23" ht="21.75" customHeight="1">
      <c r="A16" s="166"/>
      <c r="B16" s="445"/>
      <c r="C16" s="446"/>
      <c r="D16" s="446"/>
      <c r="E16" s="446"/>
      <c r="F16" s="446"/>
      <c r="G16" s="452" t="s">
        <v>11</v>
      </c>
      <c r="H16" s="453"/>
      <c r="I16" s="453"/>
      <c r="J16" s="453"/>
      <c r="K16" s="453"/>
      <c r="L16" s="453"/>
      <c r="M16" s="453"/>
      <c r="N16" s="453"/>
      <c r="O16" s="453"/>
      <c r="P16" s="453"/>
      <c r="Q16" s="453"/>
      <c r="R16" s="453"/>
      <c r="S16" s="453"/>
      <c r="T16" s="453"/>
      <c r="U16" s="453"/>
      <c r="V16" s="454"/>
      <c r="W16" s="166"/>
    </row>
    <row r="17" spans="1:23" ht="3" customHeight="1">
      <c r="A17" s="166"/>
      <c r="B17" s="178"/>
      <c r="C17" s="173"/>
      <c r="D17" s="173"/>
      <c r="E17" s="173"/>
      <c r="F17" s="173"/>
      <c r="G17" s="182"/>
      <c r="H17" s="183"/>
      <c r="I17" s="183"/>
      <c r="J17" s="183"/>
      <c r="K17" s="183"/>
      <c r="L17" s="183"/>
      <c r="M17" s="183"/>
      <c r="N17" s="183"/>
      <c r="O17" s="183"/>
      <c r="P17" s="183"/>
      <c r="Q17" s="183"/>
      <c r="R17" s="183"/>
      <c r="S17" s="183"/>
      <c r="T17" s="183"/>
      <c r="U17" s="183"/>
      <c r="V17" s="184"/>
      <c r="W17" s="166"/>
    </row>
    <row r="18" spans="1:23" ht="12.75">
      <c r="A18" s="166"/>
      <c r="B18" s="445" t="s">
        <v>16</v>
      </c>
      <c r="C18" s="446"/>
      <c r="D18" s="446"/>
      <c r="E18" s="446"/>
      <c r="F18" s="446"/>
      <c r="G18" s="446"/>
      <c r="H18" s="446"/>
      <c r="I18" s="504"/>
      <c r="J18" s="504"/>
      <c r="K18" s="504"/>
      <c r="L18" s="504"/>
      <c r="M18" s="504"/>
      <c r="N18" s="504"/>
      <c r="O18" s="504"/>
      <c r="P18" s="504"/>
      <c r="Q18" s="504"/>
      <c r="R18" s="504"/>
      <c r="S18" s="504"/>
      <c r="T18" s="504"/>
      <c r="U18" s="504"/>
      <c r="V18" s="525"/>
      <c r="W18" s="166"/>
    </row>
    <row r="19" spans="1:23" ht="12.75">
      <c r="A19" s="166"/>
      <c r="B19" s="445"/>
      <c r="C19" s="446"/>
      <c r="D19" s="446"/>
      <c r="E19" s="446"/>
      <c r="F19" s="446"/>
      <c r="G19" s="446"/>
      <c r="H19" s="446"/>
      <c r="I19" s="450"/>
      <c r="J19" s="450"/>
      <c r="K19" s="450"/>
      <c r="L19" s="450"/>
      <c r="M19" s="450"/>
      <c r="N19" s="450"/>
      <c r="O19" s="450"/>
      <c r="P19" s="450"/>
      <c r="Q19" s="450"/>
      <c r="R19" s="450"/>
      <c r="S19" s="450"/>
      <c r="T19" s="450"/>
      <c r="U19" s="450"/>
      <c r="V19" s="451"/>
      <c r="W19" s="166"/>
    </row>
    <row r="20" spans="1:23" ht="12.75">
      <c r="A20" s="166"/>
      <c r="B20" s="445"/>
      <c r="C20" s="446"/>
      <c r="D20" s="446"/>
      <c r="E20" s="446"/>
      <c r="F20" s="446"/>
      <c r="G20" s="446"/>
      <c r="H20" s="446"/>
      <c r="I20" s="450"/>
      <c r="J20" s="450"/>
      <c r="K20" s="450"/>
      <c r="L20" s="450"/>
      <c r="M20" s="450"/>
      <c r="N20" s="450"/>
      <c r="O20" s="450"/>
      <c r="P20" s="450"/>
      <c r="Q20" s="450"/>
      <c r="R20" s="450"/>
      <c r="S20" s="450"/>
      <c r="T20" s="450"/>
      <c r="U20" s="450"/>
      <c r="V20" s="451"/>
      <c r="W20" s="166"/>
    </row>
    <row r="21" spans="1:23" ht="3" customHeight="1">
      <c r="A21" s="166"/>
      <c r="B21" s="178"/>
      <c r="C21" s="173"/>
      <c r="D21" s="173"/>
      <c r="E21" s="173"/>
      <c r="F21" s="173"/>
      <c r="G21" s="173"/>
      <c r="H21" s="173"/>
      <c r="I21" s="185"/>
      <c r="J21" s="185"/>
      <c r="K21" s="185"/>
      <c r="L21" s="185"/>
      <c r="M21" s="185"/>
      <c r="N21" s="185"/>
      <c r="O21" s="185"/>
      <c r="P21" s="185"/>
      <c r="Q21" s="185"/>
      <c r="R21" s="185"/>
      <c r="S21" s="185"/>
      <c r="T21" s="185"/>
      <c r="U21" s="185"/>
      <c r="V21" s="186"/>
      <c r="W21" s="166"/>
    </row>
    <row r="22" spans="1:98" s="190" customFormat="1" ht="10.5">
      <c r="A22" s="187"/>
      <c r="B22" s="496"/>
      <c r="C22" s="497"/>
      <c r="D22" s="497"/>
      <c r="E22" s="188"/>
      <c r="F22" s="505" t="s">
        <v>22</v>
      </c>
      <c r="G22" s="505"/>
      <c r="H22" s="505"/>
      <c r="I22" s="505"/>
      <c r="J22" s="505"/>
      <c r="K22" s="505"/>
      <c r="L22" s="505"/>
      <c r="M22" s="505"/>
      <c r="N22" s="188"/>
      <c r="O22" s="505" t="s">
        <v>23</v>
      </c>
      <c r="P22" s="505"/>
      <c r="Q22" s="505"/>
      <c r="R22" s="505"/>
      <c r="S22" s="505"/>
      <c r="T22" s="505"/>
      <c r="U22" s="505"/>
      <c r="V22" s="506"/>
      <c r="W22" s="187"/>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189"/>
    </row>
    <row r="23" spans="1:23" ht="15" customHeight="1">
      <c r="A23" s="166"/>
      <c r="B23" s="443" t="s">
        <v>352</v>
      </c>
      <c r="C23" s="444"/>
      <c r="D23" s="444"/>
      <c r="E23" s="444"/>
      <c r="F23" s="504"/>
      <c r="G23" s="504"/>
      <c r="H23" s="504"/>
      <c r="I23" s="504"/>
      <c r="J23" s="504"/>
      <c r="K23" s="504"/>
      <c r="L23" s="504"/>
      <c r="M23" s="504"/>
      <c r="N23" s="191"/>
      <c r="O23" s="500"/>
      <c r="P23" s="500"/>
      <c r="Q23" s="500"/>
      <c r="R23" s="500"/>
      <c r="S23" s="500"/>
      <c r="T23" s="500"/>
      <c r="U23" s="500"/>
      <c r="V23" s="501"/>
      <c r="W23" s="166"/>
    </row>
    <row r="24" spans="1:23" ht="15" customHeight="1">
      <c r="A24" s="166"/>
      <c r="B24" s="443" t="s">
        <v>353</v>
      </c>
      <c r="C24" s="444"/>
      <c r="D24" s="444"/>
      <c r="E24" s="444"/>
      <c r="F24" s="450"/>
      <c r="G24" s="450"/>
      <c r="H24" s="450"/>
      <c r="I24" s="450"/>
      <c r="J24" s="450"/>
      <c r="K24" s="450"/>
      <c r="L24" s="450"/>
      <c r="M24" s="450"/>
      <c r="N24" s="191"/>
      <c r="O24" s="502"/>
      <c r="P24" s="502"/>
      <c r="Q24" s="502"/>
      <c r="R24" s="502"/>
      <c r="S24" s="502"/>
      <c r="T24" s="502"/>
      <c r="U24" s="502"/>
      <c r="V24" s="503"/>
      <c r="W24" s="166"/>
    </row>
    <row r="25" spans="1:23" ht="15" customHeight="1">
      <c r="A25" s="166"/>
      <c r="B25" s="443" t="s">
        <v>510</v>
      </c>
      <c r="C25" s="444"/>
      <c r="D25" s="444"/>
      <c r="E25" s="444"/>
      <c r="F25" s="450"/>
      <c r="G25" s="450"/>
      <c r="H25" s="450"/>
      <c r="I25" s="450"/>
      <c r="J25" s="450"/>
      <c r="K25" s="450"/>
      <c r="L25" s="450"/>
      <c r="M25" s="450"/>
      <c r="N25" s="191"/>
      <c r="O25" s="502"/>
      <c r="P25" s="502"/>
      <c r="Q25" s="502"/>
      <c r="R25" s="502"/>
      <c r="S25" s="502"/>
      <c r="T25" s="502"/>
      <c r="U25" s="502"/>
      <c r="V25" s="503"/>
      <c r="W25" s="166"/>
    </row>
    <row r="26" spans="1:23" ht="3" customHeight="1">
      <c r="A26" s="166"/>
      <c r="B26" s="192"/>
      <c r="C26" s="193"/>
      <c r="D26" s="193"/>
      <c r="E26" s="193"/>
      <c r="F26" s="193"/>
      <c r="G26" s="193"/>
      <c r="H26" s="193"/>
      <c r="I26" s="193"/>
      <c r="J26" s="193"/>
      <c r="K26" s="193"/>
      <c r="L26" s="193"/>
      <c r="M26" s="193"/>
      <c r="N26" s="194"/>
      <c r="O26" s="194"/>
      <c r="P26" s="194"/>
      <c r="Q26" s="194"/>
      <c r="R26" s="194"/>
      <c r="S26" s="194"/>
      <c r="T26" s="194"/>
      <c r="U26" s="194"/>
      <c r="V26" s="195"/>
      <c r="W26" s="166"/>
    </row>
    <row r="27" spans="1:23" ht="15.75" customHeight="1">
      <c r="A27" s="166"/>
      <c r="B27" s="445" t="s">
        <v>17</v>
      </c>
      <c r="C27" s="446"/>
      <c r="D27" s="446"/>
      <c r="E27" s="499"/>
      <c r="F27" s="499"/>
      <c r="G27" s="499"/>
      <c r="H27" s="499"/>
      <c r="I27" s="499"/>
      <c r="J27" s="499"/>
      <c r="K27" s="499"/>
      <c r="L27" s="499"/>
      <c r="M27" s="499"/>
      <c r="N27" s="499"/>
      <c r="O27" s="499"/>
      <c r="P27" s="498" t="s">
        <v>436</v>
      </c>
      <c r="Q27" s="498"/>
      <c r="R27" s="498"/>
      <c r="S27" s="498"/>
      <c r="T27" s="455"/>
      <c r="U27" s="455"/>
      <c r="V27" s="456"/>
      <c r="W27" s="166"/>
    </row>
    <row r="28" spans="1:23" ht="11.25" customHeight="1">
      <c r="A28" s="166"/>
      <c r="B28" s="178"/>
      <c r="C28" s="173"/>
      <c r="D28" s="173"/>
      <c r="E28" s="191"/>
      <c r="F28" s="191"/>
      <c r="G28" s="191"/>
      <c r="H28" s="191"/>
      <c r="I28" s="191"/>
      <c r="J28" s="191"/>
      <c r="K28" s="191"/>
      <c r="L28" s="191"/>
      <c r="M28" s="191"/>
      <c r="N28" s="191"/>
      <c r="O28" s="179"/>
      <c r="P28" s="179"/>
      <c r="Q28" s="179"/>
      <c r="R28" s="179"/>
      <c r="S28" s="179"/>
      <c r="T28" s="196"/>
      <c r="U28" s="196"/>
      <c r="V28" s="197"/>
      <c r="W28" s="166"/>
    </row>
    <row r="29" spans="1:23" ht="23.25" customHeight="1">
      <c r="A29" s="166"/>
      <c r="B29" s="470" t="s">
        <v>358</v>
      </c>
      <c r="C29" s="471"/>
      <c r="D29" s="471"/>
      <c r="E29" s="181" t="s">
        <v>371</v>
      </c>
      <c r="G29" s="181" t="s">
        <v>372</v>
      </c>
      <c r="I29" s="181" t="s">
        <v>373</v>
      </c>
      <c r="K29" s="173" t="s">
        <v>374</v>
      </c>
      <c r="M29" s="515" t="s">
        <v>443</v>
      </c>
      <c r="N29" s="515"/>
      <c r="O29" s="515"/>
      <c r="P29" s="515"/>
      <c r="Q29" s="481" t="s">
        <v>21</v>
      </c>
      <c r="R29" s="481"/>
      <c r="S29" s="481"/>
      <c r="T29" s="562"/>
      <c r="U29" s="562"/>
      <c r="V29" s="563"/>
      <c r="W29" s="166"/>
    </row>
    <row r="30" spans="1:23" ht="4.5" customHeight="1">
      <c r="A30" s="166"/>
      <c r="B30" s="198"/>
      <c r="C30" s="199"/>
      <c r="D30" s="199"/>
      <c r="E30" s="200"/>
      <c r="F30" s="200"/>
      <c r="G30" s="200"/>
      <c r="H30" s="200"/>
      <c r="I30" s="200"/>
      <c r="J30" s="200"/>
      <c r="K30" s="200"/>
      <c r="L30" s="201"/>
      <c r="M30" s="201"/>
      <c r="N30" s="200"/>
      <c r="O30" s="200"/>
      <c r="P30" s="200"/>
      <c r="Q30" s="202"/>
      <c r="R30" s="202"/>
      <c r="S30" s="202"/>
      <c r="T30" s="203"/>
      <c r="U30" s="203"/>
      <c r="V30" s="204"/>
      <c r="W30" s="166"/>
    </row>
    <row r="31" spans="1:23" ht="4.5" customHeight="1">
      <c r="A31" s="166"/>
      <c r="B31" s="198"/>
      <c r="C31" s="199"/>
      <c r="D31" s="199"/>
      <c r="E31" s="200"/>
      <c r="F31" s="200"/>
      <c r="G31" s="200"/>
      <c r="H31" s="200"/>
      <c r="I31" s="200"/>
      <c r="J31" s="200"/>
      <c r="K31" s="200"/>
      <c r="L31" s="201"/>
      <c r="M31" s="201"/>
      <c r="N31" s="200"/>
      <c r="O31" s="200"/>
      <c r="P31" s="200"/>
      <c r="Q31" s="202"/>
      <c r="R31" s="202"/>
      <c r="S31" s="202"/>
      <c r="T31" s="203"/>
      <c r="U31" s="203"/>
      <c r="V31" s="204"/>
      <c r="W31" s="166"/>
    </row>
    <row r="32" spans="1:98" s="208" customFormat="1" ht="1.5" customHeight="1">
      <c r="A32" s="205"/>
      <c r="B32" s="245"/>
      <c r="C32" s="211"/>
      <c r="D32" s="211"/>
      <c r="E32" s="211"/>
      <c r="F32" s="211"/>
      <c r="G32" s="211"/>
      <c r="H32" s="211"/>
      <c r="I32" s="211"/>
      <c r="J32" s="211"/>
      <c r="K32" s="211"/>
      <c r="L32" s="211"/>
      <c r="M32" s="211"/>
      <c r="N32" s="211"/>
      <c r="O32" s="211"/>
      <c r="P32" s="211"/>
      <c r="Q32" s="211"/>
      <c r="R32" s="211"/>
      <c r="S32" s="211"/>
      <c r="T32" s="211"/>
      <c r="U32" s="211"/>
      <c r="V32" s="347"/>
      <c r="W32" s="205"/>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row>
    <row r="33" spans="1:98" s="208" customFormat="1" ht="10.5" customHeight="1">
      <c r="A33" s="205"/>
      <c r="B33" s="209" t="s">
        <v>445</v>
      </c>
      <c r="C33" s="210"/>
      <c r="D33" s="210"/>
      <c r="E33" s="210"/>
      <c r="F33" s="210" t="s">
        <v>379</v>
      </c>
      <c r="G33" s="210"/>
      <c r="H33" s="210" t="s">
        <v>380</v>
      </c>
      <c r="I33" s="210"/>
      <c r="J33" s="210"/>
      <c r="K33" s="210"/>
      <c r="L33" s="210"/>
      <c r="M33" s="210"/>
      <c r="N33" s="210"/>
      <c r="O33" s="210"/>
      <c r="P33" s="210"/>
      <c r="Q33" s="210"/>
      <c r="R33" s="210"/>
      <c r="S33" s="210"/>
      <c r="T33" s="210"/>
      <c r="U33" s="210"/>
      <c r="V33" s="348"/>
      <c r="W33" s="205"/>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row>
    <row r="34" spans="1:98" s="208" customFormat="1" ht="1.5" customHeight="1">
      <c r="A34" s="205"/>
      <c r="B34" s="209"/>
      <c r="C34" s="210"/>
      <c r="D34" s="210"/>
      <c r="E34" s="210"/>
      <c r="F34" s="210"/>
      <c r="G34" s="210"/>
      <c r="H34" s="210"/>
      <c r="I34" s="210"/>
      <c r="J34" s="213"/>
      <c r="K34" s="211"/>
      <c r="L34" s="211"/>
      <c r="M34" s="211"/>
      <c r="N34" s="211"/>
      <c r="O34" s="214"/>
      <c r="P34" s="210"/>
      <c r="Q34" s="213"/>
      <c r="R34" s="211"/>
      <c r="S34" s="211"/>
      <c r="T34" s="211"/>
      <c r="U34" s="211"/>
      <c r="V34" s="214"/>
      <c r="W34" s="205"/>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row>
    <row r="35" spans="1:98" s="208" customFormat="1" ht="15.75" customHeight="1">
      <c r="A35" s="205"/>
      <c r="B35" s="465" t="s">
        <v>446</v>
      </c>
      <c r="C35" s="466"/>
      <c r="D35" s="466"/>
      <c r="E35" s="466"/>
      <c r="F35" s="466"/>
      <c r="G35" s="466"/>
      <c r="H35" s="210"/>
      <c r="I35" s="210"/>
      <c r="J35" s="513"/>
      <c r="K35" s="514"/>
      <c r="L35" s="514"/>
      <c r="M35" s="217" t="s">
        <v>367</v>
      </c>
      <c r="N35" s="504"/>
      <c r="O35" s="520"/>
      <c r="P35" s="216"/>
      <c r="Q35" s="513"/>
      <c r="R35" s="514"/>
      <c r="S35" s="514"/>
      <c r="T35" s="217" t="s">
        <v>367</v>
      </c>
      <c r="U35" s="504"/>
      <c r="V35" s="525"/>
      <c r="W35" s="205"/>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row>
    <row r="36" spans="1:98" s="208" customFormat="1" ht="1.5" customHeight="1">
      <c r="A36" s="205"/>
      <c r="B36" s="215"/>
      <c r="C36" s="181"/>
      <c r="D36" s="181"/>
      <c r="E36" s="181"/>
      <c r="F36" s="200"/>
      <c r="G36" s="216"/>
      <c r="H36" s="218"/>
      <c r="I36" s="218"/>
      <c r="J36" s="219"/>
      <c r="K36" s="220"/>
      <c r="L36" s="221"/>
      <c r="M36" s="221"/>
      <c r="N36" s="222"/>
      <c r="O36" s="223"/>
      <c r="P36" s="216"/>
      <c r="Q36" s="224"/>
      <c r="R36" s="225"/>
      <c r="S36" s="225"/>
      <c r="T36" s="225"/>
      <c r="U36" s="226"/>
      <c r="V36" s="227"/>
      <c r="W36" s="205"/>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row>
    <row r="37" spans="1:98" s="208" customFormat="1" ht="1.5" customHeight="1">
      <c r="A37" s="205"/>
      <c r="B37" s="215"/>
      <c r="C37" s="181"/>
      <c r="D37" s="181"/>
      <c r="E37" s="181"/>
      <c r="F37" s="200"/>
      <c r="G37" s="216"/>
      <c r="H37" s="218"/>
      <c r="I37" s="218"/>
      <c r="J37" s="218"/>
      <c r="K37" s="217"/>
      <c r="L37" s="228"/>
      <c r="M37" s="228"/>
      <c r="N37" s="216"/>
      <c r="O37" s="216"/>
      <c r="P37" s="216"/>
      <c r="Q37" s="202"/>
      <c r="R37" s="202"/>
      <c r="S37" s="202"/>
      <c r="T37" s="202"/>
      <c r="U37" s="179"/>
      <c r="V37" s="229"/>
      <c r="W37" s="205"/>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row>
    <row r="38" spans="1:98" s="208" customFormat="1" ht="15" customHeight="1">
      <c r="A38" s="205"/>
      <c r="B38" s="180" t="s">
        <v>359</v>
      </c>
      <c r="C38" s="181"/>
      <c r="D38" s="181"/>
      <c r="E38" s="181"/>
      <c r="F38" s="181"/>
      <c r="G38" s="444" t="s">
        <v>377</v>
      </c>
      <c r="H38" s="444"/>
      <c r="I38" s="444"/>
      <c r="J38" s="444" t="s">
        <v>378</v>
      </c>
      <c r="K38" s="444"/>
      <c r="L38" s="469" t="s">
        <v>383</v>
      </c>
      <c r="M38" s="469"/>
      <c r="N38" s="469"/>
      <c r="O38" s="469"/>
      <c r="P38" s="469"/>
      <c r="Q38" s="521"/>
      <c r="R38" s="522"/>
      <c r="S38" s="522"/>
      <c r="T38" s="522"/>
      <c r="U38" s="522"/>
      <c r="V38" s="523"/>
      <c r="W38" s="205"/>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row>
    <row r="39" spans="1:98" s="208" customFormat="1" ht="15" customHeight="1">
      <c r="A39" s="205"/>
      <c r="B39" s="209"/>
      <c r="C39" s="210"/>
      <c r="D39" s="210"/>
      <c r="E39" s="210"/>
      <c r="F39" s="210"/>
      <c r="G39" s="210"/>
      <c r="H39" s="210"/>
      <c r="I39" s="210"/>
      <c r="J39" s="210"/>
      <c r="K39" s="210"/>
      <c r="L39" s="210"/>
      <c r="M39" s="210"/>
      <c r="N39" s="210"/>
      <c r="O39" s="210"/>
      <c r="P39" s="210"/>
      <c r="Q39" s="210"/>
      <c r="R39" s="457" t="s">
        <v>381</v>
      </c>
      <c r="S39" s="457"/>
      <c r="T39" s="113"/>
      <c r="U39" s="444" t="s">
        <v>382</v>
      </c>
      <c r="V39" s="524"/>
      <c r="W39" s="205"/>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row>
    <row r="40" spans="1:98" s="208" customFormat="1" ht="15" customHeight="1">
      <c r="A40" s="205"/>
      <c r="B40" s="209" t="s">
        <v>363</v>
      </c>
      <c r="C40" s="210"/>
      <c r="D40" s="210"/>
      <c r="E40" s="210"/>
      <c r="F40" s="210"/>
      <c r="G40" s="210"/>
      <c r="H40" s="210"/>
      <c r="I40" s="210"/>
      <c r="J40" s="210" t="s">
        <v>379</v>
      </c>
      <c r="K40" s="210"/>
      <c r="L40" s="210" t="s">
        <v>380</v>
      </c>
      <c r="M40" s="210"/>
      <c r="N40" s="210"/>
      <c r="O40" s="210"/>
      <c r="P40" s="210"/>
      <c r="Q40" s="210"/>
      <c r="R40" s="206"/>
      <c r="S40" s="206"/>
      <c r="T40" s="206"/>
      <c r="U40" s="210"/>
      <c r="V40" s="212"/>
      <c r="W40" s="205"/>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row>
    <row r="41" spans="1:23" ht="15.75" customHeight="1">
      <c r="A41" s="166"/>
      <c r="B41" s="511" t="s">
        <v>18</v>
      </c>
      <c r="C41" s="512"/>
      <c r="D41" s="512"/>
      <c r="E41" s="512"/>
      <c r="F41" s="512"/>
      <c r="G41" s="467"/>
      <c r="H41" s="467"/>
      <c r="I41" s="467"/>
      <c r="J41" s="467"/>
      <c r="K41" s="467"/>
      <c r="L41" s="467"/>
      <c r="M41" s="467"/>
      <c r="N41" s="467"/>
      <c r="O41" s="467"/>
      <c r="P41" s="467"/>
      <c r="Q41" s="467"/>
      <c r="R41" s="467"/>
      <c r="S41" s="467"/>
      <c r="T41" s="467"/>
      <c r="U41" s="467"/>
      <c r="V41" s="468"/>
      <c r="W41" s="166"/>
    </row>
    <row r="42" spans="1:98" s="232" customFormat="1" ht="13.5" customHeight="1">
      <c r="A42" s="230"/>
      <c r="B42" s="462" t="s">
        <v>360</v>
      </c>
      <c r="C42" s="463"/>
      <c r="D42" s="463"/>
      <c r="E42" s="463"/>
      <c r="F42" s="463"/>
      <c r="G42" s="463"/>
      <c r="H42" s="463"/>
      <c r="I42" s="463"/>
      <c r="J42" s="463"/>
      <c r="K42" s="463"/>
      <c r="L42" s="463"/>
      <c r="M42" s="463"/>
      <c r="N42" s="463"/>
      <c r="O42" s="463"/>
      <c r="P42" s="463"/>
      <c r="Q42" s="463"/>
      <c r="R42" s="463"/>
      <c r="S42" s="463"/>
      <c r="T42" s="463"/>
      <c r="U42" s="463"/>
      <c r="V42" s="464"/>
      <c r="W42" s="230"/>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row>
    <row r="43" spans="1:23" ht="11.25" customHeight="1">
      <c r="A43" s="166"/>
      <c r="B43" s="517" t="s">
        <v>410</v>
      </c>
      <c r="C43" s="518"/>
      <c r="D43" s="518"/>
      <c r="E43" s="518"/>
      <c r="F43" s="518"/>
      <c r="G43" s="518"/>
      <c r="H43" s="518"/>
      <c r="I43" s="518"/>
      <c r="J43" s="518"/>
      <c r="K43" s="518"/>
      <c r="L43" s="518"/>
      <c r="M43" s="518"/>
      <c r="N43" s="518"/>
      <c r="O43" s="518"/>
      <c r="P43" s="518"/>
      <c r="Q43" s="518"/>
      <c r="R43" s="518"/>
      <c r="S43" s="518"/>
      <c r="T43" s="518"/>
      <c r="U43" s="518"/>
      <c r="V43" s="519"/>
      <c r="W43" s="166"/>
    </row>
    <row r="44" spans="1:23" ht="3" customHeight="1" thickBot="1">
      <c r="A44" s="166"/>
      <c r="B44" s="233"/>
      <c r="C44" s="234"/>
      <c r="D44" s="234"/>
      <c r="E44" s="234"/>
      <c r="F44" s="234"/>
      <c r="G44" s="234"/>
      <c r="H44" s="234"/>
      <c r="I44" s="235"/>
      <c r="J44" s="235"/>
      <c r="K44" s="234"/>
      <c r="L44" s="234"/>
      <c r="M44" s="234"/>
      <c r="N44" s="235"/>
      <c r="O44" s="235"/>
      <c r="P44" s="234"/>
      <c r="Q44" s="234"/>
      <c r="R44" s="234"/>
      <c r="S44" s="234"/>
      <c r="T44" s="234"/>
      <c r="U44" s="234"/>
      <c r="V44" s="236"/>
      <c r="W44" s="166"/>
    </row>
    <row r="45" spans="1:23" ht="15" customHeight="1" thickBot="1">
      <c r="A45" s="166"/>
      <c r="B45" s="568" t="s">
        <v>420</v>
      </c>
      <c r="C45" s="569"/>
      <c r="D45" s="569"/>
      <c r="E45" s="569"/>
      <c r="F45" s="569"/>
      <c r="G45" s="569"/>
      <c r="H45" s="569"/>
      <c r="I45" s="569"/>
      <c r="J45" s="569"/>
      <c r="K45" s="569"/>
      <c r="L45" s="569"/>
      <c r="M45" s="569"/>
      <c r="N45" s="569"/>
      <c r="O45" s="569"/>
      <c r="P45" s="569"/>
      <c r="Q45" s="569"/>
      <c r="R45" s="569"/>
      <c r="S45" s="569"/>
      <c r="T45" s="569"/>
      <c r="U45" s="569"/>
      <c r="V45" s="570"/>
      <c r="W45" s="166"/>
    </row>
    <row r="46" spans="1:23" ht="16.5" customHeight="1" thickTop="1">
      <c r="A46" s="166"/>
      <c r="B46" s="572" t="s">
        <v>414</v>
      </c>
      <c r="C46" s="573"/>
      <c r="D46" s="485"/>
      <c r="E46" s="485"/>
      <c r="F46" s="485"/>
      <c r="G46" s="485"/>
      <c r="H46" s="485"/>
      <c r="I46" s="485"/>
      <c r="J46" s="485"/>
      <c r="K46" s="485"/>
      <c r="L46" s="485"/>
      <c r="M46" s="485"/>
      <c r="N46" s="485"/>
      <c r="O46" s="485"/>
      <c r="P46" s="485"/>
      <c r="Q46" s="485"/>
      <c r="R46" s="485"/>
      <c r="S46" s="485"/>
      <c r="T46" s="485"/>
      <c r="U46" s="485"/>
      <c r="V46" s="571"/>
      <c r="W46" s="166"/>
    </row>
    <row r="47" spans="1:23" ht="16.5" customHeight="1">
      <c r="A47" s="166"/>
      <c r="B47" s="447" t="s">
        <v>415</v>
      </c>
      <c r="C47" s="448"/>
      <c r="D47" s="486"/>
      <c r="E47" s="486"/>
      <c r="F47" s="486"/>
      <c r="G47" s="486"/>
      <c r="H47" s="486"/>
      <c r="I47" s="486"/>
      <c r="J47" s="486"/>
      <c r="K47" s="486"/>
      <c r="L47" s="486"/>
      <c r="M47" s="486"/>
      <c r="N47" s="486"/>
      <c r="O47" s="486"/>
      <c r="P47" s="486"/>
      <c r="Q47" s="486"/>
      <c r="R47" s="486"/>
      <c r="S47" s="486"/>
      <c r="T47" s="486"/>
      <c r="U47" s="486"/>
      <c r="V47" s="516"/>
      <c r="W47" s="166"/>
    </row>
    <row r="48" spans="1:23" ht="16.5" customHeight="1">
      <c r="A48" s="166"/>
      <c r="B48" s="447" t="s">
        <v>285</v>
      </c>
      <c r="C48" s="448"/>
      <c r="D48" s="486"/>
      <c r="E48" s="486"/>
      <c r="F48" s="486"/>
      <c r="G48" s="486"/>
      <c r="H48" s="486"/>
      <c r="I48" s="486"/>
      <c r="J48" s="486"/>
      <c r="K48" s="486"/>
      <c r="L48" s="486"/>
      <c r="M48" s="486"/>
      <c r="N48" s="486"/>
      <c r="O48" s="486"/>
      <c r="P48" s="486"/>
      <c r="Q48" s="486"/>
      <c r="R48" s="486"/>
      <c r="S48" s="486"/>
      <c r="T48" s="486"/>
      <c r="U48" s="486"/>
      <c r="V48" s="516"/>
      <c r="W48" s="166"/>
    </row>
    <row r="49" spans="1:23" ht="16.5" customHeight="1">
      <c r="A49" s="166"/>
      <c r="B49" s="447" t="s">
        <v>416</v>
      </c>
      <c r="C49" s="448"/>
      <c r="D49" s="486"/>
      <c r="E49" s="486"/>
      <c r="F49" s="486"/>
      <c r="G49" s="486"/>
      <c r="H49" s="486"/>
      <c r="I49" s="486"/>
      <c r="J49" s="486"/>
      <c r="K49" s="486"/>
      <c r="L49" s="486"/>
      <c r="M49" s="486"/>
      <c r="N49" s="486"/>
      <c r="O49" s="486"/>
      <c r="P49" s="486"/>
      <c r="Q49" s="486"/>
      <c r="R49" s="486"/>
      <c r="S49" s="486"/>
      <c r="T49" s="486"/>
      <c r="U49" s="486"/>
      <c r="V49" s="516"/>
      <c r="W49" s="166"/>
    </row>
    <row r="50" spans="1:23" ht="16.5" customHeight="1">
      <c r="A50" s="166"/>
      <c r="B50" s="447" t="s">
        <v>417</v>
      </c>
      <c r="C50" s="448"/>
      <c r="D50" s="486"/>
      <c r="E50" s="486"/>
      <c r="F50" s="486"/>
      <c r="G50" s="486"/>
      <c r="H50" s="486"/>
      <c r="I50" s="486"/>
      <c r="J50" s="486"/>
      <c r="K50" s="486"/>
      <c r="L50" s="486"/>
      <c r="M50" s="486"/>
      <c r="N50" s="486"/>
      <c r="O50" s="486"/>
      <c r="P50" s="486"/>
      <c r="Q50" s="486"/>
      <c r="R50" s="486"/>
      <c r="S50" s="486"/>
      <c r="T50" s="486"/>
      <c r="U50" s="486"/>
      <c r="V50" s="516"/>
      <c r="W50" s="166"/>
    </row>
    <row r="51" spans="1:23" ht="16.5" customHeight="1">
      <c r="A51" s="166"/>
      <c r="B51" s="559" t="s">
        <v>418</v>
      </c>
      <c r="C51" s="560"/>
      <c r="D51" s="486"/>
      <c r="E51" s="486"/>
      <c r="F51" s="486"/>
      <c r="G51" s="486"/>
      <c r="H51" s="486"/>
      <c r="I51" s="486"/>
      <c r="J51" s="486"/>
      <c r="K51" s="486"/>
      <c r="L51" s="486"/>
      <c r="M51" s="486"/>
      <c r="N51" s="486"/>
      <c r="O51" s="486"/>
      <c r="P51" s="486"/>
      <c r="Q51" s="486"/>
      <c r="R51" s="486"/>
      <c r="S51" s="486"/>
      <c r="T51" s="486"/>
      <c r="U51" s="486"/>
      <c r="V51" s="516"/>
      <c r="W51" s="166"/>
    </row>
    <row r="52" spans="1:23" ht="23.25" customHeight="1" thickBot="1">
      <c r="A52" s="166"/>
      <c r="B52" s="491" t="s">
        <v>419</v>
      </c>
      <c r="C52" s="492"/>
      <c r="D52" s="557"/>
      <c r="E52" s="557"/>
      <c r="F52" s="557"/>
      <c r="G52" s="557"/>
      <c r="H52" s="557"/>
      <c r="I52" s="557"/>
      <c r="J52" s="557"/>
      <c r="K52" s="557"/>
      <c r="L52" s="557"/>
      <c r="M52" s="557"/>
      <c r="N52" s="557"/>
      <c r="O52" s="557"/>
      <c r="P52" s="557"/>
      <c r="Q52" s="557"/>
      <c r="R52" s="557"/>
      <c r="S52" s="557"/>
      <c r="T52" s="557"/>
      <c r="U52" s="557"/>
      <c r="V52" s="558"/>
      <c r="W52" s="166"/>
    </row>
    <row r="53" spans="1:98" s="190" customFormat="1" ht="10.5">
      <c r="A53" s="187"/>
      <c r="B53" s="489"/>
      <c r="C53" s="490"/>
      <c r="D53" s="490"/>
      <c r="E53" s="490"/>
      <c r="F53" s="490"/>
      <c r="G53" s="490"/>
      <c r="H53" s="550" t="s">
        <v>355</v>
      </c>
      <c r="I53" s="550"/>
      <c r="J53" s="550"/>
      <c r="K53" s="550"/>
      <c r="L53" s="550"/>
      <c r="M53" s="550"/>
      <c r="N53" s="550" t="s">
        <v>25</v>
      </c>
      <c r="O53" s="550"/>
      <c r="P53" s="550"/>
      <c r="Q53" s="550" t="s">
        <v>356</v>
      </c>
      <c r="R53" s="550"/>
      <c r="S53" s="550"/>
      <c r="T53" s="550"/>
      <c r="U53" s="550"/>
      <c r="V53" s="554"/>
      <c r="W53" s="187"/>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row>
    <row r="54" spans="1:98" s="190" customFormat="1" ht="18" customHeight="1">
      <c r="A54" s="187"/>
      <c r="B54" s="436" t="s">
        <v>518</v>
      </c>
      <c r="C54" s="437"/>
      <c r="D54" s="437"/>
      <c r="E54" s="437"/>
      <c r="F54" s="437"/>
      <c r="G54" s="437"/>
      <c r="H54" s="438" t="s">
        <v>519</v>
      </c>
      <c r="I54" s="438"/>
      <c r="J54" s="438"/>
      <c r="K54" s="438"/>
      <c r="L54" s="438"/>
      <c r="M54" s="438"/>
      <c r="N54" s="439"/>
      <c r="O54" s="440"/>
      <c r="P54" s="440"/>
      <c r="Q54" s="441"/>
      <c r="R54" s="441"/>
      <c r="S54" s="441"/>
      <c r="T54" s="441"/>
      <c r="U54" s="441"/>
      <c r="V54" s="442"/>
      <c r="W54" s="187"/>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row>
    <row r="55" spans="1:23" ht="18" customHeight="1">
      <c r="A55" s="166"/>
      <c r="B55" s="494" t="s">
        <v>413</v>
      </c>
      <c r="C55" s="495"/>
      <c r="D55" s="495"/>
      <c r="E55" s="495"/>
      <c r="F55" s="495"/>
      <c r="G55" s="495"/>
      <c r="H55" s="553"/>
      <c r="I55" s="553"/>
      <c r="J55" s="553"/>
      <c r="K55" s="553"/>
      <c r="L55" s="553"/>
      <c r="M55" s="553"/>
      <c r="N55" s="555"/>
      <c r="O55" s="556"/>
      <c r="P55" s="556"/>
      <c r="Q55" s="551"/>
      <c r="R55" s="551"/>
      <c r="S55" s="551"/>
      <c r="T55" s="551"/>
      <c r="U55" s="551"/>
      <c r="V55" s="552"/>
      <c r="W55" s="166"/>
    </row>
    <row r="56" spans="1:23" ht="18" customHeight="1">
      <c r="A56" s="166"/>
      <c r="B56" s="536" t="s">
        <v>421</v>
      </c>
      <c r="C56" s="537"/>
      <c r="D56" s="537"/>
      <c r="E56" s="537"/>
      <c r="F56" s="537"/>
      <c r="G56" s="537"/>
      <c r="H56" s="529"/>
      <c r="I56" s="529"/>
      <c r="J56" s="529"/>
      <c r="K56" s="529"/>
      <c r="L56" s="529"/>
      <c r="M56" s="529"/>
      <c r="N56" s="540"/>
      <c r="O56" s="540"/>
      <c r="P56" s="540"/>
      <c r="Q56" s="534"/>
      <c r="R56" s="534"/>
      <c r="S56" s="534"/>
      <c r="T56" s="534"/>
      <c r="U56" s="534"/>
      <c r="V56" s="535"/>
      <c r="W56" s="166"/>
    </row>
    <row r="57" spans="1:23" ht="18" customHeight="1">
      <c r="A57" s="166"/>
      <c r="B57" s="536" t="s">
        <v>412</v>
      </c>
      <c r="C57" s="537"/>
      <c r="D57" s="537"/>
      <c r="E57" s="537"/>
      <c r="F57" s="537"/>
      <c r="G57" s="537"/>
      <c r="H57" s="529" t="s">
        <v>520</v>
      </c>
      <c r="I57" s="529"/>
      <c r="J57" s="529"/>
      <c r="K57" s="529"/>
      <c r="L57" s="529"/>
      <c r="M57" s="529"/>
      <c r="N57" s="540"/>
      <c r="O57" s="540"/>
      <c r="P57" s="540"/>
      <c r="Q57" s="534"/>
      <c r="R57" s="534"/>
      <c r="S57" s="534"/>
      <c r="T57" s="534"/>
      <c r="U57" s="534"/>
      <c r="V57" s="535"/>
      <c r="W57" s="166"/>
    </row>
    <row r="58" spans="1:23" ht="18" customHeight="1" thickBot="1">
      <c r="A58" s="166"/>
      <c r="B58" s="487" t="s">
        <v>411</v>
      </c>
      <c r="C58" s="488"/>
      <c r="D58" s="488"/>
      <c r="E58" s="488"/>
      <c r="F58" s="488"/>
      <c r="G58" s="488"/>
      <c r="H58" s="530" t="s">
        <v>521</v>
      </c>
      <c r="I58" s="530"/>
      <c r="J58" s="530"/>
      <c r="K58" s="530"/>
      <c r="L58" s="530"/>
      <c r="M58" s="530"/>
      <c r="N58" s="533"/>
      <c r="O58" s="533"/>
      <c r="P58" s="533"/>
      <c r="Q58" s="531"/>
      <c r="R58" s="531"/>
      <c r="S58" s="531"/>
      <c r="T58" s="531"/>
      <c r="U58" s="531"/>
      <c r="V58" s="532"/>
      <c r="W58" s="166"/>
    </row>
    <row r="59" spans="1:98" s="239" customFormat="1" ht="16.5" customHeight="1">
      <c r="A59" s="237"/>
      <c r="B59" s="526" t="s">
        <v>364</v>
      </c>
      <c r="C59" s="527"/>
      <c r="D59" s="527"/>
      <c r="E59" s="527"/>
      <c r="F59" s="527"/>
      <c r="G59" s="527"/>
      <c r="H59" s="527"/>
      <c r="I59" s="527"/>
      <c r="J59" s="527"/>
      <c r="K59" s="527"/>
      <c r="L59" s="527"/>
      <c r="M59" s="527"/>
      <c r="N59" s="527"/>
      <c r="O59" s="527"/>
      <c r="P59" s="527"/>
      <c r="Q59" s="527"/>
      <c r="R59" s="527"/>
      <c r="S59" s="527"/>
      <c r="T59" s="527"/>
      <c r="U59" s="527"/>
      <c r="V59" s="528"/>
      <c r="W59" s="237"/>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c r="CC59" s="238"/>
      <c r="CD59" s="238"/>
      <c r="CE59" s="238"/>
      <c r="CF59" s="238"/>
      <c r="CG59" s="238"/>
      <c r="CH59" s="238"/>
      <c r="CI59" s="238"/>
      <c r="CJ59" s="238"/>
      <c r="CK59" s="238"/>
      <c r="CL59" s="238"/>
      <c r="CM59" s="238"/>
      <c r="CN59" s="238"/>
      <c r="CO59" s="238"/>
      <c r="CP59" s="238"/>
      <c r="CQ59" s="238"/>
      <c r="CR59" s="238"/>
      <c r="CS59" s="238"/>
      <c r="CT59" s="238"/>
    </row>
    <row r="60" spans="1:23" ht="15.75" customHeight="1">
      <c r="A60" s="166"/>
      <c r="B60" s="443" t="s">
        <v>361</v>
      </c>
      <c r="C60" s="444"/>
      <c r="D60" s="444"/>
      <c r="E60" s="444"/>
      <c r="F60" s="240" t="s">
        <v>19</v>
      </c>
      <c r="G60" s="493"/>
      <c r="H60" s="493"/>
      <c r="I60" s="241" t="s">
        <v>20</v>
      </c>
      <c r="J60" s="538"/>
      <c r="K60" s="538"/>
      <c r="L60" s="241" t="s">
        <v>20</v>
      </c>
      <c r="M60" s="539"/>
      <c r="N60" s="539"/>
      <c r="O60" s="473" t="s">
        <v>368</v>
      </c>
      <c r="P60" s="473"/>
      <c r="Q60" s="484"/>
      <c r="R60" s="484"/>
      <c r="S60" s="484"/>
      <c r="T60" s="484"/>
      <c r="U60" s="484"/>
      <c r="V60" s="112"/>
      <c r="W60" s="166"/>
    </row>
    <row r="61" spans="1:23" ht="15.75" customHeight="1">
      <c r="A61" s="166"/>
      <c r="B61" s="178"/>
      <c r="C61" s="173"/>
      <c r="D61" s="173"/>
      <c r="E61" s="173"/>
      <c r="F61" s="240" t="s">
        <v>19</v>
      </c>
      <c r="G61" s="482"/>
      <c r="H61" s="482"/>
      <c r="I61" s="241" t="s">
        <v>20</v>
      </c>
      <c r="J61" s="458"/>
      <c r="K61" s="458"/>
      <c r="L61" s="241" t="s">
        <v>20</v>
      </c>
      <c r="M61" s="483"/>
      <c r="N61" s="483"/>
      <c r="O61" s="473" t="s">
        <v>368</v>
      </c>
      <c r="P61" s="473"/>
      <c r="Q61" s="474"/>
      <c r="R61" s="474"/>
      <c r="S61" s="474"/>
      <c r="T61" s="474"/>
      <c r="U61" s="474"/>
      <c r="V61" s="112"/>
      <c r="W61" s="166"/>
    </row>
    <row r="62" spans="1:23" ht="15.75" customHeight="1">
      <c r="A62" s="166"/>
      <c r="B62" s="180"/>
      <c r="C62" s="181"/>
      <c r="D62" s="181"/>
      <c r="E62" s="181"/>
      <c r="F62" s="240" t="s">
        <v>19</v>
      </c>
      <c r="G62" s="482"/>
      <c r="H62" s="482"/>
      <c r="I62" s="241" t="s">
        <v>20</v>
      </c>
      <c r="J62" s="458"/>
      <c r="K62" s="458"/>
      <c r="L62" s="241" t="s">
        <v>20</v>
      </c>
      <c r="M62" s="483"/>
      <c r="N62" s="483"/>
      <c r="O62" s="473" t="s">
        <v>368</v>
      </c>
      <c r="P62" s="473"/>
      <c r="Q62" s="474"/>
      <c r="R62" s="474"/>
      <c r="S62" s="474"/>
      <c r="T62" s="474"/>
      <c r="U62" s="474"/>
      <c r="V62" s="112"/>
      <c r="W62" s="166"/>
    </row>
    <row r="63" spans="1:23" ht="10.5" customHeight="1" thickBot="1">
      <c r="A63" s="166"/>
      <c r="B63" s="233"/>
      <c r="C63" s="234"/>
      <c r="D63" s="234"/>
      <c r="E63" s="234"/>
      <c r="F63" s="234"/>
      <c r="G63" s="234"/>
      <c r="H63" s="242"/>
      <c r="I63" s="252"/>
      <c r="J63" s="252"/>
      <c r="K63" s="243"/>
      <c r="L63" s="252"/>
      <c r="M63" s="252"/>
      <c r="N63" s="243"/>
      <c r="O63" s="252"/>
      <c r="P63" s="252"/>
      <c r="Q63" s="234"/>
      <c r="R63" s="234"/>
      <c r="S63" s="234"/>
      <c r="T63" s="234"/>
      <c r="U63" s="234"/>
      <c r="V63" s="236"/>
      <c r="W63" s="166"/>
    </row>
    <row r="64" spans="1:23" ht="15.75" customHeight="1">
      <c r="A64" s="166"/>
      <c r="B64" s="507" t="s">
        <v>250</v>
      </c>
      <c r="C64" s="507"/>
      <c r="D64" s="507"/>
      <c r="E64" s="507"/>
      <c r="F64" s="507"/>
      <c r="G64" s="507"/>
      <c r="H64" s="507"/>
      <c r="I64" s="507"/>
      <c r="J64" s="507"/>
      <c r="K64" s="507"/>
      <c r="L64" s="507"/>
      <c r="M64" s="507"/>
      <c r="N64" s="507"/>
      <c r="O64" s="507"/>
      <c r="P64" s="507"/>
      <c r="Q64" s="507"/>
      <c r="R64" s="507"/>
      <c r="S64" s="507"/>
      <c r="T64" s="507"/>
      <c r="U64" s="507"/>
      <c r="V64" s="507"/>
      <c r="W64" s="166"/>
    </row>
    <row r="65" spans="1:23" ht="15.75" customHeight="1">
      <c r="A65" s="166"/>
      <c r="B65" s="244" t="s">
        <v>422</v>
      </c>
      <c r="C65" s="166"/>
      <c r="D65" s="166"/>
      <c r="E65" s="166"/>
      <c r="F65" s="166"/>
      <c r="G65" s="166"/>
      <c r="H65" s="166"/>
      <c r="I65" s="166"/>
      <c r="J65" s="166"/>
      <c r="K65" s="166"/>
      <c r="L65" s="166"/>
      <c r="M65" s="166"/>
      <c r="N65" s="166"/>
      <c r="O65" s="166"/>
      <c r="P65" s="166"/>
      <c r="Q65" s="166"/>
      <c r="R65" s="166"/>
      <c r="S65" s="166"/>
      <c r="T65" s="166"/>
      <c r="U65" s="166"/>
      <c r="V65" s="166"/>
      <c r="W65" s="166"/>
    </row>
    <row r="66" spans="1:23" ht="16.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row>
    <row r="67" spans="1:23" ht="9.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row>
    <row r="68" spans="1:23" ht="11.25">
      <c r="A68" s="166"/>
      <c r="B68" s="166"/>
      <c r="C68" s="166"/>
      <c r="D68" s="166"/>
      <c r="E68" s="166"/>
      <c r="F68" s="166"/>
      <c r="G68" s="166"/>
      <c r="H68" s="166"/>
      <c r="I68" s="166"/>
      <c r="J68" s="166"/>
      <c r="K68" s="166"/>
      <c r="L68" s="166"/>
      <c r="M68" s="166"/>
      <c r="N68" s="166"/>
      <c r="O68" s="166"/>
      <c r="P68" s="166"/>
      <c r="Q68" s="166"/>
      <c r="R68" s="166"/>
      <c r="S68" s="166"/>
      <c r="T68" s="166"/>
      <c r="U68" s="166"/>
      <c r="V68" s="166"/>
      <c r="W68" s="166"/>
    </row>
    <row r="69" spans="1:23" ht="11.25">
      <c r="A69" s="166"/>
      <c r="B69" s="166"/>
      <c r="C69" s="166"/>
      <c r="D69" s="166"/>
      <c r="E69" s="166"/>
      <c r="F69" s="166"/>
      <c r="G69" s="166"/>
      <c r="H69" s="166"/>
      <c r="I69" s="166"/>
      <c r="J69" s="166"/>
      <c r="K69" s="166"/>
      <c r="L69" s="166"/>
      <c r="M69" s="166"/>
      <c r="N69" s="166"/>
      <c r="O69" s="166"/>
      <c r="P69" s="166"/>
      <c r="Q69" s="166"/>
      <c r="R69" s="166"/>
      <c r="S69" s="166"/>
      <c r="T69" s="166"/>
      <c r="U69" s="166"/>
      <c r="V69" s="166"/>
      <c r="W69" s="166"/>
    </row>
    <row r="70" spans="1:23" ht="11.25">
      <c r="A70" s="166"/>
      <c r="B70" s="166"/>
      <c r="C70" s="166"/>
      <c r="D70" s="166"/>
      <c r="E70" s="166"/>
      <c r="F70" s="166"/>
      <c r="G70" s="166"/>
      <c r="H70" s="166"/>
      <c r="I70" s="166"/>
      <c r="J70" s="166"/>
      <c r="K70" s="166"/>
      <c r="L70" s="166"/>
      <c r="M70" s="166"/>
      <c r="N70" s="166"/>
      <c r="O70" s="166"/>
      <c r="P70" s="166"/>
      <c r="Q70" s="166"/>
      <c r="R70" s="166"/>
      <c r="S70" s="166"/>
      <c r="T70" s="166"/>
      <c r="U70" s="166"/>
      <c r="V70" s="166"/>
      <c r="W70" s="166"/>
    </row>
    <row r="71" spans="1:23" ht="11.25">
      <c r="A71" s="166"/>
      <c r="B71" s="166"/>
      <c r="C71" s="166"/>
      <c r="D71" s="166"/>
      <c r="E71" s="166"/>
      <c r="F71" s="166"/>
      <c r="G71" s="166"/>
      <c r="H71" s="166"/>
      <c r="I71" s="166"/>
      <c r="J71" s="166"/>
      <c r="K71" s="166"/>
      <c r="L71" s="166"/>
      <c r="M71" s="166"/>
      <c r="N71" s="166"/>
      <c r="O71" s="166"/>
      <c r="P71" s="166"/>
      <c r="Q71" s="166"/>
      <c r="R71" s="166"/>
      <c r="S71" s="166"/>
      <c r="T71" s="166"/>
      <c r="U71" s="166"/>
      <c r="V71" s="166"/>
      <c r="W71" s="166"/>
    </row>
    <row r="72" spans="1:23" ht="11.25">
      <c r="A72" s="166"/>
      <c r="B72" s="166"/>
      <c r="C72" s="166"/>
      <c r="D72" s="166"/>
      <c r="E72" s="166"/>
      <c r="F72" s="166"/>
      <c r="G72" s="166"/>
      <c r="H72" s="166"/>
      <c r="I72" s="166"/>
      <c r="J72" s="166"/>
      <c r="K72" s="166"/>
      <c r="L72" s="166"/>
      <c r="M72" s="166"/>
      <c r="N72" s="166"/>
      <c r="O72" s="166"/>
      <c r="P72" s="166"/>
      <c r="Q72" s="166"/>
      <c r="R72" s="166"/>
      <c r="S72" s="166"/>
      <c r="T72" s="166"/>
      <c r="U72" s="166"/>
      <c r="V72" s="166"/>
      <c r="W72" s="166"/>
    </row>
    <row r="73" spans="1:23" ht="11.25">
      <c r="A73" s="166"/>
      <c r="B73" s="166"/>
      <c r="C73" s="166"/>
      <c r="D73" s="166"/>
      <c r="E73" s="166"/>
      <c r="F73" s="166"/>
      <c r="G73" s="166"/>
      <c r="H73" s="166"/>
      <c r="I73" s="166"/>
      <c r="J73" s="166"/>
      <c r="K73" s="166"/>
      <c r="L73" s="166"/>
      <c r="M73" s="166"/>
      <c r="N73" s="166"/>
      <c r="O73" s="166"/>
      <c r="P73" s="166"/>
      <c r="Q73" s="166"/>
      <c r="R73" s="166"/>
      <c r="S73" s="166"/>
      <c r="T73" s="166"/>
      <c r="U73" s="166"/>
      <c r="V73" s="166"/>
      <c r="W73" s="166"/>
    </row>
    <row r="74" spans="1:23" ht="11.25">
      <c r="A74" s="166"/>
      <c r="B74" s="166"/>
      <c r="C74" s="166"/>
      <c r="D74" s="166"/>
      <c r="E74" s="166"/>
      <c r="F74" s="166"/>
      <c r="G74" s="166"/>
      <c r="H74" s="166"/>
      <c r="I74" s="166"/>
      <c r="J74" s="166"/>
      <c r="K74" s="166"/>
      <c r="L74" s="166"/>
      <c r="M74" s="166"/>
      <c r="N74" s="166"/>
      <c r="O74" s="166"/>
      <c r="P74" s="166"/>
      <c r="Q74" s="166"/>
      <c r="R74" s="166"/>
      <c r="S74" s="166"/>
      <c r="T74" s="166"/>
      <c r="U74" s="166"/>
      <c r="V74" s="166"/>
      <c r="W74" s="166"/>
    </row>
    <row r="75" spans="1:23" ht="11.25">
      <c r="A75" s="166"/>
      <c r="B75" s="166"/>
      <c r="C75" s="166"/>
      <c r="D75" s="166"/>
      <c r="E75" s="166"/>
      <c r="F75" s="166"/>
      <c r="G75" s="166"/>
      <c r="H75" s="166"/>
      <c r="I75" s="166"/>
      <c r="J75" s="166"/>
      <c r="K75" s="166"/>
      <c r="L75" s="166"/>
      <c r="M75" s="166"/>
      <c r="N75" s="166"/>
      <c r="O75" s="166"/>
      <c r="P75" s="166"/>
      <c r="Q75" s="166"/>
      <c r="R75" s="166"/>
      <c r="S75" s="166"/>
      <c r="T75" s="166"/>
      <c r="U75" s="166"/>
      <c r="V75" s="166"/>
      <c r="W75" s="166"/>
    </row>
    <row r="76" spans="1:23" ht="11.25">
      <c r="A76" s="166"/>
      <c r="B76" s="166"/>
      <c r="C76" s="166"/>
      <c r="D76" s="166"/>
      <c r="E76" s="166"/>
      <c r="F76" s="166"/>
      <c r="G76" s="166"/>
      <c r="H76" s="166"/>
      <c r="I76" s="166"/>
      <c r="J76" s="166"/>
      <c r="K76" s="166"/>
      <c r="L76" s="166"/>
      <c r="M76" s="166"/>
      <c r="N76" s="166"/>
      <c r="O76" s="166"/>
      <c r="P76" s="166"/>
      <c r="Q76" s="166"/>
      <c r="R76" s="166"/>
      <c r="S76" s="166"/>
      <c r="T76" s="166"/>
      <c r="U76" s="166"/>
      <c r="V76" s="166"/>
      <c r="W76" s="166"/>
    </row>
    <row r="77" spans="1:23" ht="11.25">
      <c r="A77" s="166"/>
      <c r="B77" s="166"/>
      <c r="C77" s="166"/>
      <c r="D77" s="166"/>
      <c r="E77" s="166"/>
      <c r="F77" s="166"/>
      <c r="G77" s="166"/>
      <c r="H77" s="166"/>
      <c r="I77" s="166"/>
      <c r="J77" s="166"/>
      <c r="K77" s="166"/>
      <c r="L77" s="166"/>
      <c r="M77" s="166"/>
      <c r="N77" s="166"/>
      <c r="O77" s="166"/>
      <c r="P77" s="166"/>
      <c r="Q77" s="166"/>
      <c r="R77" s="166"/>
      <c r="S77" s="166"/>
      <c r="T77" s="166"/>
      <c r="U77" s="166"/>
      <c r="V77" s="166"/>
      <c r="W77" s="166"/>
    </row>
    <row r="78" spans="1:23" ht="11.25">
      <c r="A78" s="166"/>
      <c r="B78" s="166"/>
      <c r="C78" s="166"/>
      <c r="D78" s="166"/>
      <c r="E78" s="166"/>
      <c r="F78" s="166"/>
      <c r="G78" s="166"/>
      <c r="H78" s="166"/>
      <c r="I78" s="166"/>
      <c r="J78" s="166"/>
      <c r="K78" s="166"/>
      <c r="L78" s="166"/>
      <c r="M78" s="166"/>
      <c r="N78" s="166"/>
      <c r="O78" s="166"/>
      <c r="P78" s="166"/>
      <c r="Q78" s="166"/>
      <c r="R78" s="166"/>
      <c r="S78" s="166"/>
      <c r="T78" s="166"/>
      <c r="U78" s="166"/>
      <c r="V78" s="166"/>
      <c r="W78" s="166"/>
    </row>
    <row r="79" spans="1:23" ht="11.25">
      <c r="A79" s="166"/>
      <c r="B79" s="166"/>
      <c r="C79" s="166"/>
      <c r="D79" s="166"/>
      <c r="E79" s="166"/>
      <c r="F79" s="166"/>
      <c r="G79" s="166"/>
      <c r="H79" s="166"/>
      <c r="I79" s="166"/>
      <c r="J79" s="166"/>
      <c r="K79" s="166"/>
      <c r="L79" s="166"/>
      <c r="M79" s="166"/>
      <c r="N79" s="166"/>
      <c r="O79" s="166"/>
      <c r="P79" s="166"/>
      <c r="Q79" s="166"/>
      <c r="R79" s="166"/>
      <c r="S79" s="166"/>
      <c r="T79" s="166"/>
      <c r="U79" s="166"/>
      <c r="V79" s="166"/>
      <c r="W79" s="166"/>
    </row>
    <row r="80" spans="1:23" ht="11.25">
      <c r="A80" s="166"/>
      <c r="B80" s="166"/>
      <c r="C80" s="166"/>
      <c r="D80" s="166"/>
      <c r="E80" s="166"/>
      <c r="F80" s="166"/>
      <c r="G80" s="166"/>
      <c r="H80" s="166"/>
      <c r="I80" s="166"/>
      <c r="J80" s="166"/>
      <c r="K80" s="166"/>
      <c r="L80" s="166"/>
      <c r="M80" s="166"/>
      <c r="N80" s="166"/>
      <c r="O80" s="166"/>
      <c r="P80" s="166"/>
      <c r="Q80" s="166"/>
      <c r="R80" s="166"/>
      <c r="S80" s="166"/>
      <c r="T80" s="166"/>
      <c r="U80" s="166"/>
      <c r="V80" s="166"/>
      <c r="W80" s="166"/>
    </row>
    <row r="81" spans="1:23" ht="11.25">
      <c r="A81" s="166"/>
      <c r="B81" s="166"/>
      <c r="C81" s="166"/>
      <c r="D81" s="166"/>
      <c r="E81" s="166"/>
      <c r="F81" s="166"/>
      <c r="G81" s="166"/>
      <c r="H81" s="166"/>
      <c r="I81" s="166"/>
      <c r="J81" s="166"/>
      <c r="K81" s="166"/>
      <c r="L81" s="166"/>
      <c r="M81" s="166"/>
      <c r="N81" s="166"/>
      <c r="O81" s="166"/>
      <c r="P81" s="166"/>
      <c r="Q81" s="166"/>
      <c r="R81" s="166"/>
      <c r="S81" s="166"/>
      <c r="T81" s="166"/>
      <c r="U81" s="166"/>
      <c r="V81" s="166"/>
      <c r="W81" s="166"/>
    </row>
    <row r="82" spans="1:23" ht="11.25">
      <c r="A82" s="166"/>
      <c r="B82" s="166"/>
      <c r="C82" s="166"/>
      <c r="D82" s="166"/>
      <c r="E82" s="166"/>
      <c r="F82" s="166"/>
      <c r="G82" s="166"/>
      <c r="H82" s="166"/>
      <c r="I82" s="166"/>
      <c r="J82" s="166"/>
      <c r="K82" s="166"/>
      <c r="L82" s="166"/>
      <c r="M82" s="166"/>
      <c r="N82" s="166"/>
      <c r="O82" s="166"/>
      <c r="P82" s="166"/>
      <c r="Q82" s="166"/>
      <c r="R82" s="166"/>
      <c r="S82" s="166"/>
      <c r="T82" s="166"/>
      <c r="U82" s="166"/>
      <c r="V82" s="166"/>
      <c r="W82" s="166"/>
    </row>
    <row r="83" spans="1:23" ht="11.25">
      <c r="A83" s="166"/>
      <c r="B83" s="166"/>
      <c r="C83" s="166"/>
      <c r="D83" s="166"/>
      <c r="E83" s="166"/>
      <c r="F83" s="166"/>
      <c r="G83" s="166"/>
      <c r="H83" s="166"/>
      <c r="I83" s="166"/>
      <c r="J83" s="166"/>
      <c r="K83" s="166"/>
      <c r="L83" s="166"/>
      <c r="M83" s="166"/>
      <c r="N83" s="166"/>
      <c r="O83" s="166"/>
      <c r="P83" s="166"/>
      <c r="Q83" s="166"/>
      <c r="R83" s="166"/>
      <c r="S83" s="166"/>
      <c r="T83" s="166"/>
      <c r="U83" s="166"/>
      <c r="V83" s="166"/>
      <c r="W83" s="166"/>
    </row>
    <row r="84" spans="1:23" ht="11.25">
      <c r="A84" s="166"/>
      <c r="B84" s="166"/>
      <c r="C84" s="166"/>
      <c r="D84" s="166"/>
      <c r="E84" s="166"/>
      <c r="F84" s="166"/>
      <c r="G84" s="166"/>
      <c r="H84" s="166"/>
      <c r="I84" s="166"/>
      <c r="J84" s="166"/>
      <c r="K84" s="166"/>
      <c r="L84" s="166"/>
      <c r="M84" s="166"/>
      <c r="N84" s="166"/>
      <c r="O84" s="166"/>
      <c r="P84" s="166"/>
      <c r="Q84" s="166"/>
      <c r="R84" s="166"/>
      <c r="S84" s="166"/>
      <c r="T84" s="166"/>
      <c r="U84" s="166"/>
      <c r="V84" s="166"/>
      <c r="W84" s="166"/>
    </row>
    <row r="85" spans="1:23" ht="11.25">
      <c r="A85" s="166"/>
      <c r="B85" s="166"/>
      <c r="C85" s="166"/>
      <c r="D85" s="166"/>
      <c r="E85" s="166"/>
      <c r="F85" s="166"/>
      <c r="G85" s="166"/>
      <c r="H85" s="166"/>
      <c r="I85" s="166"/>
      <c r="J85" s="166"/>
      <c r="K85" s="166"/>
      <c r="L85" s="166"/>
      <c r="M85" s="166"/>
      <c r="N85" s="166"/>
      <c r="O85" s="166"/>
      <c r="P85" s="166"/>
      <c r="Q85" s="166"/>
      <c r="R85" s="166"/>
      <c r="S85" s="166"/>
      <c r="T85" s="166"/>
      <c r="U85" s="166"/>
      <c r="V85" s="166"/>
      <c r="W85" s="166"/>
    </row>
    <row r="86" spans="1:23" ht="11.25">
      <c r="A86" s="166"/>
      <c r="B86" s="166"/>
      <c r="C86" s="166"/>
      <c r="D86" s="166"/>
      <c r="E86" s="166"/>
      <c r="F86" s="166"/>
      <c r="G86" s="166"/>
      <c r="H86" s="166"/>
      <c r="I86" s="166"/>
      <c r="J86" s="166"/>
      <c r="K86" s="166"/>
      <c r="L86" s="166"/>
      <c r="M86" s="166"/>
      <c r="N86" s="166"/>
      <c r="O86" s="166"/>
      <c r="P86" s="166"/>
      <c r="Q86" s="166"/>
      <c r="R86" s="166"/>
      <c r="S86" s="166"/>
      <c r="T86" s="166"/>
      <c r="U86" s="166"/>
      <c r="V86" s="166"/>
      <c r="W86" s="166"/>
    </row>
    <row r="87" spans="1:23" ht="11.25">
      <c r="A87" s="166"/>
      <c r="B87" s="166"/>
      <c r="C87" s="166"/>
      <c r="D87" s="166"/>
      <c r="E87" s="166"/>
      <c r="F87" s="166"/>
      <c r="G87" s="166"/>
      <c r="H87" s="166"/>
      <c r="I87" s="166"/>
      <c r="J87" s="166"/>
      <c r="K87" s="166"/>
      <c r="L87" s="166"/>
      <c r="M87" s="166"/>
      <c r="N87" s="166"/>
      <c r="O87" s="166"/>
      <c r="P87" s="166"/>
      <c r="Q87" s="166"/>
      <c r="R87" s="166"/>
      <c r="S87" s="166"/>
      <c r="T87" s="166"/>
      <c r="U87" s="166"/>
      <c r="V87" s="166"/>
      <c r="W87" s="166"/>
    </row>
    <row r="88" spans="1:23" ht="11.25">
      <c r="A88" s="166"/>
      <c r="B88" s="166"/>
      <c r="C88" s="166"/>
      <c r="D88" s="166"/>
      <c r="E88" s="166"/>
      <c r="F88" s="166"/>
      <c r="G88" s="166"/>
      <c r="H88" s="166"/>
      <c r="I88" s="166"/>
      <c r="J88" s="166"/>
      <c r="K88" s="166"/>
      <c r="L88" s="166"/>
      <c r="M88" s="166"/>
      <c r="N88" s="166"/>
      <c r="O88" s="166"/>
      <c r="P88" s="166"/>
      <c r="Q88" s="166"/>
      <c r="R88" s="166"/>
      <c r="S88" s="166"/>
      <c r="T88" s="166"/>
      <c r="U88" s="166"/>
      <c r="V88" s="166"/>
      <c r="W88" s="166"/>
    </row>
    <row r="89" spans="1:23" ht="11.25">
      <c r="A89" s="166"/>
      <c r="B89" s="166"/>
      <c r="C89" s="166"/>
      <c r="D89" s="166"/>
      <c r="E89" s="166"/>
      <c r="F89" s="166"/>
      <c r="G89" s="166"/>
      <c r="H89" s="166"/>
      <c r="I89" s="166"/>
      <c r="J89" s="166"/>
      <c r="K89" s="166"/>
      <c r="L89" s="166"/>
      <c r="M89" s="166"/>
      <c r="N89" s="166"/>
      <c r="O89" s="166"/>
      <c r="P89" s="166"/>
      <c r="Q89" s="166"/>
      <c r="R89" s="166"/>
      <c r="S89" s="166"/>
      <c r="T89" s="166"/>
      <c r="U89" s="166"/>
      <c r="V89" s="166"/>
      <c r="W89" s="166"/>
    </row>
    <row r="90" spans="1:23" ht="11.25">
      <c r="A90" s="166"/>
      <c r="B90" s="166"/>
      <c r="C90" s="166"/>
      <c r="D90" s="166"/>
      <c r="E90" s="166"/>
      <c r="F90" s="166"/>
      <c r="G90" s="166"/>
      <c r="H90" s="166"/>
      <c r="I90" s="166"/>
      <c r="J90" s="166"/>
      <c r="K90" s="166"/>
      <c r="L90" s="166"/>
      <c r="M90" s="166"/>
      <c r="N90" s="166"/>
      <c r="O90" s="166"/>
      <c r="P90" s="166"/>
      <c r="Q90" s="166"/>
      <c r="R90" s="166"/>
      <c r="S90" s="166"/>
      <c r="T90" s="166"/>
      <c r="U90" s="166"/>
      <c r="V90" s="166"/>
      <c r="W90" s="166"/>
    </row>
    <row r="91" spans="1:23" ht="11.25">
      <c r="A91" s="166"/>
      <c r="B91" s="166"/>
      <c r="C91" s="166"/>
      <c r="D91" s="166"/>
      <c r="E91" s="166"/>
      <c r="F91" s="166"/>
      <c r="G91" s="166"/>
      <c r="H91" s="166"/>
      <c r="I91" s="166"/>
      <c r="J91" s="166"/>
      <c r="K91" s="166"/>
      <c r="L91" s="166"/>
      <c r="M91" s="166"/>
      <c r="N91" s="166"/>
      <c r="O91" s="166"/>
      <c r="P91" s="166"/>
      <c r="Q91" s="166"/>
      <c r="R91" s="166"/>
      <c r="S91" s="166"/>
      <c r="T91" s="166"/>
      <c r="U91" s="166"/>
      <c r="V91" s="166"/>
      <c r="W91" s="166"/>
    </row>
    <row r="92" spans="1:23" ht="11.25">
      <c r="A92" s="166"/>
      <c r="B92" s="166"/>
      <c r="C92" s="166"/>
      <c r="D92" s="166"/>
      <c r="E92" s="166"/>
      <c r="F92" s="166"/>
      <c r="G92" s="166"/>
      <c r="H92" s="166"/>
      <c r="I92" s="166"/>
      <c r="J92" s="166"/>
      <c r="K92" s="166"/>
      <c r="L92" s="166"/>
      <c r="M92" s="166"/>
      <c r="N92" s="166"/>
      <c r="O92" s="166"/>
      <c r="P92" s="166"/>
      <c r="Q92" s="166"/>
      <c r="R92" s="166"/>
      <c r="S92" s="166"/>
      <c r="T92" s="166"/>
      <c r="U92" s="166"/>
      <c r="V92" s="166"/>
      <c r="W92" s="166"/>
    </row>
    <row r="93" spans="1:23" ht="11.25">
      <c r="A93" s="166"/>
      <c r="B93" s="166"/>
      <c r="C93" s="166"/>
      <c r="D93" s="166"/>
      <c r="E93" s="166"/>
      <c r="F93" s="166"/>
      <c r="G93" s="166"/>
      <c r="H93" s="166"/>
      <c r="I93" s="166"/>
      <c r="J93" s="166"/>
      <c r="K93" s="166"/>
      <c r="L93" s="166"/>
      <c r="M93" s="166"/>
      <c r="N93" s="166"/>
      <c r="O93" s="166"/>
      <c r="P93" s="166"/>
      <c r="Q93" s="166"/>
      <c r="R93" s="166"/>
      <c r="S93" s="166"/>
      <c r="T93" s="166"/>
      <c r="U93" s="166"/>
      <c r="V93" s="166"/>
      <c r="W93" s="166"/>
    </row>
    <row r="94" spans="1:23" ht="11.25">
      <c r="A94" s="166"/>
      <c r="B94" s="166"/>
      <c r="C94" s="166"/>
      <c r="D94" s="166"/>
      <c r="E94" s="166"/>
      <c r="F94" s="166"/>
      <c r="G94" s="166"/>
      <c r="H94" s="166"/>
      <c r="I94" s="166"/>
      <c r="J94" s="166"/>
      <c r="K94" s="166"/>
      <c r="L94" s="166"/>
      <c r="M94" s="166"/>
      <c r="N94" s="166"/>
      <c r="O94" s="166"/>
      <c r="P94" s="166"/>
      <c r="Q94" s="166"/>
      <c r="R94" s="166"/>
      <c r="S94" s="166"/>
      <c r="T94" s="166"/>
      <c r="U94" s="166"/>
      <c r="V94" s="166"/>
      <c r="W94" s="166"/>
    </row>
    <row r="95" spans="1:23" ht="11.25">
      <c r="A95" s="166"/>
      <c r="B95" s="166"/>
      <c r="C95" s="166"/>
      <c r="D95" s="166"/>
      <c r="E95" s="166"/>
      <c r="F95" s="166"/>
      <c r="G95" s="166"/>
      <c r="H95" s="166"/>
      <c r="I95" s="166"/>
      <c r="J95" s="166"/>
      <c r="K95" s="166"/>
      <c r="L95" s="166"/>
      <c r="M95" s="166"/>
      <c r="N95" s="166"/>
      <c r="O95" s="166"/>
      <c r="P95" s="166"/>
      <c r="Q95" s="166"/>
      <c r="R95" s="166"/>
      <c r="S95" s="166"/>
      <c r="T95" s="166"/>
      <c r="U95" s="166"/>
      <c r="V95" s="166"/>
      <c r="W95" s="166"/>
    </row>
    <row r="96" spans="1:23" ht="11.25">
      <c r="A96" s="166"/>
      <c r="B96" s="166"/>
      <c r="C96" s="166"/>
      <c r="D96" s="166"/>
      <c r="E96" s="166"/>
      <c r="F96" s="166"/>
      <c r="G96" s="166"/>
      <c r="H96" s="166"/>
      <c r="I96" s="166"/>
      <c r="J96" s="166"/>
      <c r="K96" s="166"/>
      <c r="L96" s="166"/>
      <c r="M96" s="166"/>
      <c r="N96" s="166"/>
      <c r="O96" s="166"/>
      <c r="P96" s="166"/>
      <c r="Q96" s="166"/>
      <c r="R96" s="166"/>
      <c r="S96" s="166"/>
      <c r="T96" s="166"/>
      <c r="U96" s="166"/>
      <c r="V96" s="166"/>
      <c r="W96" s="166"/>
    </row>
    <row r="97" spans="1:23" ht="11.25">
      <c r="A97" s="166"/>
      <c r="B97" s="166"/>
      <c r="C97" s="166"/>
      <c r="D97" s="166"/>
      <c r="E97" s="166"/>
      <c r="F97" s="166"/>
      <c r="G97" s="166"/>
      <c r="H97" s="166"/>
      <c r="I97" s="166"/>
      <c r="J97" s="166"/>
      <c r="K97" s="166"/>
      <c r="L97" s="166"/>
      <c r="M97" s="166"/>
      <c r="N97" s="166"/>
      <c r="O97" s="166"/>
      <c r="P97" s="166"/>
      <c r="Q97" s="166"/>
      <c r="R97" s="166"/>
      <c r="S97" s="166"/>
      <c r="T97" s="166"/>
      <c r="U97" s="166"/>
      <c r="V97" s="166"/>
      <c r="W97" s="166"/>
    </row>
    <row r="98" spans="1:23" ht="11.25">
      <c r="A98" s="166"/>
      <c r="B98" s="166"/>
      <c r="C98" s="166"/>
      <c r="D98" s="166"/>
      <c r="E98" s="166"/>
      <c r="F98" s="166"/>
      <c r="G98" s="166"/>
      <c r="H98" s="166"/>
      <c r="I98" s="166"/>
      <c r="J98" s="166"/>
      <c r="K98" s="166"/>
      <c r="L98" s="166"/>
      <c r="M98" s="166"/>
      <c r="N98" s="166"/>
      <c r="O98" s="166"/>
      <c r="P98" s="166"/>
      <c r="Q98" s="166"/>
      <c r="R98" s="166"/>
      <c r="S98" s="166"/>
      <c r="T98" s="166"/>
      <c r="U98" s="166"/>
      <c r="V98" s="166"/>
      <c r="W98" s="166"/>
    </row>
    <row r="99" spans="1:23" ht="11.25">
      <c r="A99" s="166"/>
      <c r="B99" s="166"/>
      <c r="C99" s="166"/>
      <c r="D99" s="166"/>
      <c r="E99" s="166"/>
      <c r="F99" s="166"/>
      <c r="G99" s="166"/>
      <c r="H99" s="166"/>
      <c r="I99" s="166"/>
      <c r="J99" s="166"/>
      <c r="K99" s="166"/>
      <c r="L99" s="166"/>
      <c r="M99" s="166"/>
      <c r="N99" s="166"/>
      <c r="O99" s="166"/>
      <c r="P99" s="166"/>
      <c r="Q99" s="166"/>
      <c r="R99" s="166"/>
      <c r="S99" s="166"/>
      <c r="T99" s="166"/>
      <c r="U99" s="166"/>
      <c r="V99" s="166"/>
      <c r="W99" s="166"/>
    </row>
    <row r="100" spans="1:23" ht="11.25">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row>
    <row r="101" spans="1:23" ht="11.25">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row>
    <row r="102" spans="1:23" ht="11.25">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row>
    <row r="103" spans="1:23" ht="11.25">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row>
    <row r="104" spans="1:23" ht="11.25">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row>
    <row r="105" spans="1:23" ht="11.25">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row>
    <row r="106" spans="1:23" ht="11.25">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row>
    <row r="107" spans="1:23" ht="11.25">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row>
    <row r="108" spans="1:23" ht="11.25">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row>
    <row r="109" spans="1:23" ht="11.25">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row>
    <row r="110" spans="1:23" ht="11.25">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row>
    <row r="111" spans="1:23" ht="11.25">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row>
    <row r="112" spans="1:23" ht="11.25">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row>
    <row r="113" spans="1:23" ht="11.25">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row>
    <row r="114" spans="1:23" ht="11.25">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row>
    <row r="115" spans="1:23" ht="11.25">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row>
    <row r="116" spans="1:23" ht="11.25">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row>
    <row r="117" spans="1:23" ht="11.25">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row>
    <row r="118" spans="1:23" ht="11.2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row>
    <row r="119" spans="1:23" ht="11.2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row>
    <row r="120" spans="1:23" ht="11.2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row>
    <row r="121" spans="1:23" ht="11.2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row>
    <row r="122" spans="1:23" ht="11.2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row>
    <row r="123" spans="1:23" ht="11.2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row>
    <row r="124" spans="1:23" ht="11.2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row>
    <row r="125" spans="1:23" ht="11.2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row>
    <row r="126" spans="2:22" ht="11.25">
      <c r="B126" s="167"/>
      <c r="C126" s="167"/>
      <c r="D126" s="167"/>
      <c r="E126" s="167"/>
      <c r="F126" s="167"/>
      <c r="G126" s="167"/>
      <c r="H126" s="167"/>
      <c r="I126" s="167"/>
      <c r="J126" s="167"/>
      <c r="K126" s="167"/>
      <c r="L126" s="167"/>
      <c r="M126" s="167"/>
      <c r="N126" s="167"/>
      <c r="O126" s="167"/>
      <c r="P126" s="167"/>
      <c r="Q126" s="167"/>
      <c r="R126" s="167"/>
      <c r="S126" s="167"/>
      <c r="T126" s="167"/>
      <c r="U126" s="167"/>
      <c r="V126" s="167"/>
    </row>
    <row r="127" spans="2:22" ht="11.25">
      <c r="B127" s="167"/>
      <c r="C127" s="167"/>
      <c r="D127" s="167"/>
      <c r="E127" s="167"/>
      <c r="F127" s="167"/>
      <c r="G127" s="167"/>
      <c r="H127" s="167"/>
      <c r="I127" s="167"/>
      <c r="J127" s="167"/>
      <c r="K127" s="167"/>
      <c r="L127" s="167"/>
      <c r="M127" s="167"/>
      <c r="N127" s="167"/>
      <c r="O127" s="167"/>
      <c r="P127" s="167"/>
      <c r="Q127" s="167"/>
      <c r="R127" s="167"/>
      <c r="S127" s="167"/>
      <c r="T127" s="167"/>
      <c r="U127" s="167"/>
      <c r="V127" s="167"/>
    </row>
    <row r="128" spans="2:22" ht="11.25">
      <c r="B128" s="167"/>
      <c r="C128" s="167"/>
      <c r="D128" s="167"/>
      <c r="E128" s="167"/>
      <c r="F128" s="167"/>
      <c r="G128" s="167"/>
      <c r="H128" s="167"/>
      <c r="I128" s="167"/>
      <c r="J128" s="167"/>
      <c r="K128" s="167"/>
      <c r="L128" s="167"/>
      <c r="M128" s="167"/>
      <c r="N128" s="167"/>
      <c r="O128" s="167"/>
      <c r="P128" s="167"/>
      <c r="Q128" s="167"/>
      <c r="R128" s="167"/>
      <c r="S128" s="167"/>
      <c r="T128" s="167"/>
      <c r="U128" s="167"/>
      <c r="V128" s="167"/>
    </row>
    <row r="129" spans="2:22" ht="11.25">
      <c r="B129" s="167"/>
      <c r="C129" s="167"/>
      <c r="D129" s="167"/>
      <c r="E129" s="167"/>
      <c r="F129" s="167"/>
      <c r="G129" s="167"/>
      <c r="H129" s="167"/>
      <c r="I129" s="167"/>
      <c r="J129" s="167"/>
      <c r="K129" s="167"/>
      <c r="L129" s="167"/>
      <c r="M129" s="167"/>
      <c r="N129" s="167"/>
      <c r="O129" s="167"/>
      <c r="P129" s="167"/>
      <c r="Q129" s="167"/>
      <c r="R129" s="167"/>
      <c r="S129" s="167"/>
      <c r="T129" s="167"/>
      <c r="U129" s="167"/>
      <c r="V129" s="167"/>
    </row>
    <row r="130" spans="2:22" ht="11.25">
      <c r="B130" s="167"/>
      <c r="C130" s="167"/>
      <c r="D130" s="167"/>
      <c r="E130" s="167"/>
      <c r="F130" s="167"/>
      <c r="G130" s="167"/>
      <c r="H130" s="167"/>
      <c r="I130" s="167"/>
      <c r="J130" s="167"/>
      <c r="K130" s="167"/>
      <c r="L130" s="167"/>
      <c r="M130" s="167"/>
      <c r="N130" s="167"/>
      <c r="O130" s="167"/>
      <c r="P130" s="167"/>
      <c r="Q130" s="167"/>
      <c r="R130" s="167"/>
      <c r="S130" s="167"/>
      <c r="T130" s="167"/>
      <c r="U130" s="167"/>
      <c r="V130" s="167"/>
    </row>
    <row r="131" spans="2:22" ht="11.25">
      <c r="B131" s="167"/>
      <c r="C131" s="167"/>
      <c r="D131" s="167"/>
      <c r="E131" s="167"/>
      <c r="F131" s="167"/>
      <c r="G131" s="167"/>
      <c r="H131" s="167"/>
      <c r="I131" s="167"/>
      <c r="J131" s="167"/>
      <c r="K131" s="167"/>
      <c r="L131" s="167"/>
      <c r="M131" s="167"/>
      <c r="N131" s="167"/>
      <c r="O131" s="167"/>
      <c r="P131" s="167"/>
      <c r="Q131" s="167"/>
      <c r="R131" s="167"/>
      <c r="S131" s="167"/>
      <c r="T131" s="167"/>
      <c r="U131" s="167"/>
      <c r="V131" s="167"/>
    </row>
    <row r="132" spans="2:22" ht="11.25">
      <c r="B132" s="167"/>
      <c r="C132" s="167"/>
      <c r="D132" s="167"/>
      <c r="E132" s="167"/>
      <c r="F132" s="167"/>
      <c r="G132" s="167"/>
      <c r="H132" s="167"/>
      <c r="I132" s="167"/>
      <c r="J132" s="167"/>
      <c r="K132" s="167"/>
      <c r="L132" s="167"/>
      <c r="M132" s="167"/>
      <c r="N132" s="167"/>
      <c r="O132" s="167"/>
      <c r="P132" s="167"/>
      <c r="Q132" s="167"/>
      <c r="R132" s="167"/>
      <c r="S132" s="167"/>
      <c r="T132" s="167"/>
      <c r="U132" s="167"/>
      <c r="V132" s="167"/>
    </row>
    <row r="133" spans="2:22" ht="11.25">
      <c r="B133" s="167"/>
      <c r="C133" s="167"/>
      <c r="D133" s="167"/>
      <c r="E133" s="167"/>
      <c r="F133" s="167"/>
      <c r="G133" s="167"/>
      <c r="H133" s="167"/>
      <c r="I133" s="167"/>
      <c r="J133" s="167"/>
      <c r="K133" s="167"/>
      <c r="L133" s="167"/>
      <c r="M133" s="167"/>
      <c r="N133" s="167"/>
      <c r="O133" s="167"/>
      <c r="P133" s="167"/>
      <c r="Q133" s="167"/>
      <c r="R133" s="167"/>
      <c r="S133" s="167"/>
      <c r="T133" s="167"/>
      <c r="U133" s="167"/>
      <c r="V133" s="167"/>
    </row>
    <row r="134" spans="2:22" ht="11.25">
      <c r="B134" s="167"/>
      <c r="C134" s="167"/>
      <c r="D134" s="167"/>
      <c r="E134" s="167"/>
      <c r="F134" s="167"/>
      <c r="G134" s="167"/>
      <c r="H134" s="167"/>
      <c r="I134" s="167"/>
      <c r="J134" s="167"/>
      <c r="K134" s="167"/>
      <c r="L134" s="167"/>
      <c r="M134" s="167"/>
      <c r="N134" s="167"/>
      <c r="O134" s="167"/>
      <c r="P134" s="167"/>
      <c r="Q134" s="167"/>
      <c r="R134" s="167"/>
      <c r="S134" s="167"/>
      <c r="T134" s="167"/>
      <c r="U134" s="167"/>
      <c r="V134" s="167"/>
    </row>
    <row r="135" spans="2:22" ht="11.25">
      <c r="B135" s="167"/>
      <c r="C135" s="167"/>
      <c r="D135" s="167"/>
      <c r="E135" s="167"/>
      <c r="F135" s="167"/>
      <c r="G135" s="167"/>
      <c r="H135" s="167"/>
      <c r="I135" s="167"/>
      <c r="J135" s="167"/>
      <c r="K135" s="167"/>
      <c r="L135" s="167"/>
      <c r="M135" s="167"/>
      <c r="N135" s="167"/>
      <c r="O135" s="167"/>
      <c r="P135" s="167"/>
      <c r="Q135" s="167"/>
      <c r="R135" s="167"/>
      <c r="S135" s="167"/>
      <c r="T135" s="167"/>
      <c r="U135" s="167"/>
      <c r="V135" s="167"/>
    </row>
    <row r="136" spans="2:22" ht="11.25">
      <c r="B136" s="167"/>
      <c r="C136" s="167"/>
      <c r="D136" s="167"/>
      <c r="E136" s="167"/>
      <c r="F136" s="167"/>
      <c r="G136" s="167"/>
      <c r="H136" s="167"/>
      <c r="I136" s="167"/>
      <c r="J136" s="167"/>
      <c r="K136" s="167"/>
      <c r="L136" s="167"/>
      <c r="M136" s="167"/>
      <c r="N136" s="167"/>
      <c r="O136" s="167"/>
      <c r="P136" s="167"/>
      <c r="Q136" s="167"/>
      <c r="R136" s="167"/>
      <c r="S136" s="167"/>
      <c r="T136" s="167"/>
      <c r="U136" s="167"/>
      <c r="V136" s="167"/>
    </row>
  </sheetData>
  <sheetProtection sheet="1" objects="1" scenarios="1" selectLockedCells="1"/>
  <mergeCells count="144">
    <mergeCell ref="B46:C46"/>
    <mergeCell ref="B20:H20"/>
    <mergeCell ref="O25:V25"/>
    <mergeCell ref="D48:I48"/>
    <mergeCell ref="Q48:V48"/>
    <mergeCell ref="D49:I49"/>
    <mergeCell ref="J48:P48"/>
    <mergeCell ref="Q49:V49"/>
    <mergeCell ref="Q47:V47"/>
    <mergeCell ref="B45:V45"/>
    <mergeCell ref="Q46:V46"/>
    <mergeCell ref="J50:P50"/>
    <mergeCell ref="B47:C47"/>
    <mergeCell ref="D2:J4"/>
    <mergeCell ref="T29:V29"/>
    <mergeCell ref="I18:V18"/>
    <mergeCell ref="I19:V19"/>
    <mergeCell ref="M12:N12"/>
    <mergeCell ref="B12:G12"/>
    <mergeCell ref="I12:K12"/>
    <mergeCell ref="O12:V12"/>
    <mergeCell ref="Q52:V52"/>
    <mergeCell ref="F22:M22"/>
    <mergeCell ref="B49:C49"/>
    <mergeCell ref="J52:P52"/>
    <mergeCell ref="D52:I52"/>
    <mergeCell ref="J51:P51"/>
    <mergeCell ref="D51:I51"/>
    <mergeCell ref="J49:P49"/>
    <mergeCell ref="B50:C50"/>
    <mergeCell ref="B51:C51"/>
    <mergeCell ref="B8:V8"/>
    <mergeCell ref="D11:V11"/>
    <mergeCell ref="D50:I50"/>
    <mergeCell ref="H53:M53"/>
    <mergeCell ref="Q50:V50"/>
    <mergeCell ref="Q55:V55"/>
    <mergeCell ref="H55:M55"/>
    <mergeCell ref="N53:P53"/>
    <mergeCell ref="Q53:V53"/>
    <mergeCell ref="N55:P55"/>
    <mergeCell ref="N57:P57"/>
    <mergeCell ref="N56:P56"/>
    <mergeCell ref="B1:V1"/>
    <mergeCell ref="B9:E9"/>
    <mergeCell ref="G15:V15"/>
    <mergeCell ref="B18:H18"/>
    <mergeCell ref="B5:V5"/>
    <mergeCell ref="B14:E14"/>
    <mergeCell ref="F14:V14"/>
    <mergeCell ref="B7:V7"/>
    <mergeCell ref="O60:P60"/>
    <mergeCell ref="J61:K61"/>
    <mergeCell ref="J60:K60"/>
    <mergeCell ref="O61:P61"/>
    <mergeCell ref="M60:N60"/>
    <mergeCell ref="M61:N61"/>
    <mergeCell ref="B59:V59"/>
    <mergeCell ref="H56:M56"/>
    <mergeCell ref="H57:M57"/>
    <mergeCell ref="H58:M58"/>
    <mergeCell ref="Q58:V58"/>
    <mergeCell ref="N58:P58"/>
    <mergeCell ref="Q56:V56"/>
    <mergeCell ref="Q57:V57"/>
    <mergeCell ref="B56:G56"/>
    <mergeCell ref="B57:G57"/>
    <mergeCell ref="M29:P29"/>
    <mergeCell ref="Q51:V51"/>
    <mergeCell ref="J46:P46"/>
    <mergeCell ref="J47:P47"/>
    <mergeCell ref="B43:V43"/>
    <mergeCell ref="N35:O35"/>
    <mergeCell ref="Q35:S35"/>
    <mergeCell ref="Q38:V38"/>
    <mergeCell ref="U39:V39"/>
    <mergeCell ref="U35:V35"/>
    <mergeCell ref="B64:V64"/>
    <mergeCell ref="O10:R10"/>
    <mergeCell ref="S10:V10"/>
    <mergeCell ref="B15:F15"/>
    <mergeCell ref="B16:F16"/>
    <mergeCell ref="B10:C10"/>
    <mergeCell ref="B13:E13"/>
    <mergeCell ref="B60:E60"/>
    <mergeCell ref="D10:N10"/>
    <mergeCell ref="B41:F41"/>
    <mergeCell ref="O23:V23"/>
    <mergeCell ref="O24:V24"/>
    <mergeCell ref="F23:M23"/>
    <mergeCell ref="F24:M24"/>
    <mergeCell ref="O22:V22"/>
    <mergeCell ref="B25:E25"/>
    <mergeCell ref="F25:M25"/>
    <mergeCell ref="Q60:U60"/>
    <mergeCell ref="Q61:U61"/>
    <mergeCell ref="D46:I46"/>
    <mergeCell ref="D47:I47"/>
    <mergeCell ref="G61:H61"/>
    <mergeCell ref="B58:G58"/>
    <mergeCell ref="B53:G53"/>
    <mergeCell ref="B52:C52"/>
    <mergeCell ref="G60:H60"/>
    <mergeCell ref="B55:G55"/>
    <mergeCell ref="O62:P62"/>
    <mergeCell ref="Q62:U62"/>
    <mergeCell ref="Q2:V2"/>
    <mergeCell ref="K3:P3"/>
    <mergeCell ref="K4:P4"/>
    <mergeCell ref="Q3:V3"/>
    <mergeCell ref="B6:V6"/>
    <mergeCell ref="O9:R9"/>
    <mergeCell ref="G62:H62"/>
    <mergeCell ref="M62:N62"/>
    <mergeCell ref="J62:K62"/>
    <mergeCell ref="S9:V9"/>
    <mergeCell ref="B42:V42"/>
    <mergeCell ref="B35:G35"/>
    <mergeCell ref="G38:I38"/>
    <mergeCell ref="G41:V41"/>
    <mergeCell ref="J38:K38"/>
    <mergeCell ref="L38:P38"/>
    <mergeCell ref="B29:D29"/>
    <mergeCell ref="F13:V13"/>
    <mergeCell ref="F9:N9"/>
    <mergeCell ref="B19:H19"/>
    <mergeCell ref="B11:C11"/>
    <mergeCell ref="I20:V20"/>
    <mergeCell ref="G16:V16"/>
    <mergeCell ref="T27:V27"/>
    <mergeCell ref="B23:E23"/>
    <mergeCell ref="B22:D22"/>
    <mergeCell ref="P27:S27"/>
    <mergeCell ref="E27:O27"/>
    <mergeCell ref="B54:G54"/>
    <mergeCell ref="H54:M54"/>
    <mergeCell ref="N54:P54"/>
    <mergeCell ref="Q54:V54"/>
    <mergeCell ref="B24:E24"/>
    <mergeCell ref="B27:D27"/>
    <mergeCell ref="B48:C48"/>
    <mergeCell ref="R39:S39"/>
    <mergeCell ref="J35:L35"/>
    <mergeCell ref="Q29:S29"/>
  </mergeCells>
  <printOptions horizontalCentered="1"/>
  <pageMargins left="0.3937007874015748" right="0.3937007874015748" top="0.1968503937007874" bottom="0.5118110236220472" header="0.15748031496062992" footer="0.31496062992125984"/>
  <pageSetup blackAndWhite="1"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List3">
    <tabColor indexed="51"/>
  </sheetPr>
  <dimension ref="A1:AC221"/>
  <sheetViews>
    <sheetView showGridLines="0" showRowColHeaders="0" zoomScalePageLayoutView="0" workbookViewId="0" topLeftCell="A1">
      <selection activeCell="F17" sqref="F17:W17"/>
    </sheetView>
  </sheetViews>
  <sheetFormatPr defaultColWidth="9.140625" defaultRowHeight="12.75"/>
  <cols>
    <col min="1" max="1" width="6.57421875" style="0" customWidth="1"/>
    <col min="2" max="2" width="7.140625" style="0" customWidth="1"/>
    <col min="3" max="5" width="3.7109375" style="0" customWidth="1"/>
    <col min="6" max="6" width="4.28125" style="0" customWidth="1"/>
    <col min="7" max="7" width="2.8515625" style="0" customWidth="1"/>
    <col min="8" max="8" width="7.8515625" style="0" customWidth="1"/>
    <col min="9" max="9" width="5.140625" style="0" customWidth="1"/>
    <col min="10" max="10" width="4.8515625" style="0" customWidth="1"/>
    <col min="11" max="11" width="3.7109375" style="0" customWidth="1"/>
    <col min="12" max="12" width="3.28125" style="0" customWidth="1"/>
    <col min="13" max="13" width="3.7109375" style="0" customWidth="1"/>
    <col min="14" max="14" width="5.00390625" style="0" customWidth="1"/>
    <col min="15" max="15" width="3.7109375" style="0" customWidth="1"/>
    <col min="16" max="16" width="2.421875" style="0" customWidth="1"/>
    <col min="17" max="17" width="6.00390625" style="0" customWidth="1"/>
    <col min="18" max="18" width="6.421875" style="0" customWidth="1"/>
    <col min="19" max="19" width="4.7109375" style="0" customWidth="1"/>
    <col min="20" max="20" width="1.7109375" style="0" customWidth="1"/>
    <col min="21" max="21" width="3.7109375" style="0" customWidth="1"/>
    <col min="22" max="22" width="3.00390625" style="0" customWidth="1"/>
    <col min="23" max="23" width="3.8515625" style="0" customWidth="1"/>
    <col min="24" max="24" width="6.140625" style="0" customWidth="1"/>
    <col min="25" max="25" width="23.57421875" style="253" hidden="1" customWidth="1"/>
    <col min="26" max="27" width="9.140625" style="253" hidden="1" customWidth="1"/>
    <col min="28" max="28" width="9.140625" style="19" hidden="1" customWidth="1"/>
    <col min="29" max="29" width="9.140625" style="0" hidden="1" customWidth="1"/>
    <col min="30" max="30" width="9.140625" style="0" customWidth="1"/>
  </cols>
  <sheetData>
    <row r="1" spans="1:27" ht="27" customHeight="1" thickBot="1">
      <c r="A1" s="613"/>
      <c r="B1" s="621" t="s">
        <v>339</v>
      </c>
      <c r="C1" s="621"/>
      <c r="D1" s="621"/>
      <c r="E1" s="621"/>
      <c r="F1" s="621"/>
      <c r="G1" s="621"/>
      <c r="H1" s="621"/>
      <c r="I1" s="621"/>
      <c r="J1" s="621"/>
      <c r="K1" s="621"/>
      <c r="L1" s="621"/>
      <c r="M1" s="621"/>
      <c r="N1" s="621"/>
      <c r="O1" s="621"/>
      <c r="P1" s="621"/>
      <c r="Q1" s="621"/>
      <c r="R1" s="621"/>
      <c r="S1" s="621"/>
      <c r="T1" s="621"/>
      <c r="U1" s="621"/>
      <c r="V1" s="621"/>
      <c r="W1" s="621"/>
      <c r="X1" s="613"/>
      <c r="Y1" s="598" t="s">
        <v>511</v>
      </c>
      <c r="Z1" s="599"/>
      <c r="AA1" s="599"/>
    </row>
    <row r="2" spans="1:27" ht="13.5" thickBot="1">
      <c r="A2" s="613"/>
      <c r="B2" s="107"/>
      <c r="C2" s="107"/>
      <c r="D2" s="107"/>
      <c r="F2" s="60"/>
      <c r="G2" s="60"/>
      <c r="H2" s="60"/>
      <c r="I2" s="60"/>
      <c r="X2" s="613"/>
      <c r="Y2" s="280"/>
      <c r="Z2" s="280"/>
      <c r="AA2" s="280"/>
    </row>
    <row r="3" spans="1:27" ht="13.5" customHeight="1" thickBot="1">
      <c r="A3" s="613"/>
      <c r="B3" s="107"/>
      <c r="C3" s="107"/>
      <c r="D3" s="625" t="s">
        <v>517</v>
      </c>
      <c r="E3" s="625"/>
      <c r="F3" s="625"/>
      <c r="G3" s="625"/>
      <c r="H3" s="625"/>
      <c r="I3" s="625"/>
      <c r="J3" s="111"/>
      <c r="X3" s="613"/>
      <c r="Y3" s="287" t="s">
        <v>62</v>
      </c>
      <c r="Z3" s="279" t="s">
        <v>43</v>
      </c>
      <c r="AA3" s="279">
        <v>40</v>
      </c>
    </row>
    <row r="4" spans="1:27" ht="13.5" thickBot="1">
      <c r="A4" s="613"/>
      <c r="B4" s="107"/>
      <c r="C4" s="107"/>
      <c r="D4" s="625"/>
      <c r="E4" s="625"/>
      <c r="F4" s="625"/>
      <c r="G4" s="625"/>
      <c r="H4" s="625"/>
      <c r="I4" s="625"/>
      <c r="J4" s="111"/>
      <c r="X4" s="613"/>
      <c r="Y4" s="287" t="s">
        <v>64</v>
      </c>
      <c r="Z4" s="279" t="s">
        <v>43</v>
      </c>
      <c r="AA4" s="279">
        <v>35</v>
      </c>
    </row>
    <row r="5" spans="1:27" ht="13.5" thickBot="1">
      <c r="A5" s="613"/>
      <c r="B5" s="107"/>
      <c r="C5" s="107"/>
      <c r="D5" s="625"/>
      <c r="E5" s="625"/>
      <c r="F5" s="625"/>
      <c r="G5" s="625"/>
      <c r="H5" s="625"/>
      <c r="I5" s="625"/>
      <c r="J5" s="111"/>
      <c r="X5" s="613"/>
      <c r="Y5" s="287" t="s">
        <v>65</v>
      </c>
      <c r="Z5" s="279" t="s">
        <v>43</v>
      </c>
      <c r="AA5" s="279">
        <v>40</v>
      </c>
    </row>
    <row r="6" spans="1:27" ht="13.5" thickBot="1">
      <c r="A6" s="613"/>
      <c r="B6" s="107"/>
      <c r="C6" s="107"/>
      <c r="D6" s="107"/>
      <c r="X6" s="613"/>
      <c r="Y6" s="287" t="s">
        <v>66</v>
      </c>
      <c r="Z6" s="279" t="s">
        <v>43</v>
      </c>
      <c r="AA6" s="279">
        <v>40</v>
      </c>
    </row>
    <row r="7" spans="1:27" ht="13.5" thickBot="1">
      <c r="A7" s="613"/>
      <c r="X7" s="613"/>
      <c r="Y7" s="287" t="s">
        <v>67</v>
      </c>
      <c r="Z7" s="279" t="s">
        <v>63</v>
      </c>
      <c r="AA7" s="279">
        <v>60</v>
      </c>
    </row>
    <row r="8" spans="1:27" ht="13.5" thickBot="1">
      <c r="A8" s="613"/>
      <c r="X8" s="613"/>
      <c r="Y8" s="287" t="s">
        <v>68</v>
      </c>
      <c r="Z8" s="279" t="str">
        <f>$Z$86</f>
        <v>USD</v>
      </c>
      <c r="AA8" s="279">
        <f>$AA$86</f>
        <v>55</v>
      </c>
    </row>
    <row r="9" spans="1:27" ht="13.5" thickBot="1">
      <c r="A9" s="613"/>
      <c r="R9" s="594" t="s">
        <v>251</v>
      </c>
      <c r="S9" s="594"/>
      <c r="T9" s="61"/>
      <c r="U9" s="617"/>
      <c r="V9" s="618"/>
      <c r="W9" s="618"/>
      <c r="X9" s="613"/>
      <c r="Y9" s="287" t="s">
        <v>69</v>
      </c>
      <c r="Z9" s="279" t="str">
        <f>$Z$86</f>
        <v>USD</v>
      </c>
      <c r="AA9" s="279">
        <f>$AA$86</f>
        <v>55</v>
      </c>
    </row>
    <row r="10" spans="1:27" ht="13.5" thickBot="1">
      <c r="A10" s="613"/>
      <c r="X10" s="613"/>
      <c r="Y10" s="287" t="s">
        <v>70</v>
      </c>
      <c r="Z10" s="279" t="s">
        <v>63</v>
      </c>
      <c r="AA10" s="279">
        <v>45</v>
      </c>
    </row>
    <row r="11" spans="1:27" ht="13.5" thickBot="1">
      <c r="A11" s="613"/>
      <c r="X11" s="613"/>
      <c r="Y11" s="287" t="s">
        <v>71</v>
      </c>
      <c r="Z11" s="279" t="s">
        <v>43</v>
      </c>
      <c r="AA11" s="279">
        <v>35</v>
      </c>
    </row>
    <row r="12" spans="1:27" ht="15" thickBot="1">
      <c r="A12" s="613"/>
      <c r="B12" s="614" t="s">
        <v>370</v>
      </c>
      <c r="C12" s="615"/>
      <c r="D12" s="615"/>
      <c r="E12" s="615"/>
      <c r="F12" s="615"/>
      <c r="G12" s="615"/>
      <c r="H12" s="615"/>
      <c r="I12" s="615"/>
      <c r="J12" s="615"/>
      <c r="K12" s="615"/>
      <c r="L12" s="615"/>
      <c r="M12" s="615"/>
      <c r="N12" s="615"/>
      <c r="O12" s="615"/>
      <c r="P12" s="615"/>
      <c r="Q12" s="615"/>
      <c r="R12" s="615"/>
      <c r="S12" s="615"/>
      <c r="T12" s="615"/>
      <c r="U12" s="615"/>
      <c r="V12" s="615"/>
      <c r="W12" s="615"/>
      <c r="X12" s="613"/>
      <c r="Y12" s="287" t="s">
        <v>72</v>
      </c>
      <c r="Z12" s="279" t="str">
        <f>$Z$86</f>
        <v>USD</v>
      </c>
      <c r="AA12" s="279">
        <f>$AA$86</f>
        <v>55</v>
      </c>
    </row>
    <row r="13" spans="1:27" ht="13.5" thickBot="1">
      <c r="A13" s="613"/>
      <c r="B13" s="616"/>
      <c r="C13" s="616"/>
      <c r="D13" s="616"/>
      <c r="E13" s="616"/>
      <c r="F13" s="616"/>
      <c r="G13" s="616"/>
      <c r="H13" s="616"/>
      <c r="I13" s="616"/>
      <c r="J13" s="616"/>
      <c r="K13" s="616"/>
      <c r="L13" s="616"/>
      <c r="M13" s="616"/>
      <c r="N13" s="616"/>
      <c r="O13" s="616"/>
      <c r="P13" s="616"/>
      <c r="Q13" s="616"/>
      <c r="R13" s="616"/>
      <c r="S13" s="616"/>
      <c r="T13" s="616"/>
      <c r="U13" s="616"/>
      <c r="V13" s="616"/>
      <c r="W13" s="616"/>
      <c r="X13" s="613"/>
      <c r="Y13" s="287" t="s">
        <v>73</v>
      </c>
      <c r="Z13" s="279" t="s">
        <v>63</v>
      </c>
      <c r="AA13" s="279">
        <v>50</v>
      </c>
    </row>
    <row r="14" spans="1:27" ht="24" customHeight="1" thickBot="1">
      <c r="A14" s="613"/>
      <c r="B14" s="597" t="s">
        <v>252</v>
      </c>
      <c r="C14" s="597"/>
      <c r="D14" s="597"/>
      <c r="E14" s="597"/>
      <c r="F14" s="601">
        <f>IF(Cele_jmeno="","",Cele_jmeno)</f>
      </c>
      <c r="G14" s="601"/>
      <c r="H14" s="601"/>
      <c r="I14" s="601"/>
      <c r="J14" s="601"/>
      <c r="K14" s="601"/>
      <c r="L14" s="601"/>
      <c r="M14" s="601"/>
      <c r="N14" s="601"/>
      <c r="O14" s="601"/>
      <c r="P14" s="601"/>
      <c r="Q14" s="601"/>
      <c r="R14" s="601"/>
      <c r="S14" s="601"/>
      <c r="T14" s="601"/>
      <c r="U14" s="601"/>
      <c r="V14" s="601"/>
      <c r="W14" s="601"/>
      <c r="X14" s="613"/>
      <c r="Y14" s="287" t="s">
        <v>74</v>
      </c>
      <c r="Z14" s="279" t="s">
        <v>43</v>
      </c>
      <c r="AA14" s="279">
        <v>40</v>
      </c>
    </row>
    <row r="15" spans="1:27" ht="24" customHeight="1" thickBot="1">
      <c r="A15" s="613"/>
      <c r="B15" s="597" t="s">
        <v>12</v>
      </c>
      <c r="C15" s="597"/>
      <c r="D15" s="597"/>
      <c r="E15" s="597"/>
      <c r="F15" s="602">
        <f>IF(Prac="","",Prac)</f>
      </c>
      <c r="G15" s="602"/>
      <c r="H15" s="602"/>
      <c r="I15" s="602"/>
      <c r="J15" s="602"/>
      <c r="K15" s="602"/>
      <c r="L15" s="602"/>
      <c r="M15" s="602"/>
      <c r="N15" s="602"/>
      <c r="O15" s="602"/>
      <c r="P15" s="602"/>
      <c r="Q15" s="602"/>
      <c r="R15" s="602"/>
      <c r="S15" s="602"/>
      <c r="T15" s="602"/>
      <c r="U15" s="602"/>
      <c r="V15" s="602"/>
      <c r="W15" s="602"/>
      <c r="X15" s="613"/>
      <c r="Y15" s="287" t="s">
        <v>399</v>
      </c>
      <c r="Z15" s="279" t="s">
        <v>63</v>
      </c>
      <c r="AA15" s="279">
        <v>50</v>
      </c>
    </row>
    <row r="16" spans="1:28" s="9" customFormat="1" ht="9" customHeight="1" thickBot="1">
      <c r="A16" s="613"/>
      <c r="B16" s="57"/>
      <c r="C16" s="57"/>
      <c r="D16" s="57"/>
      <c r="E16" s="57"/>
      <c r="F16" s="63"/>
      <c r="G16" s="63"/>
      <c r="H16" s="63"/>
      <c r="I16" s="63"/>
      <c r="J16" s="63"/>
      <c r="K16" s="63"/>
      <c r="L16" s="63"/>
      <c r="M16" s="63"/>
      <c r="N16" s="63"/>
      <c r="O16" s="63"/>
      <c r="P16" s="63"/>
      <c r="Q16" s="63"/>
      <c r="R16" s="63"/>
      <c r="S16" s="63"/>
      <c r="T16" s="63"/>
      <c r="U16" s="63"/>
      <c r="V16" s="63"/>
      <c r="W16" s="63"/>
      <c r="X16" s="613"/>
      <c r="Y16" s="287" t="s">
        <v>75</v>
      </c>
      <c r="Z16" s="279" t="s">
        <v>43</v>
      </c>
      <c r="AA16" s="279">
        <v>40</v>
      </c>
      <c r="AB16" s="20"/>
    </row>
    <row r="17" spans="1:27" ht="24" customHeight="1" thickBot="1">
      <c r="A17" s="613"/>
      <c r="B17" s="597" t="s">
        <v>261</v>
      </c>
      <c r="C17" s="597"/>
      <c r="D17" s="597"/>
      <c r="E17" s="597"/>
      <c r="F17" s="603"/>
      <c r="G17" s="603"/>
      <c r="H17" s="603"/>
      <c r="I17" s="603"/>
      <c r="J17" s="603"/>
      <c r="K17" s="603"/>
      <c r="L17" s="603"/>
      <c r="M17" s="603"/>
      <c r="N17" s="603"/>
      <c r="O17" s="603"/>
      <c r="P17" s="603"/>
      <c r="Q17" s="603"/>
      <c r="R17" s="603"/>
      <c r="S17" s="603"/>
      <c r="T17" s="603"/>
      <c r="U17" s="603"/>
      <c r="V17" s="603"/>
      <c r="W17" s="603"/>
      <c r="X17" s="613"/>
      <c r="Y17" s="287" t="s">
        <v>76</v>
      </c>
      <c r="Z17" s="279" t="s">
        <v>63</v>
      </c>
      <c r="AA17" s="279">
        <v>50</v>
      </c>
    </row>
    <row r="18" spans="1:27" ht="24" customHeight="1" thickBot="1">
      <c r="A18" s="613"/>
      <c r="B18" s="604" t="s">
        <v>253</v>
      </c>
      <c r="C18" s="604"/>
      <c r="D18" s="604"/>
      <c r="E18" s="64" t="s">
        <v>254</v>
      </c>
      <c r="F18" s="609"/>
      <c r="G18" s="609"/>
      <c r="H18" s="609"/>
      <c r="I18" s="609"/>
      <c r="J18" s="65" t="s">
        <v>255</v>
      </c>
      <c r="K18" s="609"/>
      <c r="L18" s="609"/>
      <c r="M18" s="609"/>
      <c r="N18" s="609"/>
      <c r="O18" s="594" t="s">
        <v>256</v>
      </c>
      <c r="P18" s="594"/>
      <c r="Q18" s="594"/>
      <c r="R18" s="66">
        <f>IF(AND(F18&lt;&gt;"",K18&lt;&gt;""),K18-F18+1,0)</f>
        <v>0</v>
      </c>
      <c r="S18" s="55" t="s">
        <v>257</v>
      </c>
      <c r="T18" s="61"/>
      <c r="U18" s="61"/>
      <c r="V18" s="61"/>
      <c r="W18" s="61"/>
      <c r="X18" s="613"/>
      <c r="Y18" s="287" t="s">
        <v>77</v>
      </c>
      <c r="Z18" s="279" t="str">
        <f>$Z$86</f>
        <v>USD</v>
      </c>
      <c r="AA18" s="279">
        <f>$AA$86</f>
        <v>55</v>
      </c>
    </row>
    <row r="19" spans="1:27" ht="9.75" customHeight="1" thickBot="1">
      <c r="A19" s="613"/>
      <c r="B19" s="57"/>
      <c r="C19" s="57"/>
      <c r="D19" s="57"/>
      <c r="E19" s="56"/>
      <c r="F19" s="67"/>
      <c r="G19" s="68"/>
      <c r="H19" s="68"/>
      <c r="I19" s="68"/>
      <c r="J19" s="69"/>
      <c r="K19" s="67"/>
      <c r="L19" s="68"/>
      <c r="M19" s="68"/>
      <c r="N19" s="68"/>
      <c r="O19" s="70"/>
      <c r="P19" s="70"/>
      <c r="Q19" s="70"/>
      <c r="R19" s="68"/>
      <c r="S19" s="71"/>
      <c r="T19" s="71"/>
      <c r="U19" s="71"/>
      <c r="V19" s="71"/>
      <c r="W19" s="71"/>
      <c r="X19" s="613"/>
      <c r="Y19" s="287" t="s">
        <v>78</v>
      </c>
      <c r="Z19" s="279" t="s">
        <v>43</v>
      </c>
      <c r="AA19" s="279">
        <v>45</v>
      </c>
    </row>
    <row r="20" spans="1:27" ht="24" customHeight="1" thickBot="1">
      <c r="A20" s="613"/>
      <c r="B20" s="597" t="s">
        <v>262</v>
      </c>
      <c r="C20" s="597"/>
      <c r="D20" s="597"/>
      <c r="E20" s="597"/>
      <c r="F20" s="603"/>
      <c r="G20" s="603"/>
      <c r="H20" s="603"/>
      <c r="I20" s="603"/>
      <c r="J20" s="603"/>
      <c r="K20" s="603"/>
      <c r="L20" s="603"/>
      <c r="M20" s="603"/>
      <c r="N20" s="603"/>
      <c r="O20" s="603"/>
      <c r="P20" s="603"/>
      <c r="Q20" s="603"/>
      <c r="R20" s="603"/>
      <c r="S20" s="603"/>
      <c r="T20" s="603"/>
      <c r="U20" s="603"/>
      <c r="V20" s="603"/>
      <c r="W20" s="603"/>
      <c r="X20" s="613"/>
      <c r="Y20" s="287" t="s">
        <v>79</v>
      </c>
      <c r="Z20" s="279" t="s">
        <v>63</v>
      </c>
      <c r="AA20" s="279">
        <v>45</v>
      </c>
    </row>
    <row r="21" spans="1:27" ht="24" customHeight="1" thickBot="1">
      <c r="A21" s="613"/>
      <c r="B21" s="604" t="s">
        <v>253</v>
      </c>
      <c r="C21" s="604"/>
      <c r="D21" s="604"/>
      <c r="E21" s="64" t="s">
        <v>254</v>
      </c>
      <c r="F21" s="609"/>
      <c r="G21" s="609"/>
      <c r="H21" s="609"/>
      <c r="I21" s="609"/>
      <c r="J21" s="65" t="s">
        <v>255</v>
      </c>
      <c r="K21" s="609"/>
      <c r="L21" s="609"/>
      <c r="M21" s="609"/>
      <c r="N21" s="609"/>
      <c r="O21" s="594" t="s">
        <v>256</v>
      </c>
      <c r="P21" s="594"/>
      <c r="Q21" s="594"/>
      <c r="R21" s="66">
        <f>IF(AND(F21&lt;&gt;"",K21&lt;&gt;""),K21-F21+1,0)</f>
        <v>0</v>
      </c>
      <c r="S21" s="55" t="s">
        <v>257</v>
      </c>
      <c r="T21" s="61"/>
      <c r="U21" s="61"/>
      <c r="V21" s="61"/>
      <c r="W21" s="61"/>
      <c r="X21" s="613"/>
      <c r="Y21" s="287" t="s">
        <v>80</v>
      </c>
      <c r="Z21" s="279" t="s">
        <v>43</v>
      </c>
      <c r="AA21" s="279">
        <v>40</v>
      </c>
    </row>
    <row r="22" spans="1:27" ht="9" customHeight="1" thickBot="1">
      <c r="A22" s="613"/>
      <c r="B22" s="54"/>
      <c r="C22" s="54"/>
      <c r="D22" s="54"/>
      <c r="E22" s="54"/>
      <c r="F22" s="71"/>
      <c r="G22" s="71"/>
      <c r="H22" s="71"/>
      <c r="I22" s="71"/>
      <c r="J22" s="71"/>
      <c r="K22" s="71"/>
      <c r="L22" s="71"/>
      <c r="M22" s="71"/>
      <c r="N22" s="71"/>
      <c r="O22" s="71"/>
      <c r="P22" s="71"/>
      <c r="Q22" s="71"/>
      <c r="R22" s="71"/>
      <c r="S22" s="71"/>
      <c r="T22" s="71"/>
      <c r="U22" s="71"/>
      <c r="V22" s="71"/>
      <c r="W22" s="71"/>
      <c r="X22" s="613"/>
      <c r="Y22" s="287" t="s">
        <v>81</v>
      </c>
      <c r="Z22" s="279" t="s">
        <v>63</v>
      </c>
      <c r="AA22" s="279">
        <v>50</v>
      </c>
    </row>
    <row r="23" spans="1:27" ht="13.5" thickBot="1">
      <c r="A23" s="613"/>
      <c r="B23" s="624"/>
      <c r="C23" s="624"/>
      <c r="D23" s="624"/>
      <c r="E23" s="624"/>
      <c r="F23" s="624"/>
      <c r="G23" s="624"/>
      <c r="H23" s="624"/>
      <c r="I23" s="624"/>
      <c r="J23" s="624"/>
      <c r="K23" s="624"/>
      <c r="L23" s="624"/>
      <c r="M23" s="624"/>
      <c r="N23" s="624"/>
      <c r="O23" s="624"/>
      <c r="P23" s="624"/>
      <c r="Q23" s="624"/>
      <c r="R23" s="624"/>
      <c r="S23" s="624"/>
      <c r="T23" s="624"/>
      <c r="U23" s="624"/>
      <c r="V23" s="624"/>
      <c r="W23" s="624"/>
      <c r="X23" s="613"/>
      <c r="Y23" s="287" t="s">
        <v>82</v>
      </c>
      <c r="Z23" s="279" t="s">
        <v>43</v>
      </c>
      <c r="AA23" s="279">
        <v>45</v>
      </c>
    </row>
    <row r="24" spans="1:27" ht="15.75" thickBot="1">
      <c r="A24" s="613"/>
      <c r="B24" s="619" t="s">
        <v>258</v>
      </c>
      <c r="C24" s="619"/>
      <c r="D24" s="619"/>
      <c r="E24" s="619"/>
      <c r="F24" s="619"/>
      <c r="G24" s="619"/>
      <c r="H24" s="619"/>
      <c r="I24" s="619"/>
      <c r="J24" s="619"/>
      <c r="K24" s="619"/>
      <c r="L24" s="619"/>
      <c r="M24" s="619"/>
      <c r="N24" s="619"/>
      <c r="O24" s="619"/>
      <c r="P24" s="619"/>
      <c r="Q24" s="619"/>
      <c r="R24" s="619"/>
      <c r="S24" s="619"/>
      <c r="T24" s="619"/>
      <c r="U24" s="72"/>
      <c r="V24" s="72"/>
      <c r="W24" s="72"/>
      <c r="X24" s="613"/>
      <c r="Y24" s="287" t="s">
        <v>83</v>
      </c>
      <c r="Z24" s="279" t="s">
        <v>63</v>
      </c>
      <c r="AA24" s="279">
        <v>50</v>
      </c>
    </row>
    <row r="25" spans="1:27" ht="24" customHeight="1" thickBot="1">
      <c r="A25" s="613"/>
      <c r="B25" s="592" t="s">
        <v>342</v>
      </c>
      <c r="C25" s="592"/>
      <c r="D25" s="592"/>
      <c r="E25" s="584" t="s">
        <v>274</v>
      </c>
      <c r="F25" s="584"/>
      <c r="G25" s="584" t="s">
        <v>269</v>
      </c>
      <c r="H25" s="584"/>
      <c r="I25" s="73"/>
      <c r="J25" s="73"/>
      <c r="K25" s="73"/>
      <c r="L25" s="73"/>
      <c r="M25" s="73"/>
      <c r="N25" s="73"/>
      <c r="O25" s="73"/>
      <c r="P25" s="73"/>
      <c r="Q25" s="591" t="s">
        <v>46</v>
      </c>
      <c r="R25" s="591"/>
      <c r="S25" s="627" t="s">
        <v>269</v>
      </c>
      <c r="T25" s="627"/>
      <c r="U25" s="73"/>
      <c r="V25" s="73"/>
      <c r="W25" s="73"/>
      <c r="X25" s="613"/>
      <c r="Y25" s="287" t="s">
        <v>84</v>
      </c>
      <c r="Z25" s="279" t="s">
        <v>63</v>
      </c>
      <c r="AA25" s="279">
        <v>45</v>
      </c>
    </row>
    <row r="26" spans="1:29" ht="18.75" customHeight="1" thickBot="1">
      <c r="A26" s="613"/>
      <c r="B26" s="597" t="s">
        <v>263</v>
      </c>
      <c r="C26" s="597"/>
      <c r="D26" s="597"/>
      <c r="E26" s="600">
        <f>IF(ISNA(VLOOKUP(F17,$Y$2:$AA$200,3,FALSE)),0,VLOOKUP(F17,$Y$2:$AA$200,3,FALSE))</f>
        <v>0</v>
      </c>
      <c r="F26" s="600"/>
      <c r="G26" s="612">
        <f>IF(ISNA(VLOOKUP(F17,$Y$2:$AA$200,2,FALSE)),"",CONCATENATE(VLOOKUP(F17,$Y$2:$AA$200,2,FALSE),"/den"))</f>
      </c>
      <c r="H26" s="612"/>
      <c r="I26" s="594" t="s">
        <v>259</v>
      </c>
      <c r="J26" s="594"/>
      <c r="K26" s="594"/>
      <c r="L26" s="606"/>
      <c r="M26" s="606"/>
      <c r="N26" s="594" t="s">
        <v>256</v>
      </c>
      <c r="O26" s="594"/>
      <c r="P26" s="594"/>
      <c r="Q26" s="600">
        <f>L26*E26</f>
        <v>0</v>
      </c>
      <c r="R26" s="600"/>
      <c r="S26" s="620">
        <f>IF(ISNA(VLOOKUP(F17,$Y$2:$AA$200,2,FALSE)),"",VLOOKUP(F17,$Y$2:$AA$200,2,FALSE))</f>
      </c>
      <c r="T26" s="620"/>
      <c r="U26" s="73"/>
      <c r="V26" s="73"/>
      <c r="W26" s="74"/>
      <c r="X26" s="613"/>
      <c r="Y26" s="287" t="s">
        <v>85</v>
      </c>
      <c r="Z26" s="279" t="s">
        <v>43</v>
      </c>
      <c r="AA26" s="279">
        <v>35</v>
      </c>
      <c r="AB26" s="27">
        <f>IF(AC26&lt;&gt;"",AC26,IF(S34&lt;&gt;"",S34,IF(S35&lt;&gt;"",S35,"")))</f>
      </c>
      <c r="AC26" s="28">
        <f>IF(S26&lt;&gt;"",S26,IF(S27&lt;&gt;"",S27,IF(S28&lt;&gt;"",S28,IF(S30&lt;&gt;"",S30,IF(S31&lt;&gt;"",S31,IF(S32&lt;&gt;"",S32,IF(S33&lt;&gt;"",S33,"")))))))</f>
      </c>
    </row>
    <row r="27" spans="1:29" ht="15" customHeight="1" thickBot="1">
      <c r="A27" s="613"/>
      <c r="B27" s="597" t="s">
        <v>264</v>
      </c>
      <c r="C27" s="597"/>
      <c r="D27" s="597"/>
      <c r="E27" s="610">
        <f>IF(ISNA(VLOOKUP(F20,$Y$2:$AA$200,3,FALSE)),0,VLOOKUP(F20,$Y$2:$AA$200,3,FALSE))</f>
        <v>0</v>
      </c>
      <c r="F27" s="610"/>
      <c r="G27" s="611">
        <f>IF(ISNA(VLOOKUP(F20,$Y$2:$AA$200,2,FALSE)),"",CONCATENATE(VLOOKUP(F20,$Y$2:$AA$200,2,FALSE),"/den"))</f>
      </c>
      <c r="H27" s="611"/>
      <c r="I27" s="594" t="s">
        <v>259</v>
      </c>
      <c r="J27" s="594"/>
      <c r="K27" s="594"/>
      <c r="L27" s="596"/>
      <c r="M27" s="596"/>
      <c r="N27" s="594" t="s">
        <v>256</v>
      </c>
      <c r="O27" s="594"/>
      <c r="P27" s="594"/>
      <c r="Q27" s="610">
        <f>L27*E27</f>
        <v>0</v>
      </c>
      <c r="R27" s="610"/>
      <c r="S27" s="608">
        <f>IF(ISNA(VLOOKUP(F20,$Y$2:$AA$200,2,FALSE)),"",VLOOKUP(F20,$Y$2:$AA$200,2,FALSE))</f>
      </c>
      <c r="T27" s="608"/>
      <c r="U27" s="73"/>
      <c r="V27" s="73"/>
      <c r="W27" s="74"/>
      <c r="X27" s="613"/>
      <c r="Y27" s="287" t="s">
        <v>86</v>
      </c>
      <c r="Z27" s="279" t="s">
        <v>63</v>
      </c>
      <c r="AA27" s="279">
        <v>55</v>
      </c>
      <c r="AB27" s="29">
        <f>IF(AC27&lt;&gt;"",AC27,IF(AND(S35&lt;&gt;AB26,S35&lt;&gt;""),S35,""))</f>
      </c>
      <c r="AC27" s="30">
        <f>IF(AND(S27&lt;&gt;AB26,S27&lt;&gt;""),S27,IF(AND(S28&lt;&gt;AB26,S28&lt;&gt;""),S28,IF(AND(S30&lt;&gt;AB26,S30&lt;&gt;""),S30,IF(AND(S31&lt;&gt;AB26,S31&lt;&gt;""),S31,IF(AND(S32&lt;&gt;AB26,S32&lt;&gt;""),S32,IF(AND(S33&lt;&gt;AB26,S33&lt;&gt;""),S33,IF(AND(S34&lt;&gt;AB26,S34&lt;&gt;""),S34,"")))))))</f>
      </c>
    </row>
    <row r="28" spans="1:29" ht="15" customHeight="1" thickBot="1">
      <c r="A28" s="613"/>
      <c r="B28" s="597" t="s">
        <v>265</v>
      </c>
      <c r="C28" s="597"/>
      <c r="D28" s="597"/>
      <c r="E28" s="607"/>
      <c r="F28" s="607"/>
      <c r="G28" s="605"/>
      <c r="H28" s="605"/>
      <c r="I28" s="594" t="s">
        <v>259</v>
      </c>
      <c r="J28" s="594"/>
      <c r="K28" s="594"/>
      <c r="L28" s="596"/>
      <c r="M28" s="596"/>
      <c r="N28" s="594" t="s">
        <v>256</v>
      </c>
      <c r="O28" s="594"/>
      <c r="P28" s="594"/>
      <c r="Q28" s="607"/>
      <c r="R28" s="607"/>
      <c r="S28" s="589"/>
      <c r="T28" s="589"/>
      <c r="U28" s="73"/>
      <c r="V28" s="73"/>
      <c r="W28" s="74"/>
      <c r="X28" s="613"/>
      <c r="Y28" s="287" t="s">
        <v>87</v>
      </c>
      <c r="Z28" s="279" t="s">
        <v>63</v>
      </c>
      <c r="AA28" s="279">
        <v>55</v>
      </c>
      <c r="AB28" s="34">
        <f>IF(AC28&lt;&gt;"",AC28,IF(AND(S35&lt;&gt;AB26,S35&lt;&gt;AB27,S35&lt;&gt;""),S35,""))</f>
      </c>
      <c r="AC28" s="31">
        <f>IF(AC27="","",IF(AND(S28&lt;&gt;AB26,S28&lt;&gt;AB27,S28&lt;&gt;""),S28,IF(AND(S30&lt;&gt;AB26,S30&lt;&gt;AB27,S30&lt;&gt;""),S30,IF(AND(S31&lt;&gt;AB26,S31&lt;&gt;AB27,S31&lt;&gt;""),S31,IF(AND(S32&lt;&gt;AB26,S32&lt;&gt;AB27,S32&lt;&gt;""),S32,IF(AND(S33&lt;&gt;AB26,S33&lt;&gt;AB27,S33&lt;&gt;""),S33,IF(AND(S34&lt;&gt;AB26,S34&lt;&gt;AB27,S34&lt;&gt;""),S34,"")))))))</f>
      </c>
    </row>
    <row r="29" spans="1:29" ht="15" customHeight="1" thickBot="1">
      <c r="A29" s="613"/>
      <c r="B29" s="597"/>
      <c r="C29" s="597"/>
      <c r="D29" s="597"/>
      <c r="E29" s="597"/>
      <c r="F29" s="597"/>
      <c r="G29" s="597"/>
      <c r="H29" s="597"/>
      <c r="I29" s="597"/>
      <c r="J29" s="597"/>
      <c r="K29" s="597"/>
      <c r="L29" s="597"/>
      <c r="M29" s="597"/>
      <c r="N29" s="597"/>
      <c r="O29" s="597"/>
      <c r="P29" s="597"/>
      <c r="Q29" s="597"/>
      <c r="R29" s="597"/>
      <c r="S29" s="597"/>
      <c r="T29" s="597"/>
      <c r="U29" s="597"/>
      <c r="V29" s="597"/>
      <c r="W29" s="597"/>
      <c r="X29" s="613"/>
      <c r="Y29" s="287" t="s">
        <v>324</v>
      </c>
      <c r="Z29" s="279" t="str">
        <f>$Z$86</f>
        <v>USD</v>
      </c>
      <c r="AA29" s="279">
        <f>$AA$86</f>
        <v>55</v>
      </c>
      <c r="AB29" s="32">
        <f>IF(AB28="","",IF(AND(S30&lt;&gt;AB26,S30&lt;&gt;AB27,S30&lt;&gt;AB28,S30&lt;&gt;""),S30,IF(AND(S31&lt;&gt;AB26,S31&lt;&gt;AB27,S31&lt;&gt;AB28,S31&lt;&gt;""),S31,IF(AND(S32&lt;&gt;AB27,S32&lt;&gt;AB28,S32&lt;&gt;AB26,S32&lt;&gt;""),S32,IF(AND(S33&lt;&gt;AB27,S33&lt;&gt;AB28,S33&lt;&gt;AB26,S33&lt;&gt;""),S33,IF(AND(S34&lt;&gt;AB26,S34&lt;&gt;AB27,S34&lt;&gt;AB28,S34&lt;&gt;""),S34,IF(AND(S35&lt;&gt;AB26,S35&lt;&gt;AB27,S35&lt;&gt;AB28,S35&lt;&gt;""),S35,"")))))))</f>
      </c>
      <c r="AC29" s="35"/>
    </row>
    <row r="30" spans="1:29" ht="18.75" customHeight="1" thickBot="1">
      <c r="A30" s="613"/>
      <c r="B30" s="592" t="s">
        <v>276</v>
      </c>
      <c r="C30" s="592"/>
      <c r="D30" s="592"/>
      <c r="E30" s="592"/>
      <c r="F30" s="592"/>
      <c r="G30" s="592"/>
      <c r="H30" s="75">
        <f>kapesne</f>
        <v>0</v>
      </c>
      <c r="I30" s="595" t="s">
        <v>263</v>
      </c>
      <c r="J30" s="595"/>
      <c r="K30" s="594" t="s">
        <v>266</v>
      </c>
      <c r="L30" s="594"/>
      <c r="M30" s="594"/>
      <c r="N30" s="76">
        <f>R18</f>
        <v>0</v>
      </c>
      <c r="O30" s="55" t="s">
        <v>257</v>
      </c>
      <c r="P30" s="73"/>
      <c r="Q30" s="629">
        <f>E26*H30*N30</f>
        <v>0</v>
      </c>
      <c r="R30" s="629"/>
      <c r="S30" s="620">
        <f>IF(H30,S26,"")</f>
      </c>
      <c r="T30" s="620"/>
      <c r="U30" s="73"/>
      <c r="V30" s="73"/>
      <c r="W30" s="74"/>
      <c r="X30" s="613"/>
      <c r="Y30" s="287" t="s">
        <v>88</v>
      </c>
      <c r="Z30" s="279" t="s">
        <v>63</v>
      </c>
      <c r="AA30" s="279">
        <v>40</v>
      </c>
      <c r="AB30" s="33">
        <f>IF(AB29="","",IF(AND(S31&lt;&gt;AB26,S31&lt;&gt;AB27,S31&lt;&gt;AB28,S31&lt;&gt;AB29,S31&lt;&gt;""),S31,IF(AND(S32&lt;&gt;AB26,S32&lt;&gt;AB27,S32&lt;&gt;AB28,S32&lt;&gt;AB29,S32&lt;&gt;""),S32,IF(AND(S33&lt;&gt;AB26,S33&lt;&gt;AB28,S33&lt;&gt;AB29,S33&lt;&gt;AB27,S33&lt;&gt;""),S33,IF(AND(S34&lt;&gt;AB26,S34&lt;&gt;AB28,S34&lt;&gt;AB29,S34&lt;&gt;AB27,S34&lt;&gt;""),S34,IF(AND(S35&lt;&gt;AB26,S35&lt;&gt;AB27,S35&lt;&gt;AB28,S35&lt;&gt;AB29,S35&lt;&gt;""),S35,""))))))</f>
      </c>
      <c r="AC30" s="3"/>
    </row>
    <row r="31" spans="1:29" ht="15" customHeight="1" thickBot="1">
      <c r="A31" s="613"/>
      <c r="B31" s="61"/>
      <c r="C31" s="62"/>
      <c r="D31" s="62"/>
      <c r="E31" s="73"/>
      <c r="F31" s="73"/>
      <c r="G31" s="61"/>
      <c r="H31" s="77"/>
      <c r="I31" s="595" t="s">
        <v>264</v>
      </c>
      <c r="J31" s="595"/>
      <c r="K31" s="594" t="s">
        <v>266</v>
      </c>
      <c r="L31" s="594"/>
      <c r="M31" s="594"/>
      <c r="N31" s="66">
        <f>R21</f>
        <v>0</v>
      </c>
      <c r="O31" s="55" t="s">
        <v>257</v>
      </c>
      <c r="P31" s="73"/>
      <c r="Q31" s="628">
        <f>E27*H30*N31</f>
        <v>0</v>
      </c>
      <c r="R31" s="628"/>
      <c r="S31" s="608">
        <f>IF(H30,S27,"")</f>
      </c>
      <c r="T31" s="608"/>
      <c r="U31" s="73"/>
      <c r="V31" s="73"/>
      <c r="W31" s="74"/>
      <c r="X31" s="613"/>
      <c r="Y31" s="287" t="s">
        <v>89</v>
      </c>
      <c r="Z31" s="279" t="s">
        <v>43</v>
      </c>
      <c r="AA31" s="279">
        <v>35</v>
      </c>
      <c r="AB31" s="26"/>
      <c r="AC31" s="3"/>
    </row>
    <row r="32" spans="1:27" ht="27" customHeight="1" thickBot="1">
      <c r="A32" s="613"/>
      <c r="B32" s="592" t="s">
        <v>267</v>
      </c>
      <c r="C32" s="592"/>
      <c r="D32" s="592"/>
      <c r="E32" s="592"/>
      <c r="F32" s="592"/>
      <c r="G32" s="61"/>
      <c r="H32" s="61"/>
      <c r="I32" s="61"/>
      <c r="J32" s="61"/>
      <c r="K32" s="61"/>
      <c r="L32" s="61"/>
      <c r="M32" s="61"/>
      <c r="N32" s="61"/>
      <c r="O32" s="584" t="s">
        <v>270</v>
      </c>
      <c r="P32" s="584"/>
      <c r="Q32" s="593"/>
      <c r="R32" s="593"/>
      <c r="S32" s="589"/>
      <c r="T32" s="589"/>
      <c r="U32" s="78"/>
      <c r="V32" s="61"/>
      <c r="W32" s="79"/>
      <c r="X32" s="613"/>
      <c r="Y32" s="287" t="s">
        <v>90</v>
      </c>
      <c r="Z32" s="279" t="s">
        <v>43</v>
      </c>
      <c r="AA32" s="279">
        <v>40</v>
      </c>
    </row>
    <row r="33" spans="1:27" ht="15.75" customHeight="1" thickBot="1">
      <c r="A33" s="613"/>
      <c r="B33" s="73"/>
      <c r="C33" s="73"/>
      <c r="D33" s="73"/>
      <c r="E33" s="73"/>
      <c r="F33" s="73"/>
      <c r="G33" s="61"/>
      <c r="H33" s="61"/>
      <c r="I33" s="61"/>
      <c r="J33" s="61"/>
      <c r="K33" s="61"/>
      <c r="L33" s="61"/>
      <c r="M33" s="61"/>
      <c r="N33" s="61"/>
      <c r="O33" s="584" t="s">
        <v>277</v>
      </c>
      <c r="P33" s="584"/>
      <c r="Q33" s="586"/>
      <c r="R33" s="586"/>
      <c r="S33" s="589"/>
      <c r="T33" s="589"/>
      <c r="U33" s="78"/>
      <c r="V33" s="61"/>
      <c r="W33" s="61"/>
      <c r="X33" s="613"/>
      <c r="Y33" s="287" t="s">
        <v>91</v>
      </c>
      <c r="Z33" s="279" t="s">
        <v>63</v>
      </c>
      <c r="AA33" s="279">
        <v>55</v>
      </c>
    </row>
    <row r="34" spans="1:27" ht="24.75" customHeight="1" thickBot="1">
      <c r="A34" s="613"/>
      <c r="B34" s="585" t="s">
        <v>268</v>
      </c>
      <c r="C34" s="585"/>
      <c r="D34" s="585"/>
      <c r="E34" s="585"/>
      <c r="F34" s="585"/>
      <c r="G34" s="585"/>
      <c r="H34" s="585"/>
      <c r="I34" s="585"/>
      <c r="J34" s="61"/>
      <c r="K34" s="61"/>
      <c r="L34" s="61"/>
      <c r="M34" s="61"/>
      <c r="N34" s="61"/>
      <c r="O34" s="584" t="s">
        <v>270</v>
      </c>
      <c r="P34" s="584"/>
      <c r="Q34" s="586"/>
      <c r="R34" s="586"/>
      <c r="S34" s="589"/>
      <c r="T34" s="589"/>
      <c r="U34" s="78"/>
      <c r="V34" s="80"/>
      <c r="W34" s="80"/>
      <c r="X34" s="613"/>
      <c r="Y34" s="287" t="s">
        <v>92</v>
      </c>
      <c r="Z34" s="279" t="str">
        <f>$Z$86</f>
        <v>USD</v>
      </c>
      <c r="AA34" s="279">
        <f>$AA$86</f>
        <v>55</v>
      </c>
    </row>
    <row r="35" spans="1:27" ht="15" customHeight="1" thickBot="1">
      <c r="A35" s="613"/>
      <c r="B35" s="81"/>
      <c r="C35" s="81"/>
      <c r="D35" s="81"/>
      <c r="E35" s="81"/>
      <c r="F35" s="81"/>
      <c r="G35" s="79"/>
      <c r="H35" s="79"/>
      <c r="I35" s="79"/>
      <c r="J35" s="79"/>
      <c r="K35" s="79"/>
      <c r="L35" s="79"/>
      <c r="M35" s="79"/>
      <c r="N35" s="79"/>
      <c r="O35" s="591" t="s">
        <v>277</v>
      </c>
      <c r="P35" s="591"/>
      <c r="Q35" s="586"/>
      <c r="R35" s="586"/>
      <c r="S35" s="589"/>
      <c r="T35" s="589"/>
      <c r="U35" s="82"/>
      <c r="V35" s="79"/>
      <c r="W35" s="79"/>
      <c r="X35" s="613"/>
      <c r="Y35" s="288" t="s">
        <v>93</v>
      </c>
      <c r="Z35" s="281" t="s">
        <v>461</v>
      </c>
      <c r="AA35" s="281">
        <v>45</v>
      </c>
    </row>
    <row r="36" spans="1:27" ht="11.25" customHeight="1" thickBot="1">
      <c r="A36" s="613"/>
      <c r="B36" s="83"/>
      <c r="C36" s="83"/>
      <c r="D36" s="83"/>
      <c r="E36" s="83"/>
      <c r="F36" s="83"/>
      <c r="G36" s="84"/>
      <c r="H36" s="84"/>
      <c r="I36" s="84"/>
      <c r="J36" s="84"/>
      <c r="K36" s="84"/>
      <c r="L36" s="84"/>
      <c r="M36" s="84"/>
      <c r="N36" s="84"/>
      <c r="O36" s="85"/>
      <c r="P36" s="85"/>
      <c r="Q36" s="86"/>
      <c r="R36" s="86"/>
      <c r="S36" s="87"/>
      <c r="T36" s="87"/>
      <c r="U36" s="83"/>
      <c r="V36" s="84"/>
      <c r="W36" s="84"/>
      <c r="X36" s="613"/>
      <c r="Y36" s="280" t="s">
        <v>400</v>
      </c>
      <c r="Z36" s="289" t="s">
        <v>43</v>
      </c>
      <c r="AA36" s="286">
        <v>35</v>
      </c>
    </row>
    <row r="37" spans="1:27" ht="21" customHeight="1" thickBot="1" thickTop="1">
      <c r="A37" s="613"/>
      <c r="B37" s="622" t="s">
        <v>271</v>
      </c>
      <c r="C37" s="622"/>
      <c r="D37" s="622"/>
      <c r="E37" s="622"/>
      <c r="F37" s="622"/>
      <c r="G37" s="622"/>
      <c r="H37" s="623" t="s">
        <v>275</v>
      </c>
      <c r="I37" s="623"/>
      <c r="J37" s="623"/>
      <c r="K37" s="623"/>
      <c r="L37" s="623"/>
      <c r="M37" s="623"/>
      <c r="N37" s="623"/>
      <c r="O37" s="623"/>
      <c r="P37" s="61"/>
      <c r="Q37" s="590">
        <f>IF(AB26&lt;&gt;"",SUMIF(S$26:T$35,AB26,Q$26:R$35),0)</f>
        <v>0</v>
      </c>
      <c r="R37" s="590"/>
      <c r="S37" s="587">
        <f>AB26</f>
      </c>
      <c r="T37" s="588"/>
      <c r="U37" s="82"/>
      <c r="V37" s="61"/>
      <c r="W37" s="61"/>
      <c r="X37" s="613"/>
      <c r="Y37" s="287" t="s">
        <v>94</v>
      </c>
      <c r="Z37" s="283" t="s">
        <v>43</v>
      </c>
      <c r="AA37" s="282">
        <v>45</v>
      </c>
    </row>
    <row r="38" spans="1:27" ht="18" customHeight="1" thickBot="1">
      <c r="A38" s="613"/>
      <c r="B38" s="61"/>
      <c r="C38" s="61"/>
      <c r="D38" s="61"/>
      <c r="E38" s="61"/>
      <c r="F38" s="61"/>
      <c r="G38" s="61"/>
      <c r="H38" s="61"/>
      <c r="I38" s="61"/>
      <c r="J38" s="61"/>
      <c r="K38" s="61"/>
      <c r="L38" s="61"/>
      <c r="M38" s="61"/>
      <c r="N38" s="77"/>
      <c r="O38" s="77">
        <f>IF(Q38&lt;&gt;0,"………………","")</f>
      </c>
      <c r="P38" s="61"/>
      <c r="Q38" s="590">
        <f>IF(AB27&lt;&gt;"",SUMIF(S$26:T$35,AB27,Q$26:R$35),0)</f>
        <v>0</v>
      </c>
      <c r="R38" s="590"/>
      <c r="S38" s="587">
        <f>AB27</f>
      </c>
      <c r="T38" s="588"/>
      <c r="U38" s="61"/>
      <c r="V38" s="61"/>
      <c r="W38" s="61"/>
      <c r="X38" s="613"/>
      <c r="Y38" s="287" t="s">
        <v>95</v>
      </c>
      <c r="Z38" s="279" t="s">
        <v>43</v>
      </c>
      <c r="AA38" s="279">
        <v>50</v>
      </c>
    </row>
    <row r="39" spans="1:27" ht="18" customHeight="1" thickBot="1">
      <c r="A39" s="613"/>
      <c r="B39" s="61"/>
      <c r="C39" s="61"/>
      <c r="D39" s="61"/>
      <c r="E39" s="61"/>
      <c r="F39" s="61"/>
      <c r="G39" s="61"/>
      <c r="H39" s="61"/>
      <c r="I39" s="61"/>
      <c r="J39" s="61"/>
      <c r="K39" s="61"/>
      <c r="L39" s="61"/>
      <c r="M39" s="61"/>
      <c r="N39" s="77"/>
      <c r="O39" s="77">
        <f>IF(Q39&lt;&gt;0,"………………","")</f>
      </c>
      <c r="P39" s="61"/>
      <c r="Q39" s="590">
        <f>IF(AB28&lt;&gt;"",SUMIF(S$26:T$35,AB28,Q$26:R$35),0)</f>
        <v>0</v>
      </c>
      <c r="R39" s="590"/>
      <c r="S39" s="587">
        <f>AB28</f>
      </c>
      <c r="T39" s="588"/>
      <c r="U39" s="61"/>
      <c r="V39" s="61"/>
      <c r="W39" s="61"/>
      <c r="X39" s="613"/>
      <c r="Y39" s="287" t="s">
        <v>96</v>
      </c>
      <c r="Z39" s="279" t="str">
        <f>$Z$86</f>
        <v>USD</v>
      </c>
      <c r="AA39" s="279">
        <f>$AA$86</f>
        <v>55</v>
      </c>
    </row>
    <row r="40" spans="1:27" ht="18" customHeight="1" thickBot="1">
      <c r="A40" s="613"/>
      <c r="B40" s="626" t="s">
        <v>279</v>
      </c>
      <c r="C40" s="626"/>
      <c r="D40" s="626"/>
      <c r="E40" s="626"/>
      <c r="F40" s="626"/>
      <c r="G40" s="626"/>
      <c r="H40" s="626"/>
      <c r="I40" s="500"/>
      <c r="J40" s="500"/>
      <c r="K40" s="500"/>
      <c r="L40" s="500"/>
      <c r="M40" s="500"/>
      <c r="N40" s="500"/>
      <c r="O40" s="77"/>
      <c r="P40" s="61"/>
      <c r="Q40" s="590">
        <f>IF(AB29&lt;&gt;"",SUMIF(S$26:T$35,AB29,Q$26:R$35),0)</f>
        <v>0</v>
      </c>
      <c r="R40" s="590"/>
      <c r="S40" s="587">
        <f>AB29</f>
      </c>
      <c r="T40" s="588"/>
      <c r="U40" s="61"/>
      <c r="V40" s="61"/>
      <c r="W40" s="61"/>
      <c r="X40" s="613"/>
      <c r="Y40" s="287" t="s">
        <v>97</v>
      </c>
      <c r="Z40" s="279" t="str">
        <f>$Z$86</f>
        <v>USD</v>
      </c>
      <c r="AA40" s="279">
        <f>$AA$86</f>
        <v>55</v>
      </c>
    </row>
    <row r="41" spans="1:27" ht="18" customHeight="1" thickBot="1">
      <c r="A41" s="613"/>
      <c r="B41" s="616"/>
      <c r="C41" s="616"/>
      <c r="D41" s="616"/>
      <c r="E41" s="616"/>
      <c r="F41" s="616"/>
      <c r="G41" s="616"/>
      <c r="H41" s="616"/>
      <c r="I41" s="500"/>
      <c r="J41" s="500"/>
      <c r="K41" s="500"/>
      <c r="L41" s="500"/>
      <c r="M41" s="500"/>
      <c r="N41" s="500"/>
      <c r="O41" s="77"/>
      <c r="P41" s="61"/>
      <c r="Q41" s="590">
        <f>IF(AB30&lt;&gt;"",SUMIF(S$26:T$35,AB30,Q$26:R$35),0)</f>
        <v>0</v>
      </c>
      <c r="R41" s="590"/>
      <c r="S41" s="587">
        <f>AB30</f>
      </c>
      <c r="T41" s="588"/>
      <c r="U41" s="61"/>
      <c r="V41" s="61"/>
      <c r="W41" s="61"/>
      <c r="X41" s="613"/>
      <c r="Y41" s="287" t="s">
        <v>98</v>
      </c>
      <c r="Z41" s="279" t="s">
        <v>43</v>
      </c>
      <c r="AA41" s="279">
        <v>45</v>
      </c>
    </row>
    <row r="42" spans="1:27" ht="18" customHeight="1" thickBot="1">
      <c r="A42" s="613"/>
      <c r="B42" s="61"/>
      <c r="C42" s="61"/>
      <c r="D42" s="61"/>
      <c r="E42" s="61"/>
      <c r="F42" s="61"/>
      <c r="G42" s="61"/>
      <c r="H42" s="61"/>
      <c r="I42" s="61"/>
      <c r="J42" s="61"/>
      <c r="K42" s="61"/>
      <c r="L42" s="61"/>
      <c r="M42" s="61"/>
      <c r="N42" s="61"/>
      <c r="O42" s="61"/>
      <c r="P42" s="61"/>
      <c r="Q42" s="61"/>
      <c r="R42" s="61"/>
      <c r="S42" s="61"/>
      <c r="T42" s="61"/>
      <c r="U42" s="61"/>
      <c r="V42" s="61"/>
      <c r="W42" s="61"/>
      <c r="X42" s="613"/>
      <c r="Y42" s="287" t="s">
        <v>99</v>
      </c>
      <c r="Z42" s="279" t="s">
        <v>43</v>
      </c>
      <c r="AA42" s="279">
        <v>35</v>
      </c>
    </row>
    <row r="43" spans="1:27" ht="18" customHeight="1" thickBot="1">
      <c r="A43" s="613"/>
      <c r="B43" s="61"/>
      <c r="C43" s="61"/>
      <c r="D43" s="61"/>
      <c r="E43" s="61"/>
      <c r="F43" s="61"/>
      <c r="G43" s="61"/>
      <c r="H43" s="61"/>
      <c r="I43" s="61"/>
      <c r="J43" s="631"/>
      <c r="K43" s="631"/>
      <c r="L43" s="631"/>
      <c r="M43" s="631"/>
      <c r="N43" s="631"/>
      <c r="O43" s="631"/>
      <c r="P43" s="631"/>
      <c r="Q43" s="631"/>
      <c r="R43" s="631"/>
      <c r="S43" s="631"/>
      <c r="T43" s="631"/>
      <c r="U43" s="631"/>
      <c r="V43" s="631"/>
      <c r="W43" s="61"/>
      <c r="X43" s="613"/>
      <c r="Y43" s="288" t="s">
        <v>100</v>
      </c>
      <c r="Z43" s="281" t="s">
        <v>63</v>
      </c>
      <c r="AA43" s="282">
        <v>45</v>
      </c>
    </row>
    <row r="44" spans="1:27" ht="13.5" thickBot="1">
      <c r="A44" s="613"/>
      <c r="B44" s="61"/>
      <c r="C44" s="61"/>
      <c r="D44" s="61"/>
      <c r="E44" s="61"/>
      <c r="F44" s="61"/>
      <c r="G44" s="61"/>
      <c r="H44" s="61"/>
      <c r="I44" s="61"/>
      <c r="J44" s="630" t="s">
        <v>369</v>
      </c>
      <c r="K44" s="630"/>
      <c r="L44" s="630"/>
      <c r="M44" s="630"/>
      <c r="N44" s="630"/>
      <c r="O44" s="630"/>
      <c r="P44" s="630"/>
      <c r="Q44" s="630"/>
      <c r="R44" s="630"/>
      <c r="S44" s="630"/>
      <c r="T44" s="630"/>
      <c r="U44" s="630"/>
      <c r="V44" s="630"/>
      <c r="W44" s="61"/>
      <c r="X44" s="613"/>
      <c r="Y44" s="280" t="s">
        <v>101</v>
      </c>
      <c r="Z44" s="284" t="s">
        <v>63</v>
      </c>
      <c r="AA44" s="279">
        <v>50</v>
      </c>
    </row>
    <row r="45" spans="1:27" ht="13.5" thickBot="1">
      <c r="A45" s="613"/>
      <c r="B45" s="53"/>
      <c r="C45" s="53"/>
      <c r="D45" s="53"/>
      <c r="E45" s="53"/>
      <c r="F45" s="53"/>
      <c r="G45" s="53"/>
      <c r="H45" s="53"/>
      <c r="I45" s="53"/>
      <c r="J45" s="53"/>
      <c r="K45" s="53"/>
      <c r="L45" s="53"/>
      <c r="M45" s="53"/>
      <c r="N45" s="53"/>
      <c r="O45" s="53"/>
      <c r="P45" s="53"/>
      <c r="Q45" s="53"/>
      <c r="R45" s="53"/>
      <c r="S45" s="53"/>
      <c r="T45" s="53"/>
      <c r="U45" s="53"/>
      <c r="V45" s="53"/>
      <c r="W45" s="53"/>
      <c r="X45" s="613"/>
      <c r="Y45" s="287" t="s">
        <v>102</v>
      </c>
      <c r="Z45" s="279" t="s">
        <v>43</v>
      </c>
      <c r="AA45" s="279">
        <v>40</v>
      </c>
    </row>
    <row r="46" spans="1:27" ht="15.75" customHeight="1" thickBot="1">
      <c r="A46" s="613"/>
      <c r="B46" s="613"/>
      <c r="C46" s="613"/>
      <c r="D46" s="613"/>
      <c r="E46" s="613"/>
      <c r="F46" s="613"/>
      <c r="G46" s="613"/>
      <c r="H46" s="613"/>
      <c r="I46" s="613"/>
      <c r="J46" s="613"/>
      <c r="K46" s="613"/>
      <c r="L46" s="613"/>
      <c r="M46" s="613"/>
      <c r="N46" s="613"/>
      <c r="O46" s="613"/>
      <c r="P46" s="613"/>
      <c r="Q46" s="613"/>
      <c r="R46" s="613"/>
      <c r="S46" s="613"/>
      <c r="T46" s="613"/>
      <c r="U46" s="613"/>
      <c r="V46" s="613"/>
      <c r="W46" s="613"/>
      <c r="X46" s="613"/>
      <c r="Y46" s="287" t="s">
        <v>103</v>
      </c>
      <c r="Z46" s="279" t="s">
        <v>43</v>
      </c>
      <c r="AA46" s="279">
        <v>45</v>
      </c>
    </row>
    <row r="47" spans="1:27" ht="23.25" customHeight="1" thickBot="1">
      <c r="A47" s="580" t="s">
        <v>331</v>
      </c>
      <c r="B47" s="580"/>
      <c r="C47" s="580"/>
      <c r="D47" s="580"/>
      <c r="E47" s="580"/>
      <c r="F47" s="580"/>
      <c r="G47" s="580"/>
      <c r="H47" s="580"/>
      <c r="I47" s="580"/>
      <c r="J47" s="580"/>
      <c r="K47" s="580"/>
      <c r="L47" s="580"/>
      <c r="M47" s="580"/>
      <c r="N47" s="580"/>
      <c r="O47" s="580"/>
      <c r="P47" s="580"/>
      <c r="Q47" s="580"/>
      <c r="R47" s="580"/>
      <c r="S47" s="580"/>
      <c r="T47" s="580"/>
      <c r="U47" s="580"/>
      <c r="V47" s="580"/>
      <c r="W47" s="580"/>
      <c r="X47" s="581"/>
      <c r="Y47" s="287" t="s">
        <v>104</v>
      </c>
      <c r="Z47" s="279" t="s">
        <v>43</v>
      </c>
      <c r="AA47" s="279">
        <v>35</v>
      </c>
    </row>
    <row r="48" spans="1:27" ht="13.5" thickBot="1">
      <c r="A48" s="50"/>
      <c r="B48" s="582" t="s">
        <v>332</v>
      </c>
      <c r="C48" s="582"/>
      <c r="D48" s="582"/>
      <c r="E48" s="582"/>
      <c r="F48" s="582"/>
      <c r="G48" s="583" t="s">
        <v>333</v>
      </c>
      <c r="H48" s="583"/>
      <c r="I48" s="583"/>
      <c r="J48" s="583"/>
      <c r="K48" s="583"/>
      <c r="L48" s="583"/>
      <c r="M48" s="583"/>
      <c r="N48" s="583"/>
      <c r="O48" s="583"/>
      <c r="P48" s="583"/>
      <c r="Q48" s="583"/>
      <c r="R48" s="583"/>
      <c r="S48" s="583"/>
      <c r="T48" s="583"/>
      <c r="U48" s="583"/>
      <c r="V48" s="583"/>
      <c r="W48" s="583"/>
      <c r="X48" s="50"/>
      <c r="Y48" s="287" t="s">
        <v>105</v>
      </c>
      <c r="Z48" s="279" t="s">
        <v>43</v>
      </c>
      <c r="AA48" s="279">
        <v>45</v>
      </c>
    </row>
    <row r="49" spans="1:27" ht="13.5" thickBot="1">
      <c r="A49" s="50"/>
      <c r="B49" s="576"/>
      <c r="C49" s="576"/>
      <c r="D49" s="576"/>
      <c r="E49" s="576"/>
      <c r="F49" s="576"/>
      <c r="G49" s="576" t="s">
        <v>340</v>
      </c>
      <c r="H49" s="576"/>
      <c r="I49" s="576"/>
      <c r="J49" s="576"/>
      <c r="K49" s="576"/>
      <c r="L49" s="576"/>
      <c r="M49" s="576"/>
      <c r="N49" s="576"/>
      <c r="O49" s="576"/>
      <c r="P49" s="576"/>
      <c r="Q49" s="576"/>
      <c r="R49" s="576"/>
      <c r="S49" s="576"/>
      <c r="T49" s="576"/>
      <c r="U49" s="576"/>
      <c r="V49" s="576"/>
      <c r="W49" s="576"/>
      <c r="X49" s="50"/>
      <c r="Y49" s="288" t="s">
        <v>106</v>
      </c>
      <c r="Z49" s="281" t="s">
        <v>43</v>
      </c>
      <c r="AA49" s="281">
        <v>45</v>
      </c>
    </row>
    <row r="50" spans="1:27" ht="13.5" thickBot="1">
      <c r="A50" s="50"/>
      <c r="B50" s="576"/>
      <c r="C50" s="576"/>
      <c r="D50" s="576"/>
      <c r="E50" s="576"/>
      <c r="F50" s="576"/>
      <c r="G50" s="576" t="s">
        <v>341</v>
      </c>
      <c r="H50" s="576"/>
      <c r="I50" s="576"/>
      <c r="J50" s="576"/>
      <c r="K50" s="576"/>
      <c r="L50" s="576"/>
      <c r="M50" s="576"/>
      <c r="N50" s="576"/>
      <c r="O50" s="576"/>
      <c r="P50" s="576"/>
      <c r="Q50" s="576"/>
      <c r="R50" s="576"/>
      <c r="S50" s="576"/>
      <c r="T50" s="576"/>
      <c r="U50" s="576"/>
      <c r="V50" s="576"/>
      <c r="W50" s="576"/>
      <c r="X50" s="50"/>
      <c r="Y50" s="291" t="s">
        <v>452</v>
      </c>
      <c r="Z50" s="290" t="s">
        <v>43</v>
      </c>
      <c r="AA50" s="290">
        <v>45</v>
      </c>
    </row>
    <row r="51" spans="1:27" ht="13.5" thickBot="1">
      <c r="A51" s="50"/>
      <c r="B51" s="577"/>
      <c r="C51" s="577"/>
      <c r="D51" s="577"/>
      <c r="E51" s="577"/>
      <c r="F51" s="577"/>
      <c r="G51" s="575" t="s">
        <v>493</v>
      </c>
      <c r="H51" s="575"/>
      <c r="I51" s="575"/>
      <c r="J51" s="575"/>
      <c r="K51" s="575"/>
      <c r="L51" s="575"/>
      <c r="M51" s="575"/>
      <c r="N51" s="575"/>
      <c r="O51" s="575"/>
      <c r="P51" s="575"/>
      <c r="Q51" s="575"/>
      <c r="R51" s="575"/>
      <c r="S51" s="575"/>
      <c r="T51" s="575"/>
      <c r="U51" s="575"/>
      <c r="V51" s="575"/>
      <c r="W51" s="575"/>
      <c r="X51" s="50"/>
      <c r="Y51" s="287" t="s">
        <v>107</v>
      </c>
      <c r="Z51" s="279" t="s">
        <v>63</v>
      </c>
      <c r="AA51" s="279">
        <v>45</v>
      </c>
    </row>
    <row r="52" spans="1:27" ht="13.5" thickBot="1">
      <c r="A52" s="50"/>
      <c r="B52" s="579"/>
      <c r="C52" s="579"/>
      <c r="D52" s="579"/>
      <c r="E52" s="579"/>
      <c r="F52" s="579"/>
      <c r="G52" s="574" t="s">
        <v>494</v>
      </c>
      <c r="H52" s="574"/>
      <c r="I52" s="574"/>
      <c r="J52" s="574"/>
      <c r="K52" s="574"/>
      <c r="L52" s="574"/>
      <c r="M52" s="574"/>
      <c r="N52" s="574"/>
      <c r="O52" s="574"/>
      <c r="P52" s="574"/>
      <c r="Q52" s="574"/>
      <c r="R52" s="574"/>
      <c r="S52" s="574"/>
      <c r="T52" s="574"/>
      <c r="U52" s="574"/>
      <c r="V52" s="574"/>
      <c r="W52" s="574"/>
      <c r="X52" s="50"/>
      <c r="Y52" s="287" t="s">
        <v>108</v>
      </c>
      <c r="Z52" s="279" t="s">
        <v>43</v>
      </c>
      <c r="AA52" s="279">
        <v>45</v>
      </c>
    </row>
    <row r="53" spans="1:27" ht="13.5" thickBot="1">
      <c r="A53" s="50"/>
      <c r="B53" s="578" t="s">
        <v>334</v>
      </c>
      <c r="C53" s="578"/>
      <c r="D53" s="578"/>
      <c r="E53" s="578"/>
      <c r="F53" s="578"/>
      <c r="G53" s="575" t="s">
        <v>335</v>
      </c>
      <c r="H53" s="575"/>
      <c r="I53" s="575"/>
      <c r="J53" s="575"/>
      <c r="K53" s="575"/>
      <c r="L53" s="575"/>
      <c r="M53" s="575"/>
      <c r="N53" s="575"/>
      <c r="O53" s="575"/>
      <c r="P53" s="575"/>
      <c r="Q53" s="575"/>
      <c r="R53" s="575"/>
      <c r="S53" s="575"/>
      <c r="T53" s="575"/>
      <c r="U53" s="575"/>
      <c r="V53" s="575"/>
      <c r="W53" s="575"/>
      <c r="X53" s="50"/>
      <c r="Y53" s="287" t="s">
        <v>109</v>
      </c>
      <c r="Z53" s="279" t="s">
        <v>453</v>
      </c>
      <c r="AA53" s="279">
        <v>45</v>
      </c>
    </row>
    <row r="54" spans="1:27" ht="13.5" thickBot="1">
      <c r="A54" s="50"/>
      <c r="B54" s="399"/>
      <c r="C54" s="399"/>
      <c r="D54" s="399"/>
      <c r="E54" s="399"/>
      <c r="F54" s="399"/>
      <c r="G54" s="575" t="s">
        <v>336</v>
      </c>
      <c r="H54" s="575"/>
      <c r="I54" s="575"/>
      <c r="J54" s="575"/>
      <c r="K54" s="575"/>
      <c r="L54" s="575"/>
      <c r="M54" s="575"/>
      <c r="N54" s="575"/>
      <c r="O54" s="575"/>
      <c r="P54" s="575"/>
      <c r="Q54" s="575"/>
      <c r="R54" s="575"/>
      <c r="S54" s="575"/>
      <c r="T54" s="575"/>
      <c r="U54" s="575"/>
      <c r="V54" s="575"/>
      <c r="W54" s="575"/>
      <c r="X54" s="50"/>
      <c r="Y54" s="287" t="s">
        <v>110</v>
      </c>
      <c r="Z54" s="279" t="s">
        <v>43</v>
      </c>
      <c r="AA54" s="279">
        <v>40</v>
      </c>
    </row>
    <row r="55" spans="1:27" ht="13.5" thickBot="1">
      <c r="A55" s="50"/>
      <c r="B55" s="399"/>
      <c r="C55" s="399"/>
      <c r="D55" s="399"/>
      <c r="E55" s="399"/>
      <c r="F55" s="399"/>
      <c r="G55" s="575" t="s">
        <v>337</v>
      </c>
      <c r="H55" s="575"/>
      <c r="I55" s="575"/>
      <c r="J55" s="575"/>
      <c r="K55" s="575"/>
      <c r="L55" s="575"/>
      <c r="M55" s="575"/>
      <c r="N55" s="575"/>
      <c r="O55" s="575"/>
      <c r="P55" s="575"/>
      <c r="Q55" s="575"/>
      <c r="R55" s="575"/>
      <c r="S55" s="575"/>
      <c r="T55" s="575"/>
      <c r="U55" s="575"/>
      <c r="V55" s="575"/>
      <c r="W55" s="575"/>
      <c r="X55" s="50"/>
      <c r="Y55" s="287" t="s">
        <v>111</v>
      </c>
      <c r="Z55" s="279" t="str">
        <f>$Z$86</f>
        <v>USD</v>
      </c>
      <c r="AA55" s="279">
        <v>40</v>
      </c>
    </row>
    <row r="56" spans="1:27" ht="13.5" thickBot="1">
      <c r="A56" s="50"/>
      <c r="B56" s="400"/>
      <c r="C56" s="400"/>
      <c r="D56" s="400"/>
      <c r="E56" s="400"/>
      <c r="F56" s="400"/>
      <c r="G56" s="574" t="s">
        <v>338</v>
      </c>
      <c r="H56" s="574"/>
      <c r="I56" s="574"/>
      <c r="J56" s="574"/>
      <c r="K56" s="574"/>
      <c r="L56" s="574"/>
      <c r="M56" s="574"/>
      <c r="N56" s="574"/>
      <c r="O56" s="574"/>
      <c r="P56" s="574"/>
      <c r="Q56" s="574"/>
      <c r="R56" s="574"/>
      <c r="S56" s="574"/>
      <c r="T56" s="574"/>
      <c r="U56" s="574"/>
      <c r="V56" s="574"/>
      <c r="W56" s="574"/>
      <c r="X56" s="50"/>
      <c r="Y56" s="287" t="s">
        <v>112</v>
      </c>
      <c r="Z56" s="279" t="str">
        <f>$Z$86</f>
        <v>USD</v>
      </c>
      <c r="AA56" s="279">
        <f>$AA$86</f>
        <v>55</v>
      </c>
    </row>
    <row r="57" spans="1:27" ht="13.5" thickBot="1">
      <c r="A57" s="50"/>
      <c r="B57" s="50"/>
      <c r="C57" s="50"/>
      <c r="D57" s="50"/>
      <c r="E57" s="50"/>
      <c r="F57" s="50"/>
      <c r="G57" s="50"/>
      <c r="H57" s="50"/>
      <c r="I57" s="50"/>
      <c r="J57" s="50"/>
      <c r="K57" s="50"/>
      <c r="L57" s="50"/>
      <c r="M57" s="50"/>
      <c r="N57" s="50"/>
      <c r="O57" s="50"/>
      <c r="P57" s="50"/>
      <c r="Q57" s="50"/>
      <c r="R57" s="50"/>
      <c r="S57" s="50"/>
      <c r="T57" s="50"/>
      <c r="U57" s="50"/>
      <c r="V57" s="50"/>
      <c r="W57" s="50"/>
      <c r="X57" s="50"/>
      <c r="Y57" s="287" t="s">
        <v>113</v>
      </c>
      <c r="Z57" s="279" t="s">
        <v>43</v>
      </c>
      <c r="AA57" s="279">
        <v>35</v>
      </c>
    </row>
    <row r="58" spans="1:27" ht="13.5" thickBot="1">
      <c r="A58" s="50"/>
      <c r="B58" s="50"/>
      <c r="C58" s="50"/>
      <c r="D58" s="50"/>
      <c r="E58" s="50"/>
      <c r="F58" s="50"/>
      <c r="G58" s="50"/>
      <c r="H58" s="50"/>
      <c r="I58" s="50"/>
      <c r="J58" s="50"/>
      <c r="K58" s="50"/>
      <c r="L58" s="50"/>
      <c r="M58" s="50"/>
      <c r="N58" s="50"/>
      <c r="O58" s="50"/>
      <c r="P58" s="50"/>
      <c r="Q58" s="50"/>
      <c r="R58" s="50"/>
      <c r="S58" s="50"/>
      <c r="T58" s="50"/>
      <c r="U58" s="50"/>
      <c r="V58" s="50"/>
      <c r="W58" s="50"/>
      <c r="X58" s="50"/>
      <c r="Y58" s="287" t="s">
        <v>114</v>
      </c>
      <c r="Z58" s="279" t="s">
        <v>63</v>
      </c>
      <c r="AA58" s="279">
        <v>45</v>
      </c>
    </row>
    <row r="59" spans="1:27" ht="13.5" thickBot="1">
      <c r="A59" s="50"/>
      <c r="B59" s="50"/>
      <c r="C59" s="50"/>
      <c r="D59" s="50"/>
      <c r="E59" s="50"/>
      <c r="F59" s="50"/>
      <c r="G59" s="50"/>
      <c r="H59" s="50"/>
      <c r="I59" s="50"/>
      <c r="J59" s="50"/>
      <c r="K59" s="50"/>
      <c r="L59" s="50"/>
      <c r="M59" s="50"/>
      <c r="N59" s="50"/>
      <c r="O59" s="50"/>
      <c r="P59" s="50"/>
      <c r="Q59" s="50"/>
      <c r="R59" s="50"/>
      <c r="S59" s="50"/>
      <c r="T59" s="50"/>
      <c r="U59" s="50"/>
      <c r="V59" s="50"/>
      <c r="W59" s="50"/>
      <c r="X59" s="50"/>
      <c r="Y59" s="287" t="s">
        <v>115</v>
      </c>
      <c r="Z59" s="279" t="s">
        <v>43</v>
      </c>
      <c r="AA59" s="279">
        <v>45</v>
      </c>
    </row>
    <row r="60" spans="1:27" ht="13.5" thickBot="1">
      <c r="A60" s="50"/>
      <c r="B60" s="50"/>
      <c r="C60" s="50"/>
      <c r="D60" s="50"/>
      <c r="E60" s="50"/>
      <c r="F60" s="50"/>
      <c r="G60" s="50"/>
      <c r="H60" s="50"/>
      <c r="I60" s="50"/>
      <c r="J60" s="50"/>
      <c r="K60" s="50"/>
      <c r="L60" s="50"/>
      <c r="M60" s="50"/>
      <c r="N60" s="50"/>
      <c r="O60" s="50"/>
      <c r="P60" s="50"/>
      <c r="Q60" s="50"/>
      <c r="R60" s="50"/>
      <c r="S60" s="50"/>
      <c r="T60" s="50"/>
      <c r="U60" s="50"/>
      <c r="V60" s="50"/>
      <c r="W60" s="50"/>
      <c r="X60" s="50"/>
      <c r="Y60" s="287" t="s">
        <v>116</v>
      </c>
      <c r="Z60" s="279" t="s">
        <v>43</v>
      </c>
      <c r="AA60" s="279">
        <v>45</v>
      </c>
    </row>
    <row r="61" spans="1:27" ht="13.5" thickBot="1">
      <c r="A61" s="50"/>
      <c r="B61" s="50"/>
      <c r="C61" s="50"/>
      <c r="D61" s="50"/>
      <c r="E61" s="50"/>
      <c r="F61" s="50"/>
      <c r="G61" s="50"/>
      <c r="H61" s="50"/>
      <c r="I61" s="50"/>
      <c r="J61" s="50"/>
      <c r="K61" s="50"/>
      <c r="L61" s="50"/>
      <c r="M61" s="50"/>
      <c r="N61" s="50"/>
      <c r="O61" s="50"/>
      <c r="P61" s="50"/>
      <c r="Q61" s="50"/>
      <c r="R61" s="50"/>
      <c r="S61" s="50"/>
      <c r="T61" s="50"/>
      <c r="U61" s="50"/>
      <c r="V61" s="50"/>
      <c r="W61" s="50"/>
      <c r="X61" s="50"/>
      <c r="Y61" s="287" t="s">
        <v>117</v>
      </c>
      <c r="Z61" s="279" t="s">
        <v>63</v>
      </c>
      <c r="AA61" s="279">
        <v>50</v>
      </c>
    </row>
    <row r="62" spans="1:27" ht="13.5" thickBot="1">
      <c r="A62" s="50"/>
      <c r="B62" s="50"/>
      <c r="C62" s="50"/>
      <c r="D62" s="50"/>
      <c r="E62" s="50"/>
      <c r="F62" s="50"/>
      <c r="G62" s="50"/>
      <c r="H62" s="50"/>
      <c r="I62" s="50"/>
      <c r="J62" s="50"/>
      <c r="K62" s="50"/>
      <c r="L62" s="50"/>
      <c r="M62" s="50"/>
      <c r="N62" s="50"/>
      <c r="O62" s="50"/>
      <c r="P62" s="50"/>
      <c r="Q62" s="50"/>
      <c r="R62" s="50"/>
      <c r="S62" s="50"/>
      <c r="T62" s="50"/>
      <c r="U62" s="50"/>
      <c r="V62" s="50"/>
      <c r="W62" s="50"/>
      <c r="X62" s="50"/>
      <c r="Y62" s="287" t="s">
        <v>118</v>
      </c>
      <c r="Z62" s="279" t="str">
        <f>$Z$86</f>
        <v>USD</v>
      </c>
      <c r="AA62" s="279">
        <f>$AA$86</f>
        <v>55</v>
      </c>
    </row>
    <row r="63" spans="1:27" ht="13.5" thickBot="1">
      <c r="A63" s="50"/>
      <c r="B63" s="50"/>
      <c r="C63" s="50"/>
      <c r="D63" s="50"/>
      <c r="E63" s="50"/>
      <c r="F63" s="50"/>
      <c r="G63" s="50"/>
      <c r="H63" s="50"/>
      <c r="I63" s="50"/>
      <c r="J63" s="50"/>
      <c r="K63" s="50"/>
      <c r="L63" s="50"/>
      <c r="M63" s="50"/>
      <c r="N63" s="50"/>
      <c r="O63" s="50"/>
      <c r="P63" s="50"/>
      <c r="Q63" s="50"/>
      <c r="R63" s="50"/>
      <c r="S63" s="50"/>
      <c r="T63" s="50"/>
      <c r="U63" s="50"/>
      <c r="V63" s="50"/>
      <c r="W63" s="50"/>
      <c r="X63" s="50"/>
      <c r="Y63" s="287" t="s">
        <v>119</v>
      </c>
      <c r="Z63" s="279" t="s">
        <v>43</v>
      </c>
      <c r="AA63" s="279">
        <v>45</v>
      </c>
    </row>
    <row r="64" spans="1:27" ht="13.5" thickBot="1">
      <c r="A64" s="50"/>
      <c r="B64" s="50"/>
      <c r="C64" s="50"/>
      <c r="D64" s="50"/>
      <c r="E64" s="50"/>
      <c r="F64" s="50"/>
      <c r="G64" s="50"/>
      <c r="H64" s="50"/>
      <c r="I64" s="50"/>
      <c r="J64" s="50"/>
      <c r="K64" s="50"/>
      <c r="L64" s="50"/>
      <c r="M64" s="50"/>
      <c r="N64" s="50"/>
      <c r="O64" s="50"/>
      <c r="P64" s="50"/>
      <c r="Q64" s="50"/>
      <c r="R64" s="50"/>
      <c r="S64" s="50"/>
      <c r="T64" s="50"/>
      <c r="U64" s="50"/>
      <c r="V64" s="50"/>
      <c r="W64" s="50"/>
      <c r="X64" s="50"/>
      <c r="Y64" s="287" t="s">
        <v>120</v>
      </c>
      <c r="Z64" s="279" t="s">
        <v>63</v>
      </c>
      <c r="AA64" s="279">
        <v>40</v>
      </c>
    </row>
    <row r="65" spans="1:27" ht="13.5" thickBot="1">
      <c r="A65" s="50"/>
      <c r="B65" s="50"/>
      <c r="C65" s="50"/>
      <c r="D65" s="50"/>
      <c r="E65" s="50"/>
      <c r="F65" s="50"/>
      <c r="G65" s="50"/>
      <c r="H65" s="50"/>
      <c r="I65" s="50"/>
      <c r="J65" s="50"/>
      <c r="K65" s="50"/>
      <c r="L65" s="50"/>
      <c r="M65" s="50"/>
      <c r="N65" s="50"/>
      <c r="O65" s="50"/>
      <c r="P65" s="50"/>
      <c r="Q65" s="50"/>
      <c r="R65" s="50"/>
      <c r="S65" s="50"/>
      <c r="T65" s="50"/>
      <c r="U65" s="50"/>
      <c r="V65" s="50"/>
      <c r="W65" s="50"/>
      <c r="X65" s="50"/>
      <c r="Y65" s="287" t="s">
        <v>447</v>
      </c>
      <c r="Z65" s="279" t="str">
        <f>$Z$37</f>
        <v>EUR</v>
      </c>
      <c r="AA65" s="279">
        <v>45</v>
      </c>
    </row>
    <row r="66" spans="1:27" ht="13.5" thickBot="1">
      <c r="A66" s="50"/>
      <c r="B66" s="50"/>
      <c r="C66" s="50"/>
      <c r="D66" s="50"/>
      <c r="E66" s="50"/>
      <c r="F66" s="50"/>
      <c r="G66" s="50"/>
      <c r="H66" s="50"/>
      <c r="I66" s="50"/>
      <c r="J66" s="50"/>
      <c r="K66" s="50"/>
      <c r="L66" s="50"/>
      <c r="M66" s="50"/>
      <c r="N66" s="50"/>
      <c r="O66" s="50"/>
      <c r="P66" s="50"/>
      <c r="Q66" s="50"/>
      <c r="R66" s="50"/>
      <c r="S66" s="50"/>
      <c r="T66" s="50"/>
      <c r="U66" s="50"/>
      <c r="V66" s="50"/>
      <c r="W66" s="50"/>
      <c r="X66" s="50"/>
      <c r="Y66" s="287" t="s">
        <v>121</v>
      </c>
      <c r="Z66" s="279" t="s">
        <v>63</v>
      </c>
      <c r="AA66" s="279">
        <v>50</v>
      </c>
    </row>
    <row r="67" spans="1:27" ht="13.5" thickBot="1">
      <c r="A67" s="50"/>
      <c r="B67" s="50"/>
      <c r="C67" s="50"/>
      <c r="D67" s="50"/>
      <c r="E67" s="50"/>
      <c r="F67" s="50"/>
      <c r="G67" s="50"/>
      <c r="H67" s="50"/>
      <c r="I67" s="50"/>
      <c r="J67" s="50"/>
      <c r="K67" s="50"/>
      <c r="L67" s="50"/>
      <c r="M67" s="50"/>
      <c r="N67" s="50"/>
      <c r="O67" s="50"/>
      <c r="P67" s="50"/>
      <c r="Q67" s="50"/>
      <c r="R67" s="50"/>
      <c r="S67" s="50"/>
      <c r="T67" s="50"/>
      <c r="U67" s="50"/>
      <c r="V67" s="50"/>
      <c r="W67" s="50"/>
      <c r="X67" s="50"/>
      <c r="Y67" s="287" t="s">
        <v>122</v>
      </c>
      <c r="Z67" s="279" t="s">
        <v>43</v>
      </c>
      <c r="AA67" s="279">
        <v>35</v>
      </c>
    </row>
    <row r="68" spans="1:27" ht="13.5" thickBot="1">
      <c r="A68" s="50"/>
      <c r="B68" s="50"/>
      <c r="C68" s="50"/>
      <c r="D68" s="50"/>
      <c r="E68" s="50"/>
      <c r="F68" s="50"/>
      <c r="G68" s="50"/>
      <c r="H68" s="50"/>
      <c r="I68" s="50"/>
      <c r="J68" s="50"/>
      <c r="K68" s="50"/>
      <c r="L68" s="50"/>
      <c r="M68" s="50"/>
      <c r="N68" s="50"/>
      <c r="O68" s="50"/>
      <c r="P68" s="50"/>
      <c r="Q68" s="50"/>
      <c r="R68" s="50"/>
      <c r="S68" s="50"/>
      <c r="T68" s="50"/>
      <c r="U68" s="50"/>
      <c r="V68" s="50"/>
      <c r="W68" s="50"/>
      <c r="X68" s="50"/>
      <c r="Y68" s="287" t="s">
        <v>123</v>
      </c>
      <c r="Z68" s="279" t="s">
        <v>43</v>
      </c>
      <c r="AA68" s="279">
        <v>40</v>
      </c>
    </row>
    <row r="69" spans="1:27" ht="13.5" thickBot="1">
      <c r="A69" s="50"/>
      <c r="B69" s="50"/>
      <c r="C69" s="50"/>
      <c r="D69" s="50"/>
      <c r="E69" s="50"/>
      <c r="F69" s="50"/>
      <c r="G69" s="50"/>
      <c r="H69" s="50"/>
      <c r="I69" s="50"/>
      <c r="J69" s="50"/>
      <c r="K69" s="50"/>
      <c r="L69" s="50"/>
      <c r="M69" s="50"/>
      <c r="N69" s="50"/>
      <c r="O69" s="50"/>
      <c r="P69" s="50"/>
      <c r="Q69" s="50"/>
      <c r="R69" s="50"/>
      <c r="S69" s="50"/>
      <c r="T69" s="50"/>
      <c r="U69" s="50"/>
      <c r="V69" s="50"/>
      <c r="W69" s="50"/>
      <c r="X69" s="50"/>
      <c r="Y69" s="287" t="s">
        <v>124</v>
      </c>
      <c r="Z69" s="279" t="s">
        <v>43</v>
      </c>
      <c r="AA69" s="279">
        <v>35</v>
      </c>
    </row>
    <row r="70" spans="1:27" ht="13.5" thickBot="1">
      <c r="A70" s="50"/>
      <c r="B70" s="50"/>
      <c r="C70" s="50"/>
      <c r="D70" s="50"/>
      <c r="E70" s="50"/>
      <c r="F70" s="50"/>
      <c r="G70" s="50"/>
      <c r="H70" s="50"/>
      <c r="I70" s="50"/>
      <c r="J70" s="50"/>
      <c r="K70" s="50"/>
      <c r="L70" s="50"/>
      <c r="M70" s="50"/>
      <c r="N70" s="50"/>
      <c r="O70" s="50"/>
      <c r="P70" s="50"/>
      <c r="Q70" s="50"/>
      <c r="R70" s="50"/>
      <c r="S70" s="50"/>
      <c r="T70" s="50"/>
      <c r="U70" s="50"/>
      <c r="V70" s="50"/>
      <c r="W70" s="50"/>
      <c r="X70" s="50"/>
      <c r="Y70" s="287" t="s">
        <v>125</v>
      </c>
      <c r="Z70" s="279" t="s">
        <v>43</v>
      </c>
      <c r="AA70" s="279">
        <v>40</v>
      </c>
    </row>
    <row r="71" spans="1:27" ht="13.5" thickBot="1">
      <c r="A71" s="50"/>
      <c r="B71" s="50"/>
      <c r="C71" s="50"/>
      <c r="D71" s="50"/>
      <c r="E71" s="50"/>
      <c r="F71" s="50"/>
      <c r="G71" s="50"/>
      <c r="H71" s="50"/>
      <c r="I71" s="50"/>
      <c r="J71" s="50"/>
      <c r="K71" s="50"/>
      <c r="L71" s="50"/>
      <c r="M71" s="50"/>
      <c r="N71" s="50"/>
      <c r="O71" s="50"/>
      <c r="P71" s="50"/>
      <c r="Q71" s="50"/>
      <c r="R71" s="50"/>
      <c r="S71" s="50"/>
      <c r="T71" s="50"/>
      <c r="U71" s="50"/>
      <c r="V71" s="50"/>
      <c r="W71" s="50"/>
      <c r="X71" s="50"/>
      <c r="Y71" s="287" t="s">
        <v>126</v>
      </c>
      <c r="Z71" s="279" t="s">
        <v>43</v>
      </c>
      <c r="AA71" s="279">
        <v>40</v>
      </c>
    </row>
    <row r="72" spans="1:27" ht="13.5" thickBot="1">
      <c r="A72" s="50"/>
      <c r="B72" s="50"/>
      <c r="C72" s="50"/>
      <c r="D72" s="50"/>
      <c r="E72" s="50"/>
      <c r="F72" s="50"/>
      <c r="G72" s="50"/>
      <c r="H72" s="50"/>
      <c r="I72" s="50"/>
      <c r="J72" s="50"/>
      <c r="K72" s="50"/>
      <c r="L72" s="50"/>
      <c r="M72" s="50"/>
      <c r="N72" s="50"/>
      <c r="O72" s="50"/>
      <c r="P72" s="50"/>
      <c r="Q72" s="50"/>
      <c r="R72" s="50"/>
      <c r="S72" s="50"/>
      <c r="T72" s="50"/>
      <c r="U72" s="50"/>
      <c r="V72" s="50"/>
      <c r="W72" s="50"/>
      <c r="X72" s="50"/>
      <c r="Y72" s="287" t="s">
        <v>127</v>
      </c>
      <c r="Z72" s="279" t="s">
        <v>43</v>
      </c>
      <c r="AA72" s="279">
        <v>45</v>
      </c>
    </row>
    <row r="73" spans="1:27" ht="13.5" thickBot="1">
      <c r="A73" s="50"/>
      <c r="B73" s="50"/>
      <c r="C73" s="50"/>
      <c r="D73" s="50"/>
      <c r="E73" s="50"/>
      <c r="F73" s="50"/>
      <c r="G73" s="50"/>
      <c r="H73" s="50"/>
      <c r="I73" s="50"/>
      <c r="J73" s="50"/>
      <c r="K73" s="50"/>
      <c r="L73" s="50"/>
      <c r="M73" s="50"/>
      <c r="N73" s="50"/>
      <c r="O73" s="50"/>
      <c r="P73" s="50"/>
      <c r="Q73" s="50"/>
      <c r="R73" s="50"/>
      <c r="S73" s="50"/>
      <c r="T73" s="50"/>
      <c r="U73" s="50"/>
      <c r="V73" s="50"/>
      <c r="W73" s="50"/>
      <c r="X73" s="50"/>
      <c r="Y73" s="287" t="s">
        <v>128</v>
      </c>
      <c r="Z73" s="279" t="s">
        <v>43</v>
      </c>
      <c r="AA73" s="281">
        <v>55</v>
      </c>
    </row>
    <row r="74" spans="1:27" ht="13.5" thickBot="1">
      <c r="A74" s="50"/>
      <c r="B74" s="50"/>
      <c r="C74" s="50"/>
      <c r="D74" s="50"/>
      <c r="E74" s="50"/>
      <c r="F74" s="50"/>
      <c r="G74" s="50"/>
      <c r="H74" s="50"/>
      <c r="I74" s="50"/>
      <c r="J74" s="50"/>
      <c r="K74" s="50"/>
      <c r="L74" s="50"/>
      <c r="M74" s="50"/>
      <c r="N74" s="50"/>
      <c r="O74" s="50"/>
      <c r="P74" s="50"/>
      <c r="Q74" s="50"/>
      <c r="R74" s="50"/>
      <c r="S74" s="50"/>
      <c r="T74" s="50"/>
      <c r="U74" s="50"/>
      <c r="V74" s="50"/>
      <c r="W74" s="50"/>
      <c r="X74" s="50"/>
      <c r="Y74" s="287" t="s">
        <v>325</v>
      </c>
      <c r="Z74" s="285" t="s">
        <v>43</v>
      </c>
      <c r="AA74" s="282">
        <v>45</v>
      </c>
    </row>
    <row r="75" spans="1:27" ht="13.5" thickBot="1">
      <c r="A75" s="50"/>
      <c r="B75" s="50"/>
      <c r="C75" s="50"/>
      <c r="D75" s="50"/>
      <c r="E75" s="50"/>
      <c r="F75" s="50"/>
      <c r="G75" s="50"/>
      <c r="H75" s="50"/>
      <c r="I75" s="50"/>
      <c r="J75" s="50"/>
      <c r="K75" s="50"/>
      <c r="L75" s="50"/>
      <c r="M75" s="50"/>
      <c r="N75" s="50"/>
      <c r="O75" s="50"/>
      <c r="P75" s="50"/>
      <c r="Q75" s="50"/>
      <c r="R75" s="50"/>
      <c r="S75" s="50"/>
      <c r="T75" s="50"/>
      <c r="U75" s="50"/>
      <c r="V75" s="50"/>
      <c r="W75" s="50"/>
      <c r="X75" s="50"/>
      <c r="Y75" s="287" t="s">
        <v>129</v>
      </c>
      <c r="Z75" s="279" t="s">
        <v>63</v>
      </c>
      <c r="AA75" s="279">
        <v>55</v>
      </c>
    </row>
    <row r="76" spans="1:27" ht="13.5" thickBot="1">
      <c r="A76" s="50"/>
      <c r="B76" s="50"/>
      <c r="C76" s="50"/>
      <c r="D76" s="50"/>
      <c r="E76" s="50"/>
      <c r="F76" s="50"/>
      <c r="G76" s="50"/>
      <c r="H76" s="50"/>
      <c r="I76" s="50"/>
      <c r="J76" s="50"/>
      <c r="K76" s="50"/>
      <c r="L76" s="50"/>
      <c r="M76" s="50"/>
      <c r="N76" s="50"/>
      <c r="O76" s="50"/>
      <c r="P76" s="50"/>
      <c r="Q76" s="50"/>
      <c r="R76" s="50"/>
      <c r="S76" s="50"/>
      <c r="T76" s="50"/>
      <c r="U76" s="50"/>
      <c r="V76" s="50"/>
      <c r="W76" s="50"/>
      <c r="X76" s="50"/>
      <c r="Y76" s="287" t="s">
        <v>130</v>
      </c>
      <c r="Z76" s="279" t="str">
        <f>$Z$86</f>
        <v>USD</v>
      </c>
      <c r="AA76" s="279">
        <f>$AA$86</f>
        <v>55</v>
      </c>
    </row>
    <row r="77" spans="1:27" ht="13.5" thickBot="1">
      <c r="A77" s="50"/>
      <c r="B77" s="50"/>
      <c r="C77" s="50"/>
      <c r="D77" s="50"/>
      <c r="E77" s="50"/>
      <c r="F77" s="50"/>
      <c r="G77" s="50"/>
      <c r="H77" s="50"/>
      <c r="I77" s="50"/>
      <c r="J77" s="50"/>
      <c r="K77" s="50"/>
      <c r="L77" s="50"/>
      <c r="M77" s="50"/>
      <c r="N77" s="50"/>
      <c r="O77" s="50"/>
      <c r="P77" s="50"/>
      <c r="Q77" s="50"/>
      <c r="R77" s="50"/>
      <c r="S77" s="50"/>
      <c r="T77" s="50"/>
      <c r="U77" s="50"/>
      <c r="V77" s="50"/>
      <c r="W77" s="50"/>
      <c r="X77" s="50"/>
      <c r="Y77" s="287" t="s">
        <v>131</v>
      </c>
      <c r="Z77" s="279" t="s">
        <v>63</v>
      </c>
      <c r="AA77" s="279">
        <v>65</v>
      </c>
    </row>
    <row r="78" spans="1:27" ht="15" customHeight="1" thickBot="1">
      <c r="A78" s="50"/>
      <c r="B78" s="50"/>
      <c r="C78" s="50"/>
      <c r="D78" s="50"/>
      <c r="E78" s="50"/>
      <c r="F78" s="50"/>
      <c r="G78" s="50"/>
      <c r="H78" s="50"/>
      <c r="I78" s="50"/>
      <c r="J78" s="50"/>
      <c r="K78" s="50"/>
      <c r="L78" s="50"/>
      <c r="M78" s="50"/>
      <c r="N78" s="50"/>
      <c r="O78" s="50"/>
      <c r="P78" s="50"/>
      <c r="Q78" s="50"/>
      <c r="R78" s="50"/>
      <c r="S78" s="50"/>
      <c r="T78" s="50"/>
      <c r="U78" s="50"/>
      <c r="V78" s="50"/>
      <c r="W78" s="50"/>
      <c r="X78" s="50"/>
      <c r="Y78" s="287" t="s">
        <v>132</v>
      </c>
      <c r="Z78" s="279" t="s">
        <v>43</v>
      </c>
      <c r="AA78" s="279">
        <v>35</v>
      </c>
    </row>
    <row r="79" spans="1:27" ht="13.5" thickBot="1">
      <c r="A79" s="50"/>
      <c r="B79" s="50"/>
      <c r="C79" s="50"/>
      <c r="D79" s="50"/>
      <c r="E79" s="50"/>
      <c r="F79" s="50"/>
      <c r="G79" s="50"/>
      <c r="H79" s="50"/>
      <c r="I79" s="50"/>
      <c r="J79" s="50"/>
      <c r="K79" s="50"/>
      <c r="L79" s="50"/>
      <c r="M79" s="50"/>
      <c r="N79" s="50"/>
      <c r="O79" s="50"/>
      <c r="P79" s="50"/>
      <c r="Q79" s="50"/>
      <c r="R79" s="50"/>
      <c r="S79" s="50"/>
      <c r="T79" s="50"/>
      <c r="U79" s="50"/>
      <c r="V79" s="50"/>
      <c r="W79" s="50"/>
      <c r="X79" s="50"/>
      <c r="Y79" s="287" t="s">
        <v>133</v>
      </c>
      <c r="Z79" s="279" t="s">
        <v>43</v>
      </c>
      <c r="AA79" s="279">
        <v>40</v>
      </c>
    </row>
    <row r="80" spans="1:27" ht="13.5" thickBot="1">
      <c r="A80" s="50"/>
      <c r="B80" s="50"/>
      <c r="C80" s="50"/>
      <c r="D80" s="50"/>
      <c r="E80" s="50"/>
      <c r="F80" s="50"/>
      <c r="G80" s="50"/>
      <c r="H80" s="50"/>
      <c r="I80" s="50"/>
      <c r="J80" s="50"/>
      <c r="K80" s="50"/>
      <c r="L80" s="50"/>
      <c r="M80" s="50"/>
      <c r="N80" s="50"/>
      <c r="O80" s="50"/>
      <c r="P80" s="50"/>
      <c r="Q80" s="50"/>
      <c r="R80" s="50"/>
      <c r="S80" s="50"/>
      <c r="T80" s="50"/>
      <c r="U80" s="50"/>
      <c r="V80" s="50"/>
      <c r="W80" s="50"/>
      <c r="X80" s="50"/>
      <c r="Y80" s="287" t="s">
        <v>134</v>
      </c>
      <c r="Z80" s="279" t="s">
        <v>43</v>
      </c>
      <c r="AA80" s="279">
        <v>40</v>
      </c>
    </row>
    <row r="81" spans="1:27" ht="13.5" customHeight="1" thickBot="1">
      <c r="A81" s="50"/>
      <c r="B81" s="50"/>
      <c r="C81" s="50"/>
      <c r="D81" s="50"/>
      <c r="E81" s="50"/>
      <c r="F81" s="50"/>
      <c r="G81" s="50"/>
      <c r="H81" s="50"/>
      <c r="I81" s="50"/>
      <c r="J81" s="50"/>
      <c r="K81" s="50"/>
      <c r="L81" s="50"/>
      <c r="M81" s="50"/>
      <c r="N81" s="50"/>
      <c r="O81" s="50"/>
      <c r="P81" s="50"/>
      <c r="Q81" s="50"/>
      <c r="R81" s="50"/>
      <c r="S81" s="50"/>
      <c r="T81" s="50"/>
      <c r="U81" s="50"/>
      <c r="V81" s="50"/>
      <c r="W81" s="50"/>
      <c r="X81" s="50"/>
      <c r="Y81" s="287" t="s">
        <v>135</v>
      </c>
      <c r="Z81" s="279" t="str">
        <f>$Z$86</f>
        <v>USD</v>
      </c>
      <c r="AA81" s="279">
        <f>$AA$86</f>
        <v>55</v>
      </c>
    </row>
    <row r="82" spans="1:27" ht="13.5" thickBot="1">
      <c r="A82" s="50"/>
      <c r="B82" s="50"/>
      <c r="C82" s="50"/>
      <c r="D82" s="50"/>
      <c r="E82" s="50"/>
      <c r="F82" s="50"/>
      <c r="G82" s="50"/>
      <c r="H82" s="50"/>
      <c r="I82" s="50"/>
      <c r="J82" s="50"/>
      <c r="K82" s="50"/>
      <c r="L82" s="50"/>
      <c r="M82" s="50"/>
      <c r="N82" s="50"/>
      <c r="O82" s="50"/>
      <c r="P82" s="50"/>
      <c r="Q82" s="50"/>
      <c r="R82" s="50"/>
      <c r="S82" s="50"/>
      <c r="T82" s="50"/>
      <c r="U82" s="50"/>
      <c r="V82" s="50"/>
      <c r="W82" s="50"/>
      <c r="X82" s="50"/>
      <c r="Y82" s="287" t="s">
        <v>136</v>
      </c>
      <c r="Z82" s="279" t="s">
        <v>63</v>
      </c>
      <c r="AA82" s="279">
        <v>40</v>
      </c>
    </row>
    <row r="83" spans="1:27" ht="13.5" thickBot="1">
      <c r="A83" s="50"/>
      <c r="B83" s="50"/>
      <c r="C83" s="50"/>
      <c r="D83" s="50"/>
      <c r="E83" s="50"/>
      <c r="F83" s="50"/>
      <c r="G83" s="50"/>
      <c r="H83" s="50"/>
      <c r="I83" s="50"/>
      <c r="J83" s="50"/>
      <c r="K83" s="50"/>
      <c r="L83" s="50"/>
      <c r="M83" s="50"/>
      <c r="N83" s="50"/>
      <c r="O83" s="50"/>
      <c r="P83" s="50"/>
      <c r="Q83" s="50"/>
      <c r="R83" s="50"/>
      <c r="S83" s="50"/>
      <c r="T83" s="50"/>
      <c r="U83" s="50"/>
      <c r="V83" s="50"/>
      <c r="W83" s="50"/>
      <c r="X83" s="50"/>
      <c r="Y83" s="287" t="s">
        <v>137</v>
      </c>
      <c r="Z83" s="279" t="s">
        <v>43</v>
      </c>
      <c r="AA83" s="279">
        <v>40</v>
      </c>
    </row>
    <row r="84" spans="1:27" ht="13.5" thickBot="1">
      <c r="A84" s="50"/>
      <c r="B84" s="50"/>
      <c r="C84" s="50"/>
      <c r="D84" s="50"/>
      <c r="E84" s="50"/>
      <c r="F84" s="50"/>
      <c r="G84" s="50"/>
      <c r="H84" s="50"/>
      <c r="I84" s="50"/>
      <c r="J84" s="50"/>
      <c r="K84" s="50"/>
      <c r="L84" s="50"/>
      <c r="M84" s="50"/>
      <c r="N84" s="50"/>
      <c r="O84" s="50"/>
      <c r="P84" s="50"/>
      <c r="Q84" s="50"/>
      <c r="R84" s="50"/>
      <c r="S84" s="50"/>
      <c r="T84" s="50"/>
      <c r="U84" s="50"/>
      <c r="V84" s="50"/>
      <c r="W84" s="50"/>
      <c r="X84" s="50"/>
      <c r="Y84" s="287" t="s">
        <v>138</v>
      </c>
      <c r="Z84" s="279" t="s">
        <v>63</v>
      </c>
      <c r="AA84" s="279">
        <v>50</v>
      </c>
    </row>
    <row r="85" spans="1:27" ht="13.5" thickBot="1">
      <c r="A85" s="50"/>
      <c r="B85" s="50"/>
      <c r="C85" s="50"/>
      <c r="D85" s="50"/>
      <c r="E85" s="50"/>
      <c r="F85" s="50"/>
      <c r="G85" s="50"/>
      <c r="H85" s="50"/>
      <c r="I85" s="50"/>
      <c r="J85" s="50"/>
      <c r="K85" s="50"/>
      <c r="L85" s="50"/>
      <c r="M85" s="50"/>
      <c r="N85" s="50"/>
      <c r="O85" s="50"/>
      <c r="P85" s="50"/>
      <c r="Q85" s="50"/>
      <c r="R85" s="50"/>
      <c r="S85" s="50"/>
      <c r="T85" s="50"/>
      <c r="U85" s="50"/>
      <c r="V85" s="50"/>
      <c r="W85" s="50"/>
      <c r="X85" s="50"/>
      <c r="Y85" s="287" t="s">
        <v>139</v>
      </c>
      <c r="Z85" s="279" t="s">
        <v>43</v>
      </c>
      <c r="AA85" s="281">
        <v>40</v>
      </c>
    </row>
    <row r="86" spans="1:27" ht="13.5" thickBot="1">
      <c r="A86" s="50"/>
      <c r="B86" s="50"/>
      <c r="C86" s="50"/>
      <c r="D86" s="50"/>
      <c r="E86" s="50"/>
      <c r="F86" s="50"/>
      <c r="G86" s="50"/>
      <c r="H86" s="50"/>
      <c r="I86" s="50"/>
      <c r="J86" s="50"/>
      <c r="K86" s="50"/>
      <c r="L86" s="50"/>
      <c r="M86" s="50"/>
      <c r="N86" s="50"/>
      <c r="O86" s="50"/>
      <c r="P86" s="50"/>
      <c r="Q86" s="50"/>
      <c r="R86" s="50"/>
      <c r="S86" s="50"/>
      <c r="T86" s="50"/>
      <c r="U86" s="50"/>
      <c r="V86" s="50"/>
      <c r="W86" s="50"/>
      <c r="X86" s="50"/>
      <c r="Y86" s="287" t="s">
        <v>326</v>
      </c>
      <c r="Z86" s="285" t="s">
        <v>63</v>
      </c>
      <c r="AA86" s="282">
        <v>55</v>
      </c>
    </row>
    <row r="87" spans="1:27" ht="13.5" thickBot="1">
      <c r="A87" s="50"/>
      <c r="B87" s="50"/>
      <c r="C87" s="50"/>
      <c r="D87" s="50"/>
      <c r="E87" s="50"/>
      <c r="F87" s="50"/>
      <c r="G87" s="50"/>
      <c r="H87" s="50"/>
      <c r="I87" s="50"/>
      <c r="J87" s="50"/>
      <c r="K87" s="50"/>
      <c r="L87" s="50"/>
      <c r="M87" s="50"/>
      <c r="N87" s="50"/>
      <c r="O87" s="50"/>
      <c r="P87" s="50"/>
      <c r="Q87" s="50"/>
      <c r="R87" s="50"/>
      <c r="S87" s="50"/>
      <c r="T87" s="50"/>
      <c r="U87" s="50"/>
      <c r="V87" s="50"/>
      <c r="W87" s="50"/>
      <c r="X87" s="50"/>
      <c r="Y87" s="287" t="s">
        <v>140</v>
      </c>
      <c r="Z87" s="279" t="s">
        <v>63</v>
      </c>
      <c r="AA87" s="296">
        <v>50</v>
      </c>
    </row>
    <row r="88" spans="1:27" ht="13.5" thickBot="1">
      <c r="A88" s="50"/>
      <c r="B88" s="50"/>
      <c r="C88" s="50"/>
      <c r="D88" s="50"/>
      <c r="E88" s="50"/>
      <c r="F88" s="50"/>
      <c r="G88" s="50"/>
      <c r="H88" s="50"/>
      <c r="I88" s="50"/>
      <c r="J88" s="50"/>
      <c r="K88" s="50"/>
      <c r="L88" s="50"/>
      <c r="M88" s="50"/>
      <c r="N88" s="50"/>
      <c r="O88" s="50"/>
      <c r="P88" s="50"/>
      <c r="Q88" s="50"/>
      <c r="R88" s="50"/>
      <c r="S88" s="50"/>
      <c r="T88" s="50"/>
      <c r="U88" s="50"/>
      <c r="V88" s="50"/>
      <c r="W88" s="50"/>
      <c r="X88" s="50"/>
      <c r="Y88" s="287" t="s">
        <v>141</v>
      </c>
      <c r="Z88" s="279" t="s">
        <v>43</v>
      </c>
      <c r="AA88" s="279">
        <v>45</v>
      </c>
    </row>
    <row r="89" spans="1:27" ht="13.5" thickBot="1">
      <c r="A89" s="50"/>
      <c r="B89" s="50"/>
      <c r="C89" s="50"/>
      <c r="D89" s="50"/>
      <c r="E89" s="50"/>
      <c r="F89" s="50"/>
      <c r="G89" s="50"/>
      <c r="H89" s="50"/>
      <c r="I89" s="50"/>
      <c r="J89" s="50"/>
      <c r="K89" s="50"/>
      <c r="L89" s="50"/>
      <c r="M89" s="50"/>
      <c r="N89" s="50"/>
      <c r="O89" s="50"/>
      <c r="P89" s="50"/>
      <c r="Q89" s="50"/>
      <c r="R89" s="50"/>
      <c r="S89" s="50"/>
      <c r="T89" s="50"/>
      <c r="U89" s="50"/>
      <c r="V89" s="50"/>
      <c r="W89" s="50"/>
      <c r="X89" s="50"/>
      <c r="Y89" s="287" t="s">
        <v>142</v>
      </c>
      <c r="Z89" s="279" t="s">
        <v>43</v>
      </c>
      <c r="AA89" s="279">
        <v>45</v>
      </c>
    </row>
    <row r="90" spans="1:27" ht="13.5" thickBot="1">
      <c r="A90" s="50"/>
      <c r="B90" s="50"/>
      <c r="C90" s="50"/>
      <c r="D90" s="50"/>
      <c r="E90" s="50"/>
      <c r="F90" s="50"/>
      <c r="G90" s="50"/>
      <c r="H90" s="50"/>
      <c r="I90" s="50"/>
      <c r="J90" s="50"/>
      <c r="K90" s="50"/>
      <c r="L90" s="50"/>
      <c r="M90" s="50"/>
      <c r="N90" s="50"/>
      <c r="O90" s="50"/>
      <c r="P90" s="50"/>
      <c r="Q90" s="50"/>
      <c r="R90" s="50"/>
      <c r="S90" s="50"/>
      <c r="T90" s="50"/>
      <c r="U90" s="50"/>
      <c r="V90" s="50"/>
      <c r="W90" s="50"/>
      <c r="X90" s="50"/>
      <c r="Y90" s="287" t="s">
        <v>143</v>
      </c>
      <c r="Z90" s="279" t="s">
        <v>63</v>
      </c>
      <c r="AA90" s="279">
        <v>45</v>
      </c>
    </row>
    <row r="91" spans="1:27" ht="13.5" thickBot="1">
      <c r="A91" s="50"/>
      <c r="B91" s="50"/>
      <c r="C91" s="50"/>
      <c r="D91" s="50"/>
      <c r="E91" s="50"/>
      <c r="F91" s="50"/>
      <c r="G91" s="50"/>
      <c r="H91" s="50"/>
      <c r="I91" s="50"/>
      <c r="J91" s="50"/>
      <c r="K91" s="50"/>
      <c r="L91" s="50"/>
      <c r="M91" s="50"/>
      <c r="N91" s="50"/>
      <c r="O91" s="50"/>
      <c r="P91" s="50"/>
      <c r="Q91" s="50"/>
      <c r="R91" s="50"/>
      <c r="S91" s="50"/>
      <c r="T91" s="50"/>
      <c r="U91" s="50"/>
      <c r="V91" s="50"/>
      <c r="W91" s="50"/>
      <c r="X91" s="50"/>
      <c r="Y91" s="287" t="s">
        <v>144</v>
      </c>
      <c r="Z91" s="279" t="s">
        <v>63</v>
      </c>
      <c r="AA91" s="279">
        <v>55</v>
      </c>
    </row>
    <row r="92" spans="1:27" ht="13.5" thickBot="1">
      <c r="A92" s="50"/>
      <c r="B92" s="50"/>
      <c r="C92" s="50"/>
      <c r="D92" s="50"/>
      <c r="E92" s="50"/>
      <c r="F92" s="50"/>
      <c r="G92" s="50"/>
      <c r="H92" s="50"/>
      <c r="I92" s="50"/>
      <c r="J92" s="50"/>
      <c r="K92" s="50"/>
      <c r="L92" s="50"/>
      <c r="M92" s="50"/>
      <c r="N92" s="50"/>
      <c r="O92" s="50"/>
      <c r="P92" s="50"/>
      <c r="Q92" s="50"/>
      <c r="R92" s="50"/>
      <c r="S92" s="50"/>
      <c r="T92" s="50"/>
      <c r="U92" s="50"/>
      <c r="V92" s="50"/>
      <c r="W92" s="50"/>
      <c r="X92" s="50"/>
      <c r="Y92" s="287" t="s">
        <v>145</v>
      </c>
      <c r="Z92" s="279" t="s">
        <v>63</v>
      </c>
      <c r="AA92" s="279">
        <v>60</v>
      </c>
    </row>
    <row r="93" spans="1:27" ht="13.5" thickBot="1">
      <c r="A93" s="50"/>
      <c r="B93" s="50"/>
      <c r="C93" s="50"/>
      <c r="D93" s="50"/>
      <c r="E93" s="50"/>
      <c r="F93" s="50"/>
      <c r="G93" s="50"/>
      <c r="H93" s="50"/>
      <c r="I93" s="50"/>
      <c r="J93" s="50"/>
      <c r="K93" s="50"/>
      <c r="L93" s="50"/>
      <c r="M93" s="50"/>
      <c r="N93" s="50"/>
      <c r="O93" s="50"/>
      <c r="P93" s="50"/>
      <c r="Q93" s="50"/>
      <c r="R93" s="50"/>
      <c r="S93" s="50"/>
      <c r="T93" s="50"/>
      <c r="U93" s="50"/>
      <c r="V93" s="50"/>
      <c r="W93" s="50"/>
      <c r="X93" s="50"/>
      <c r="Y93" s="287" t="s">
        <v>401</v>
      </c>
      <c r="Z93" s="279" t="s">
        <v>63</v>
      </c>
      <c r="AA93" s="279">
        <v>60</v>
      </c>
    </row>
    <row r="94" spans="1:27" ht="13.5" thickBot="1">
      <c r="A94" s="50"/>
      <c r="B94" s="50"/>
      <c r="C94" s="50"/>
      <c r="D94" s="50"/>
      <c r="E94" s="50"/>
      <c r="F94" s="50"/>
      <c r="G94" s="50"/>
      <c r="H94" s="50"/>
      <c r="I94" s="50"/>
      <c r="J94" s="50"/>
      <c r="K94" s="50"/>
      <c r="L94" s="50"/>
      <c r="M94" s="50"/>
      <c r="N94" s="50"/>
      <c r="O94" s="50"/>
      <c r="P94" s="50"/>
      <c r="Q94" s="50"/>
      <c r="R94" s="50"/>
      <c r="S94" s="50"/>
      <c r="T94" s="50"/>
      <c r="U94" s="50"/>
      <c r="V94" s="50"/>
      <c r="W94" s="50"/>
      <c r="X94" s="50"/>
      <c r="Y94" s="287" t="s">
        <v>247</v>
      </c>
      <c r="Z94" s="279" t="s">
        <v>43</v>
      </c>
      <c r="AA94" s="279">
        <v>40</v>
      </c>
    </row>
    <row r="95" spans="1:27" ht="13.5" thickBot="1">
      <c r="A95" s="50"/>
      <c r="B95" s="50"/>
      <c r="C95" s="50"/>
      <c r="D95" s="50"/>
      <c r="E95" s="50"/>
      <c r="F95" s="50"/>
      <c r="G95" s="50"/>
      <c r="H95" s="50"/>
      <c r="I95" s="50"/>
      <c r="J95" s="50"/>
      <c r="K95" s="50"/>
      <c r="L95" s="50"/>
      <c r="M95" s="50"/>
      <c r="N95" s="50"/>
      <c r="O95" s="50"/>
      <c r="P95" s="50"/>
      <c r="Q95" s="50"/>
      <c r="R95" s="50"/>
      <c r="S95" s="50"/>
      <c r="T95" s="50"/>
      <c r="U95" s="50"/>
      <c r="V95" s="50"/>
      <c r="W95" s="50"/>
      <c r="X95" s="50"/>
      <c r="Y95" s="287" t="s">
        <v>146</v>
      </c>
      <c r="Z95" s="279" t="s">
        <v>43</v>
      </c>
      <c r="AA95" s="279">
        <v>45</v>
      </c>
    </row>
    <row r="96" spans="1:27" ht="13.5" thickBot="1">
      <c r="A96" s="50"/>
      <c r="B96" s="50"/>
      <c r="C96" s="50"/>
      <c r="D96" s="50"/>
      <c r="E96" s="50"/>
      <c r="F96" s="50"/>
      <c r="G96" s="50"/>
      <c r="H96" s="50"/>
      <c r="I96" s="50"/>
      <c r="J96" s="50"/>
      <c r="K96" s="50"/>
      <c r="L96" s="50"/>
      <c r="M96" s="50"/>
      <c r="N96" s="50"/>
      <c r="O96" s="50"/>
      <c r="P96" s="50"/>
      <c r="Q96" s="50"/>
      <c r="R96" s="50"/>
      <c r="S96" s="50"/>
      <c r="T96" s="50"/>
      <c r="U96" s="50"/>
      <c r="V96" s="50"/>
      <c r="W96" s="50"/>
      <c r="X96" s="50"/>
      <c r="Y96" s="287" t="s">
        <v>147</v>
      </c>
      <c r="Z96" s="279" t="s">
        <v>63</v>
      </c>
      <c r="AA96" s="279">
        <v>50</v>
      </c>
    </row>
    <row r="97" spans="1:27" ht="13.5" thickBot="1">
      <c r="A97" s="50"/>
      <c r="B97" s="50"/>
      <c r="C97" s="50"/>
      <c r="D97" s="50"/>
      <c r="E97" s="50"/>
      <c r="F97" s="50"/>
      <c r="G97" s="50"/>
      <c r="H97" s="50"/>
      <c r="I97" s="50"/>
      <c r="J97" s="50"/>
      <c r="K97" s="50"/>
      <c r="L97" s="50"/>
      <c r="M97" s="50"/>
      <c r="N97" s="50"/>
      <c r="O97" s="50"/>
      <c r="P97" s="50"/>
      <c r="Q97" s="50"/>
      <c r="R97" s="50"/>
      <c r="S97" s="50"/>
      <c r="T97" s="50"/>
      <c r="U97" s="50"/>
      <c r="V97" s="50"/>
      <c r="W97" s="50"/>
      <c r="X97" s="50"/>
      <c r="Y97" s="287" t="s">
        <v>148</v>
      </c>
      <c r="Z97" s="279" t="s">
        <v>43</v>
      </c>
      <c r="AA97" s="279">
        <v>45</v>
      </c>
    </row>
    <row r="98" spans="1:27" ht="13.5" thickBot="1">
      <c r="A98" s="50"/>
      <c r="B98" s="50"/>
      <c r="C98" s="50"/>
      <c r="D98" s="50"/>
      <c r="E98" s="50"/>
      <c r="F98" s="50"/>
      <c r="G98" s="50"/>
      <c r="H98" s="50"/>
      <c r="I98" s="50"/>
      <c r="J98" s="50"/>
      <c r="K98" s="50"/>
      <c r="L98" s="50"/>
      <c r="M98" s="50"/>
      <c r="N98" s="50"/>
      <c r="O98" s="50"/>
      <c r="P98" s="50"/>
      <c r="Q98" s="50"/>
      <c r="R98" s="50"/>
      <c r="S98" s="50"/>
      <c r="T98" s="50"/>
      <c r="U98" s="50"/>
      <c r="V98" s="50"/>
      <c r="W98" s="50"/>
      <c r="X98" s="50"/>
      <c r="Y98" s="287" t="s">
        <v>149</v>
      </c>
      <c r="Z98" s="279" t="s">
        <v>43</v>
      </c>
      <c r="AA98" s="279">
        <v>40</v>
      </c>
    </row>
    <row r="99" spans="1:27" ht="13.5" thickBot="1">
      <c r="A99" s="50"/>
      <c r="B99" s="50"/>
      <c r="C99" s="50"/>
      <c r="D99" s="50"/>
      <c r="E99" s="50"/>
      <c r="F99" s="50"/>
      <c r="G99" s="50"/>
      <c r="H99" s="50"/>
      <c r="I99" s="50"/>
      <c r="J99" s="50"/>
      <c r="K99" s="50"/>
      <c r="L99" s="50"/>
      <c r="M99" s="50"/>
      <c r="N99" s="50"/>
      <c r="O99" s="50"/>
      <c r="P99" s="50"/>
      <c r="Q99" s="50"/>
      <c r="R99" s="50"/>
      <c r="S99" s="50"/>
      <c r="T99" s="50"/>
      <c r="U99" s="50"/>
      <c r="V99" s="50"/>
      <c r="W99" s="50"/>
      <c r="X99" s="50"/>
      <c r="Y99" s="287" t="s">
        <v>150</v>
      </c>
      <c r="Z99" s="279" t="s">
        <v>43</v>
      </c>
      <c r="AA99" s="279">
        <v>40</v>
      </c>
    </row>
    <row r="100" spans="1:27" ht="13.5" thickBo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287" t="s">
        <v>151</v>
      </c>
      <c r="Z100" s="279" t="s">
        <v>43</v>
      </c>
      <c r="AA100" s="279">
        <v>40</v>
      </c>
    </row>
    <row r="101" spans="1:27" ht="13.5" thickBo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287" t="s">
        <v>152</v>
      </c>
      <c r="Z101" s="279" t="s">
        <v>63</v>
      </c>
      <c r="AA101" s="279">
        <v>45</v>
      </c>
    </row>
    <row r="102" spans="1:27" ht="13.5" thickBo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287" t="s">
        <v>153</v>
      </c>
      <c r="Z102" s="279" t="s">
        <v>63</v>
      </c>
      <c r="AA102" s="279">
        <v>50</v>
      </c>
    </row>
    <row r="103" spans="1:27" ht="13.5" thickBo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287" t="s">
        <v>154</v>
      </c>
      <c r="Z103" s="279" t="s">
        <v>63</v>
      </c>
      <c r="AA103" s="279">
        <v>55</v>
      </c>
    </row>
    <row r="104" spans="1:27" ht="13.5" thickBo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287" t="s">
        <v>155</v>
      </c>
      <c r="Z104" s="279" t="s">
        <v>43</v>
      </c>
      <c r="AA104" s="279">
        <v>45</v>
      </c>
    </row>
    <row r="105" spans="1:27" ht="13.5" thickBo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287" t="s">
        <v>156</v>
      </c>
      <c r="Z105" s="279" t="s">
        <v>43</v>
      </c>
      <c r="AA105" s="279">
        <v>45</v>
      </c>
    </row>
    <row r="106" spans="1:27" ht="13.5" thickBo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287" t="s">
        <v>157</v>
      </c>
      <c r="Z106" s="279" t="s">
        <v>225</v>
      </c>
      <c r="AA106" s="279">
        <v>60</v>
      </c>
    </row>
    <row r="107" spans="1:27" ht="13.5" thickBo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287" t="s">
        <v>158</v>
      </c>
      <c r="Z107" s="279" t="s">
        <v>43</v>
      </c>
      <c r="AA107" s="279">
        <v>40</v>
      </c>
    </row>
    <row r="108" spans="1:27" ht="13.5" thickBo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287" t="s">
        <v>159</v>
      </c>
      <c r="Z108" s="279" t="s">
        <v>43</v>
      </c>
      <c r="AA108" s="279">
        <v>40</v>
      </c>
    </row>
    <row r="109" spans="1:27" ht="13.5" thickBo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287" t="s">
        <v>160</v>
      </c>
      <c r="Z109" s="279" t="s">
        <v>43</v>
      </c>
      <c r="AA109" s="279">
        <v>45</v>
      </c>
    </row>
    <row r="110" spans="1:27" ht="13.5" thickBo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287" t="s">
        <v>161</v>
      </c>
      <c r="Z110" s="279" t="s">
        <v>43</v>
      </c>
      <c r="AA110" s="279">
        <v>40</v>
      </c>
    </row>
    <row r="111" spans="1:27" ht="13.5" thickBo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287" t="s">
        <v>162</v>
      </c>
      <c r="Z111" s="279" t="s">
        <v>43</v>
      </c>
      <c r="AA111" s="279">
        <v>40</v>
      </c>
    </row>
    <row r="112" spans="1:27" ht="13.5" thickBo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287" t="s">
        <v>163</v>
      </c>
      <c r="Z112" s="279" t="s">
        <v>43</v>
      </c>
      <c r="AA112" s="279">
        <v>35</v>
      </c>
    </row>
    <row r="113" spans="1:27" ht="13.5" thickBo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287" t="s">
        <v>164</v>
      </c>
      <c r="Z113" s="279" t="s">
        <v>43</v>
      </c>
      <c r="AA113" s="279">
        <v>35</v>
      </c>
    </row>
    <row r="114" spans="1:27" ht="13.5" thickBo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287" t="s">
        <v>165</v>
      </c>
      <c r="Z114" s="279" t="s">
        <v>63</v>
      </c>
      <c r="AA114" s="279">
        <v>40</v>
      </c>
    </row>
    <row r="115" spans="1:27" ht="13.5" thickBo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287" t="s">
        <v>166</v>
      </c>
      <c r="Z115" s="279" t="s">
        <v>63</v>
      </c>
      <c r="AA115" s="279">
        <v>45</v>
      </c>
    </row>
    <row r="116" spans="1:27" ht="13.5" thickBo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287" t="s">
        <v>167</v>
      </c>
      <c r="Z116" s="279" t="s">
        <v>63</v>
      </c>
      <c r="AA116" s="279">
        <v>55</v>
      </c>
    </row>
    <row r="117" spans="1:27" ht="13.5" thickBo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287" t="s">
        <v>168</v>
      </c>
      <c r="Z117" s="279" t="s">
        <v>43</v>
      </c>
      <c r="AA117" s="279">
        <v>45</v>
      </c>
    </row>
    <row r="118" spans="1:27" ht="13.5" thickBo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287" t="s">
        <v>169</v>
      </c>
      <c r="Z118" s="279" t="s">
        <v>43</v>
      </c>
      <c r="AA118" s="279">
        <v>45</v>
      </c>
    </row>
    <row r="119" spans="1:27" ht="13.5" thickBo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287" t="s">
        <v>170</v>
      </c>
      <c r="Z119" s="279" t="s">
        <v>43</v>
      </c>
      <c r="AA119" s="279">
        <v>35</v>
      </c>
    </row>
    <row r="120" spans="1:27" ht="13.5" thickBo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287" t="s">
        <v>171</v>
      </c>
      <c r="Z120" s="279" t="str">
        <f>$Z$86</f>
        <v>USD</v>
      </c>
      <c r="AA120" s="279">
        <f>$AA$86</f>
        <v>55</v>
      </c>
    </row>
    <row r="121" spans="1:27" ht="13.5" thickBo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287" t="s">
        <v>173</v>
      </c>
      <c r="Z121" s="279" t="s">
        <v>43</v>
      </c>
      <c r="AA121" s="279">
        <v>35</v>
      </c>
    </row>
    <row r="122" spans="1:27" ht="13.5" thickBo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287" t="s">
        <v>172</v>
      </c>
      <c r="Z122" s="279" t="s">
        <v>63</v>
      </c>
      <c r="AA122" s="279">
        <v>50</v>
      </c>
    </row>
    <row r="123" spans="1:27" ht="13.5" thickBo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287" t="s">
        <v>174</v>
      </c>
      <c r="Z123" s="279" t="s">
        <v>63</v>
      </c>
      <c r="AA123" s="279">
        <v>50</v>
      </c>
    </row>
    <row r="124" spans="1:27" ht="13.5" thickBo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287" t="s">
        <v>175</v>
      </c>
      <c r="Z124" s="279" t="s">
        <v>43</v>
      </c>
      <c r="AA124" s="279">
        <v>40</v>
      </c>
    </row>
    <row r="125" spans="1:27" ht="13.5" thickBo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287" t="s">
        <v>176</v>
      </c>
      <c r="Z125" s="279" t="s">
        <v>43</v>
      </c>
      <c r="AA125" s="279">
        <v>45</v>
      </c>
    </row>
    <row r="126" spans="1:27" ht="13.5" thickBo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287" t="s">
        <v>177</v>
      </c>
      <c r="Z126" s="279" t="s">
        <v>43</v>
      </c>
      <c r="AA126" s="279">
        <v>40</v>
      </c>
    </row>
    <row r="127" spans="1:27" ht="13.5" thickBo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287" t="s">
        <v>327</v>
      </c>
      <c r="Z127" s="279" t="str">
        <f>$Z$86</f>
        <v>USD</v>
      </c>
      <c r="AA127" s="279">
        <f>$AA$86</f>
        <v>55</v>
      </c>
    </row>
    <row r="128" spans="1:27" ht="13.5" thickBo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287" t="s">
        <v>178</v>
      </c>
      <c r="Z128" s="279" t="s">
        <v>63</v>
      </c>
      <c r="AA128" s="279">
        <v>45</v>
      </c>
    </row>
    <row r="129" spans="1:27" ht="13.5" thickBo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287" t="s">
        <v>328</v>
      </c>
      <c r="Z129" s="279" t="s">
        <v>63</v>
      </c>
      <c r="AA129" s="279">
        <v>45</v>
      </c>
    </row>
    <row r="130" spans="1:27" ht="13.5" thickBo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287" t="s">
        <v>179</v>
      </c>
      <c r="Z130" s="279" t="s">
        <v>63</v>
      </c>
      <c r="AA130" s="279">
        <v>50</v>
      </c>
    </row>
    <row r="131" spans="1:27" ht="13.5" thickBo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287" t="s">
        <v>24</v>
      </c>
      <c r="Z131" s="279" t="s">
        <v>43</v>
      </c>
      <c r="AA131" s="279">
        <v>45</v>
      </c>
    </row>
    <row r="132" spans="1:27" ht="13.5" thickBo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287" t="s">
        <v>180</v>
      </c>
      <c r="Z132" s="279" t="s">
        <v>63</v>
      </c>
      <c r="AA132" s="279">
        <v>50</v>
      </c>
    </row>
    <row r="133" spans="1:27" ht="13.5" thickBo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287" t="s">
        <v>182</v>
      </c>
      <c r="Z133" s="279" t="s">
        <v>43</v>
      </c>
      <c r="AA133" s="279">
        <v>40</v>
      </c>
    </row>
    <row r="134" spans="1:27" ht="13.5" thickBo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287" t="s">
        <v>183</v>
      </c>
      <c r="Z134" s="279" t="s">
        <v>43</v>
      </c>
      <c r="AA134" s="279">
        <v>45</v>
      </c>
    </row>
    <row r="135" spans="1:27" ht="13.5" thickBo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287" t="s">
        <v>181</v>
      </c>
      <c r="Z135" s="279" t="s">
        <v>63</v>
      </c>
      <c r="AA135" s="279">
        <v>45</v>
      </c>
    </row>
    <row r="136" spans="1:27" ht="13.5" thickBo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287" t="s">
        <v>184</v>
      </c>
      <c r="Z136" s="279" t="s">
        <v>43</v>
      </c>
      <c r="AA136" s="279">
        <v>55</v>
      </c>
    </row>
    <row r="137" spans="1:27" ht="13.5" thickBo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287" t="s">
        <v>185</v>
      </c>
      <c r="Z137" s="279" t="s">
        <v>63</v>
      </c>
      <c r="AA137" s="281">
        <v>50</v>
      </c>
    </row>
    <row r="138" spans="1:27" ht="13.5" thickBo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287" t="s">
        <v>329</v>
      </c>
      <c r="Z138" s="283" t="s">
        <v>63</v>
      </c>
      <c r="AA138" s="282">
        <v>50</v>
      </c>
    </row>
    <row r="139" spans="1:27" ht="13.5" thickBo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287" t="s">
        <v>186</v>
      </c>
      <c r="Z139" s="279" t="s">
        <v>43</v>
      </c>
      <c r="AA139" s="279">
        <v>40</v>
      </c>
    </row>
    <row r="140" spans="1:27" ht="13.5" thickBo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287" t="s">
        <v>187</v>
      </c>
      <c r="Z140" s="279" t="s">
        <v>43</v>
      </c>
      <c r="AA140" s="279">
        <v>35</v>
      </c>
    </row>
    <row r="141" spans="1:27" ht="13.5" thickBo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287" t="s">
        <v>188</v>
      </c>
      <c r="Z141" s="279" t="s">
        <v>63</v>
      </c>
      <c r="AA141" s="279">
        <v>45</v>
      </c>
    </row>
    <row r="142" spans="1:27" ht="13.5" thickBo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287" t="s">
        <v>189</v>
      </c>
      <c r="Z142" s="279" t="str">
        <f>$Z$138</f>
        <v>USD</v>
      </c>
      <c r="AA142" s="279">
        <f>$AA$138</f>
        <v>50</v>
      </c>
    </row>
    <row r="143" spans="1:27" ht="13.5" thickBo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287" t="s">
        <v>190</v>
      </c>
      <c r="Z143" s="279" t="s">
        <v>63</v>
      </c>
      <c r="AA143" s="279">
        <v>45</v>
      </c>
    </row>
    <row r="144" spans="1:27" ht="13.5" thickBo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287" t="s">
        <v>191</v>
      </c>
      <c r="Z144" s="279" t="s">
        <v>63</v>
      </c>
      <c r="AA144" s="279">
        <v>50</v>
      </c>
    </row>
    <row r="145" spans="1:27" ht="13.5" thickBo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287" t="s">
        <v>192</v>
      </c>
      <c r="Z145" s="279" t="s">
        <v>43</v>
      </c>
      <c r="AA145" s="279">
        <v>40</v>
      </c>
    </row>
    <row r="146" spans="1:27" ht="13.5" thickBo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287" t="s">
        <v>193</v>
      </c>
      <c r="Z146" s="279" t="s">
        <v>43</v>
      </c>
      <c r="AA146" s="279">
        <v>35</v>
      </c>
    </row>
    <row r="147" spans="1:27" ht="13.5" thickBo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287" t="s">
        <v>194</v>
      </c>
      <c r="Z147" s="279" t="str">
        <f>$Z$86</f>
        <v>USD</v>
      </c>
      <c r="AA147" s="279">
        <f>$AA$86</f>
        <v>55</v>
      </c>
    </row>
    <row r="148" spans="1:27" ht="13.5" thickBo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287" t="s">
        <v>195</v>
      </c>
      <c r="Z148" s="279" t="s">
        <v>43</v>
      </c>
      <c r="AA148" s="279">
        <v>40</v>
      </c>
    </row>
    <row r="149" spans="1:27" ht="13.5" thickBo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287" t="s">
        <v>196</v>
      </c>
      <c r="Z149" s="279" t="s">
        <v>43</v>
      </c>
      <c r="AA149" s="279">
        <v>45</v>
      </c>
    </row>
    <row r="150" spans="1:27" ht="15" customHeight="1" thickBo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287" t="s">
        <v>197</v>
      </c>
      <c r="Z150" s="279" t="s">
        <v>43</v>
      </c>
      <c r="AA150" s="279">
        <v>40</v>
      </c>
    </row>
    <row r="151" spans="1:27" ht="13.5" thickBo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287" t="s">
        <v>198</v>
      </c>
      <c r="Z151" s="279" t="s">
        <v>43</v>
      </c>
      <c r="AA151" s="279">
        <v>35</v>
      </c>
    </row>
    <row r="152" spans="1:27" ht="13.5" thickBo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287" t="s">
        <v>199</v>
      </c>
      <c r="Z152" s="279" t="s">
        <v>43</v>
      </c>
      <c r="AA152" s="279">
        <v>45</v>
      </c>
    </row>
    <row r="153" spans="1:27" ht="12.75" customHeight="1" thickBo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287" t="s">
        <v>200</v>
      </c>
      <c r="Z153" s="279" t="s">
        <v>63</v>
      </c>
      <c r="AA153" s="279">
        <v>55</v>
      </c>
    </row>
    <row r="154" spans="1:27" ht="13.5" thickBo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287" t="s">
        <v>201</v>
      </c>
      <c r="Z154" s="279" t="s">
        <v>43</v>
      </c>
      <c r="AA154" s="279">
        <v>40</v>
      </c>
    </row>
    <row r="155" spans="1:27" ht="24" customHeight="1" thickBo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287" t="s">
        <v>202</v>
      </c>
      <c r="Z155" s="279" t="s">
        <v>63</v>
      </c>
      <c r="AA155" s="279">
        <v>45</v>
      </c>
    </row>
    <row r="156" spans="1:27" ht="13.5" thickBo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287" t="s">
        <v>203</v>
      </c>
      <c r="Z156" s="279" t="str">
        <f>$Z$74</f>
        <v>EUR</v>
      </c>
      <c r="AA156" s="279">
        <f>AA74</f>
        <v>45</v>
      </c>
    </row>
    <row r="157" spans="1:27" ht="13.5" thickBo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287" t="s">
        <v>204</v>
      </c>
      <c r="Z157" s="279" t="s">
        <v>43</v>
      </c>
      <c r="AA157" s="279">
        <v>40</v>
      </c>
    </row>
    <row r="158" spans="1:27" ht="24" customHeight="1" thickBo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287" t="s">
        <v>205</v>
      </c>
      <c r="Z158" s="279" t="s">
        <v>43</v>
      </c>
      <c r="AA158" s="279">
        <v>40</v>
      </c>
    </row>
    <row r="159" spans="1:27" ht="13.5" thickBo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287" t="s">
        <v>206</v>
      </c>
      <c r="Z159" s="279" t="s">
        <v>63</v>
      </c>
      <c r="AA159" s="279">
        <v>60</v>
      </c>
    </row>
    <row r="160" spans="1:27" ht="13.5" thickBo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287" t="s">
        <v>207</v>
      </c>
      <c r="Z160" s="279" t="s">
        <v>43</v>
      </c>
      <c r="AA160" s="279">
        <v>40</v>
      </c>
    </row>
    <row r="161" spans="1:27" ht="13.5" thickBo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287" t="s">
        <v>208</v>
      </c>
      <c r="Z161" s="279" t="s">
        <v>63</v>
      </c>
      <c r="AA161" s="279">
        <v>50</v>
      </c>
    </row>
    <row r="162" spans="1:27" ht="13.5" thickBo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287" t="s">
        <v>209</v>
      </c>
      <c r="Z162" s="279" t="s">
        <v>63</v>
      </c>
      <c r="AA162" s="279">
        <v>55</v>
      </c>
    </row>
    <row r="163" spans="1:27" ht="13.5" thickBo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287" t="s">
        <v>210</v>
      </c>
      <c r="Z163" s="279" t="s">
        <v>43</v>
      </c>
      <c r="AA163" s="279">
        <v>35</v>
      </c>
    </row>
    <row r="164" spans="1:27" ht="13.5" thickBo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287" t="s">
        <v>211</v>
      </c>
      <c r="Z164" s="279" t="s">
        <v>43</v>
      </c>
      <c r="AA164" s="279">
        <v>35</v>
      </c>
    </row>
    <row r="165" spans="1:27" ht="13.5" thickBo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287" t="s">
        <v>212</v>
      </c>
      <c r="Z165" s="279" t="s">
        <v>63</v>
      </c>
      <c r="AA165" s="279">
        <v>55</v>
      </c>
    </row>
    <row r="166" spans="1:27" ht="13.5" thickBo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287" t="s">
        <v>402</v>
      </c>
      <c r="Z166" s="279" t="s">
        <v>43</v>
      </c>
      <c r="AA166" s="279">
        <v>35</v>
      </c>
    </row>
    <row r="167" spans="1:27" ht="13.5" thickBo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287" t="s">
        <v>213</v>
      </c>
      <c r="Z167" s="279" t="s">
        <v>63</v>
      </c>
      <c r="AA167" s="279">
        <v>50</v>
      </c>
    </row>
    <row r="168" spans="1:27" ht="13.5" thickBo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287" t="s">
        <v>214</v>
      </c>
      <c r="Z168" s="279" t="s">
        <v>63</v>
      </c>
      <c r="AA168" s="279">
        <v>45</v>
      </c>
    </row>
    <row r="169" spans="1:27" ht="13.5" thickBo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287" t="s">
        <v>215</v>
      </c>
      <c r="Z169" s="279" t="s">
        <v>63</v>
      </c>
      <c r="AA169" s="279">
        <v>55</v>
      </c>
    </row>
    <row r="170" spans="1:27" ht="13.5" thickBo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287" t="s">
        <v>216</v>
      </c>
      <c r="Z170" s="279" t="s">
        <v>63</v>
      </c>
      <c r="AA170" s="279">
        <v>50</v>
      </c>
    </row>
    <row r="171" spans="1:27" ht="13.5" thickBo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287" t="s">
        <v>217</v>
      </c>
      <c r="Z171" s="279" t="str">
        <f>$Z$86</f>
        <v>USD</v>
      </c>
      <c r="AA171" s="279">
        <f>$AA$86</f>
        <v>55</v>
      </c>
    </row>
    <row r="172" spans="1:27" ht="13.5" thickBo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287" t="s">
        <v>218</v>
      </c>
      <c r="Z172" s="279" t="str">
        <f>$Z$86</f>
        <v>USD</v>
      </c>
      <c r="AA172" s="279">
        <f>$AA$86</f>
        <v>55</v>
      </c>
    </row>
    <row r="173" spans="1:27" ht="13.5" thickBo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287" t="s">
        <v>219</v>
      </c>
      <c r="Z173" s="279" t="s">
        <v>43</v>
      </c>
      <c r="AA173" s="279">
        <v>35</v>
      </c>
    </row>
    <row r="174" spans="1:27" ht="13.5" thickBo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287" t="s">
        <v>330</v>
      </c>
      <c r="Z174" s="279" t="str">
        <f>$Z$86</f>
        <v>USD</v>
      </c>
      <c r="AA174" s="279">
        <f>$AA$86</f>
        <v>55</v>
      </c>
    </row>
    <row r="175" spans="1:27" ht="13.5" thickBo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287" t="s">
        <v>221</v>
      </c>
      <c r="Z175" s="279" t="s">
        <v>63</v>
      </c>
      <c r="AA175" s="279">
        <v>55</v>
      </c>
    </row>
    <row r="176" spans="1:27" ht="13.5" thickBo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287" t="s">
        <v>220</v>
      </c>
      <c r="Z176" s="279" t="s">
        <v>43</v>
      </c>
      <c r="AA176" s="279">
        <v>35</v>
      </c>
    </row>
    <row r="177" spans="1:27" ht="13.5" thickBo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287" t="s">
        <v>222</v>
      </c>
      <c r="Z177" s="279" t="s">
        <v>43</v>
      </c>
      <c r="AA177" s="279">
        <v>40</v>
      </c>
    </row>
    <row r="178" spans="1:27" ht="13.5" thickBo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287" t="s">
        <v>223</v>
      </c>
      <c r="Z178" s="279" t="s">
        <v>43</v>
      </c>
      <c r="AA178" s="279">
        <v>50</v>
      </c>
    </row>
    <row r="179" spans="1:27" ht="13.5" thickBo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287" t="s">
        <v>224</v>
      </c>
      <c r="Z179" s="279" t="s">
        <v>225</v>
      </c>
      <c r="AA179" s="279">
        <v>75</v>
      </c>
    </row>
    <row r="180" spans="1:27" ht="13.5" thickBo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287" t="s">
        <v>226</v>
      </c>
      <c r="Z180" s="279" t="s">
        <v>43</v>
      </c>
      <c r="AA180" s="279">
        <v>40</v>
      </c>
    </row>
    <row r="181" spans="1:27" ht="13.5" thickBo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287" t="s">
        <v>227</v>
      </c>
      <c r="Z181" s="279" t="str">
        <f>$Z$138</f>
        <v>USD</v>
      </c>
      <c r="AA181" s="279">
        <f>$AA$138</f>
        <v>50</v>
      </c>
    </row>
    <row r="182" spans="1:27" ht="13.5" thickBo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287" t="s">
        <v>228</v>
      </c>
      <c r="Z182" s="279" t="s">
        <v>63</v>
      </c>
      <c r="AA182" s="279">
        <v>55</v>
      </c>
    </row>
    <row r="183" spans="1:27" ht="13.5" thickBo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287" t="s">
        <v>229</v>
      </c>
      <c r="Z183" s="279" t="s">
        <v>43</v>
      </c>
      <c r="AA183" s="279">
        <v>40</v>
      </c>
    </row>
    <row r="184" spans="1:27" ht="13.5" thickBo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287" t="s">
        <v>230</v>
      </c>
      <c r="Z184" s="279" t="s">
        <v>43</v>
      </c>
      <c r="AA184" s="279">
        <v>40</v>
      </c>
    </row>
    <row r="185" spans="1:27" ht="13.5" thickBo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287" t="s">
        <v>231</v>
      </c>
      <c r="Z185" s="279" t="s">
        <v>43</v>
      </c>
      <c r="AA185" s="279">
        <v>40</v>
      </c>
    </row>
    <row r="186" spans="1:27" ht="13.5" thickBo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287" t="s">
        <v>232</v>
      </c>
      <c r="Z186" s="279" t="str">
        <f>$Z$86</f>
        <v>USD</v>
      </c>
      <c r="AA186" s="279">
        <f>$AA$86</f>
        <v>55</v>
      </c>
    </row>
    <row r="187" spans="1:27" ht="13.5" thickBo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287" t="s">
        <v>233</v>
      </c>
      <c r="Z187" s="279" t="s">
        <v>43</v>
      </c>
      <c r="AA187" s="279">
        <v>40</v>
      </c>
    </row>
    <row r="188" spans="1:27" ht="13.5" thickBo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287" t="s">
        <v>234</v>
      </c>
      <c r="Z188" s="279" t="s">
        <v>43</v>
      </c>
      <c r="AA188" s="279">
        <v>40</v>
      </c>
    </row>
    <row r="189" spans="1:27" ht="13.5" thickBo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287" t="s">
        <v>235</v>
      </c>
      <c r="Z189" s="279" t="s">
        <v>43</v>
      </c>
      <c r="AA189" s="279">
        <v>40</v>
      </c>
    </row>
    <row r="190" spans="1:27" ht="13.5" thickBo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287" t="s">
        <v>236</v>
      </c>
      <c r="Z190" s="279" t="s">
        <v>63</v>
      </c>
      <c r="AA190" s="279">
        <v>55</v>
      </c>
    </row>
    <row r="191" spans="1:27" ht="13.5" thickBo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287" t="s">
        <v>237</v>
      </c>
      <c r="Z191" s="279" t="s">
        <v>43</v>
      </c>
      <c r="AA191" s="279">
        <v>45</v>
      </c>
    </row>
    <row r="192" spans="1:27" ht="13.5" thickBo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287" t="s">
        <v>238</v>
      </c>
      <c r="Z192" s="279" t="s">
        <v>63</v>
      </c>
      <c r="AA192" s="279">
        <v>50</v>
      </c>
    </row>
    <row r="193" spans="1:27" ht="13.5" thickBo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287" t="s">
        <v>239</v>
      </c>
      <c r="Z193" s="279" t="s">
        <v>63</v>
      </c>
      <c r="AA193" s="279">
        <v>55</v>
      </c>
    </row>
    <row r="194" spans="1:27" ht="13.5" thickBo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287" t="s">
        <v>240</v>
      </c>
      <c r="Z194" s="279" t="s">
        <v>43</v>
      </c>
      <c r="AA194" s="279">
        <v>40</v>
      </c>
    </row>
    <row r="195" spans="1:27" ht="13.5" thickBo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287" t="s">
        <v>241</v>
      </c>
      <c r="Z195" s="279" t="str">
        <f>$Z$74</f>
        <v>EUR</v>
      </c>
      <c r="AA195" s="279">
        <f>$AA$74</f>
        <v>45</v>
      </c>
    </row>
    <row r="196" spans="1:27" ht="13.5" thickBo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287" t="s">
        <v>242</v>
      </c>
      <c r="Z196" s="279" t="s">
        <v>61</v>
      </c>
      <c r="AA196" s="279">
        <v>40</v>
      </c>
    </row>
    <row r="197" spans="1:27" ht="13.5" thickBo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287" t="s">
        <v>243</v>
      </c>
      <c r="Z197" s="279" t="s">
        <v>63</v>
      </c>
      <c r="AA197" s="279">
        <v>60</v>
      </c>
    </row>
    <row r="198" spans="1:27" ht="13.5" thickBo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287" t="s">
        <v>244</v>
      </c>
      <c r="Z198" s="279" t="s">
        <v>43</v>
      </c>
      <c r="AA198" s="279">
        <v>40</v>
      </c>
    </row>
    <row r="199" spans="1:27" ht="13.5" thickBo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287" t="s">
        <v>245</v>
      </c>
      <c r="Z199" s="279" t="s">
        <v>63</v>
      </c>
      <c r="AA199" s="279">
        <v>50</v>
      </c>
    </row>
    <row r="200" spans="1:27" ht="13.5" thickBo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287" t="s">
        <v>246</v>
      </c>
      <c r="Z200" s="279" t="s">
        <v>63</v>
      </c>
      <c r="AA200" s="279">
        <v>45</v>
      </c>
    </row>
    <row r="201" spans="1:24" ht="12.7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row>
    <row r="202" spans="1:24" ht="12.7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row>
    <row r="203" spans="1:24" ht="12.7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row>
    <row r="204" spans="1:24" ht="12.7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row>
    <row r="205" spans="1:24" ht="12.7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row>
    <row r="206" spans="1:24" ht="12.7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row>
    <row r="207" spans="1:24" ht="12.7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row>
    <row r="208" spans="1:24" ht="12.7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row>
    <row r="209" spans="1:24" ht="12.7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row>
    <row r="210" spans="1:24" ht="12.7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row>
    <row r="211" spans="1:24" ht="12.7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row>
    <row r="212" spans="1:24" ht="12.7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row>
    <row r="213" spans="1:24" ht="12.7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row>
    <row r="214" spans="1:24" ht="12.7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row>
    <row r="215" spans="1:24" ht="12.7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row>
    <row r="216" spans="1:24" ht="12.7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row>
    <row r="217" spans="1:24" ht="12.7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row>
    <row r="218" spans="1:24" ht="12.7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row>
    <row r="219" spans="1:24" ht="12.7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row>
    <row r="220" spans="1:24" ht="12.7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row>
    <row r="221" spans="1:24" ht="12.7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row>
  </sheetData>
  <sheetProtection sheet="1" selectLockedCells="1"/>
  <mergeCells count="115">
    <mergeCell ref="J44:V44"/>
    <mergeCell ref="J43:V43"/>
    <mergeCell ref="Q39:R39"/>
    <mergeCell ref="B41:H41"/>
    <mergeCell ref="Q40:R40"/>
    <mergeCell ref="S40:T40"/>
    <mergeCell ref="I41:N41"/>
    <mergeCell ref="Q41:R41"/>
    <mergeCell ref="S41:T41"/>
    <mergeCell ref="D3:I5"/>
    <mergeCell ref="B40:H40"/>
    <mergeCell ref="I40:N40"/>
    <mergeCell ref="S33:T33"/>
    <mergeCell ref="Q25:R25"/>
    <mergeCell ref="S25:T25"/>
    <mergeCell ref="Q31:R31"/>
    <mergeCell ref="Q30:R30"/>
    <mergeCell ref="Q28:R28"/>
    <mergeCell ref="S26:T26"/>
    <mergeCell ref="A1:A46"/>
    <mergeCell ref="B1:W1"/>
    <mergeCell ref="B46:W46"/>
    <mergeCell ref="B37:G37"/>
    <mergeCell ref="H37:O37"/>
    <mergeCell ref="B29:W29"/>
    <mergeCell ref="B23:W23"/>
    <mergeCell ref="O18:Q18"/>
    <mergeCell ref="B20:E20"/>
    <mergeCell ref="K18:N18"/>
    <mergeCell ref="S32:T32"/>
    <mergeCell ref="U9:W9"/>
    <mergeCell ref="S28:T28"/>
    <mergeCell ref="B24:T24"/>
    <mergeCell ref="F20:W20"/>
    <mergeCell ref="B21:D21"/>
    <mergeCell ref="F21:I21"/>
    <mergeCell ref="S30:T30"/>
    <mergeCell ref="K30:M30"/>
    <mergeCell ref="K31:M31"/>
    <mergeCell ref="Q33:R33"/>
    <mergeCell ref="Q35:R35"/>
    <mergeCell ref="X1:X46"/>
    <mergeCell ref="B12:W12"/>
    <mergeCell ref="R9:S9"/>
    <mergeCell ref="E25:F25"/>
    <mergeCell ref="G25:H25"/>
    <mergeCell ref="B13:W13"/>
    <mergeCell ref="F18:I18"/>
    <mergeCell ref="B14:E14"/>
    <mergeCell ref="S31:T31"/>
    <mergeCell ref="K21:N21"/>
    <mergeCell ref="E27:F27"/>
    <mergeCell ref="G27:H27"/>
    <mergeCell ref="S27:T27"/>
    <mergeCell ref="I27:K27"/>
    <mergeCell ref="Q27:R27"/>
    <mergeCell ref="O21:Q21"/>
    <mergeCell ref="G26:H26"/>
    <mergeCell ref="I26:K26"/>
    <mergeCell ref="B18:D18"/>
    <mergeCell ref="B26:D26"/>
    <mergeCell ref="G28:H28"/>
    <mergeCell ref="L26:M26"/>
    <mergeCell ref="N26:P26"/>
    <mergeCell ref="B30:G30"/>
    <mergeCell ref="I30:J30"/>
    <mergeCell ref="E28:F28"/>
    <mergeCell ref="I28:K28"/>
    <mergeCell ref="B27:D27"/>
    <mergeCell ref="N28:P28"/>
    <mergeCell ref="B28:D28"/>
    <mergeCell ref="Y1:AA1"/>
    <mergeCell ref="Q26:R26"/>
    <mergeCell ref="F14:W14"/>
    <mergeCell ref="F15:W15"/>
    <mergeCell ref="F17:W17"/>
    <mergeCell ref="E26:F26"/>
    <mergeCell ref="B15:E15"/>
    <mergeCell ref="B17:E17"/>
    <mergeCell ref="Q37:R37"/>
    <mergeCell ref="O35:P35"/>
    <mergeCell ref="B25:D25"/>
    <mergeCell ref="Q32:R32"/>
    <mergeCell ref="N27:P27"/>
    <mergeCell ref="I31:J31"/>
    <mergeCell ref="B32:F32"/>
    <mergeCell ref="O32:P32"/>
    <mergeCell ref="L27:M27"/>
    <mergeCell ref="L28:M28"/>
    <mergeCell ref="O33:P33"/>
    <mergeCell ref="B34:I34"/>
    <mergeCell ref="O34:P34"/>
    <mergeCell ref="Q34:R34"/>
    <mergeCell ref="S39:T39"/>
    <mergeCell ref="S34:T34"/>
    <mergeCell ref="S37:T37"/>
    <mergeCell ref="S35:T35"/>
    <mergeCell ref="Q38:R38"/>
    <mergeCell ref="S38:T38"/>
    <mergeCell ref="G52:W52"/>
    <mergeCell ref="A47:X47"/>
    <mergeCell ref="B48:F48"/>
    <mergeCell ref="G48:W48"/>
    <mergeCell ref="B49:F49"/>
    <mergeCell ref="G49:W49"/>
    <mergeCell ref="G56:W56"/>
    <mergeCell ref="G54:W54"/>
    <mergeCell ref="G55:W55"/>
    <mergeCell ref="B50:F50"/>
    <mergeCell ref="G50:W50"/>
    <mergeCell ref="B51:F51"/>
    <mergeCell ref="G51:W51"/>
    <mergeCell ref="B53:F53"/>
    <mergeCell ref="G53:W53"/>
    <mergeCell ref="B52:F52"/>
  </mergeCells>
  <dataValidations count="1">
    <dataValidation type="list" allowBlank="1" showInputMessage="1" showErrorMessage="1" sqref="F20:W20 F17:W17">
      <formula1>$Y$2:$Y$200</formula1>
    </dataValidation>
  </dataValidations>
  <printOptions horizontalCentered="1"/>
  <pageMargins left="0.5905511811023623" right="0.3937007874015748" top="0.5905511811023623" bottom="0.7874015748031497" header="0.5118110236220472" footer="0.5118110236220472"/>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List4">
    <tabColor indexed="49"/>
  </sheetPr>
  <dimension ref="A1:CF93"/>
  <sheetViews>
    <sheetView showGridLines="0" showRowColHeaders="0" zoomScalePageLayoutView="0" workbookViewId="0" topLeftCell="A1">
      <selection activeCell="E10" sqref="E10:I10"/>
    </sheetView>
  </sheetViews>
  <sheetFormatPr defaultColWidth="9.140625" defaultRowHeight="12.75"/>
  <cols>
    <col min="1" max="1" width="5.28125" style="117" customWidth="1"/>
    <col min="2" max="17" width="3.7109375" style="117" customWidth="1"/>
    <col min="18" max="18" width="3.28125" style="117" customWidth="1"/>
    <col min="19" max="19" width="3.7109375" style="117" customWidth="1"/>
    <col min="20" max="20" width="5.28125" style="117" customWidth="1"/>
    <col min="21" max="21" width="3.140625" style="117" customWidth="1"/>
    <col min="22" max="27" width="3.7109375" style="117" customWidth="1"/>
    <col min="28" max="28" width="0.42578125" style="117" customWidth="1"/>
    <col min="29" max="29" width="4.7109375" style="117" customWidth="1"/>
    <col min="30" max="30" width="8.8515625" style="117" hidden="1" customWidth="1"/>
    <col min="31" max="31" width="4.140625" style="116" customWidth="1"/>
    <col min="32" max="32" width="14.421875" style="117" customWidth="1"/>
    <col min="33" max="33" width="26.28125" style="117" customWidth="1"/>
    <col min="34" max="34" width="12.57421875" style="117" hidden="1" customWidth="1"/>
    <col min="35" max="35" width="7.140625" style="117" hidden="1" customWidth="1"/>
    <col min="36" max="36" width="8.57421875" style="117" hidden="1" customWidth="1"/>
    <col min="37" max="37" width="7.8515625" style="117" hidden="1" customWidth="1"/>
    <col min="38" max="44" width="7.7109375" style="117" hidden="1" customWidth="1"/>
    <col min="45" max="45" width="9.140625" style="117" customWidth="1"/>
    <col min="46" max="46" width="15.28125" style="117" customWidth="1"/>
    <col min="47" max="16384" width="9.140625" style="117" customWidth="1"/>
  </cols>
  <sheetData>
    <row r="1" spans="1:77" ht="35.25" customHeight="1">
      <c r="A1" s="114"/>
      <c r="B1" s="114"/>
      <c r="C1" s="114"/>
      <c r="D1" s="114"/>
      <c r="E1" s="114"/>
      <c r="F1" s="114"/>
      <c r="G1" s="114"/>
      <c r="H1" s="114"/>
      <c r="I1" s="735" t="s">
        <v>320</v>
      </c>
      <c r="J1" s="735"/>
      <c r="K1" s="735"/>
      <c r="L1" s="735"/>
      <c r="M1" s="735"/>
      <c r="N1" s="735"/>
      <c r="O1" s="735"/>
      <c r="P1" s="735"/>
      <c r="Q1" s="735"/>
      <c r="R1" s="735"/>
      <c r="S1" s="735"/>
      <c r="T1" s="735"/>
      <c r="U1" s="735"/>
      <c r="V1" s="114"/>
      <c r="W1" s="114"/>
      <c r="X1" s="114"/>
      <c r="Y1" s="114"/>
      <c r="Z1" s="114"/>
      <c r="AA1" s="114"/>
      <c r="AB1" s="114"/>
      <c r="AC1" s="114"/>
      <c r="AD1" s="115"/>
      <c r="AF1" s="651"/>
      <c r="AG1" s="651"/>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row>
    <row r="2" spans="1:77" ht="17.25" customHeight="1">
      <c r="A2" s="118"/>
      <c r="B2" s="118"/>
      <c r="C2" s="118"/>
      <c r="D2" s="118"/>
      <c r="E2" s="118"/>
      <c r="F2" s="118"/>
      <c r="G2" s="118"/>
      <c r="H2" s="118"/>
      <c r="I2" s="735"/>
      <c r="J2" s="735"/>
      <c r="K2" s="735"/>
      <c r="L2" s="735"/>
      <c r="M2" s="735"/>
      <c r="N2" s="735"/>
      <c r="O2" s="735"/>
      <c r="P2" s="735"/>
      <c r="Q2" s="735"/>
      <c r="R2" s="735"/>
      <c r="S2" s="735"/>
      <c r="T2" s="735"/>
      <c r="U2" s="735"/>
      <c r="V2" s="118"/>
      <c r="W2" s="118"/>
      <c r="X2" s="118"/>
      <c r="Y2" s="118"/>
      <c r="Z2" s="118"/>
      <c r="AA2" s="118"/>
      <c r="AB2" s="118"/>
      <c r="AC2" s="118"/>
      <c r="AD2" s="115"/>
      <c r="AF2" s="674" t="s">
        <v>430</v>
      </c>
      <c r="AG2" s="674"/>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row>
    <row r="3" spans="1:77" ht="22.5" customHeight="1">
      <c r="A3" s="114"/>
      <c r="B3" s="119"/>
      <c r="C3" s="119"/>
      <c r="D3" s="119"/>
      <c r="E3" s="648" t="s">
        <v>514</v>
      </c>
      <c r="F3" s="648"/>
      <c r="G3" s="648"/>
      <c r="H3" s="648"/>
      <c r="I3" s="648"/>
      <c r="J3" s="648"/>
      <c r="K3" s="648"/>
      <c r="L3" s="648"/>
      <c r="M3" s="648"/>
      <c r="N3" s="646"/>
      <c r="O3" s="646"/>
      <c r="P3" s="646"/>
      <c r="Q3" s="646"/>
      <c r="R3" s="646"/>
      <c r="S3" s="646"/>
      <c r="T3" s="646"/>
      <c r="U3" s="646"/>
      <c r="V3" s="646"/>
      <c r="W3" s="646"/>
      <c r="X3" s="646"/>
      <c r="Y3" s="646"/>
      <c r="Z3" s="646"/>
      <c r="AA3" s="646"/>
      <c r="AB3" s="120"/>
      <c r="AC3" s="114"/>
      <c r="AD3" s="115"/>
      <c r="AF3" s="634"/>
      <c r="AG3" s="634"/>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row>
    <row r="4" spans="1:77" ht="23.25" customHeight="1" thickBot="1">
      <c r="A4" s="114"/>
      <c r="B4" s="119"/>
      <c r="C4" s="119"/>
      <c r="D4" s="119"/>
      <c r="E4" s="649"/>
      <c r="F4" s="649"/>
      <c r="G4" s="649"/>
      <c r="H4" s="649"/>
      <c r="I4" s="649"/>
      <c r="J4" s="649"/>
      <c r="K4" s="649"/>
      <c r="L4" s="649"/>
      <c r="M4" s="649"/>
      <c r="N4" s="647"/>
      <c r="O4" s="647"/>
      <c r="P4" s="647"/>
      <c r="Q4" s="647"/>
      <c r="R4" s="647"/>
      <c r="S4" s="647"/>
      <c r="T4" s="647"/>
      <c r="U4" s="647"/>
      <c r="V4" s="647"/>
      <c r="W4" s="647"/>
      <c r="X4" s="647"/>
      <c r="Y4" s="647"/>
      <c r="Z4" s="647"/>
      <c r="AA4" s="647"/>
      <c r="AB4" s="121"/>
      <c r="AC4" s="114"/>
      <c r="AD4" s="115"/>
      <c r="AF4" s="675" t="s">
        <v>321</v>
      </c>
      <c r="AG4" s="67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row>
    <row r="5" spans="1:84" ht="41.25" customHeight="1" thickBot="1">
      <c r="A5" s="114"/>
      <c r="B5" s="650" t="s">
        <v>423</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122"/>
      <c r="AC5" s="114"/>
      <c r="AD5" s="115"/>
      <c r="AF5" s="677" t="s">
        <v>428</v>
      </c>
      <c r="AG5" s="678"/>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row>
    <row r="6" spans="1:84" ht="18.75" customHeight="1" thickBot="1">
      <c r="A6" s="114"/>
      <c r="B6" s="708" t="s">
        <v>427</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123"/>
      <c r="AC6" s="114"/>
      <c r="AD6" s="115"/>
      <c r="AF6" s="635"/>
      <c r="AG6" s="635"/>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row>
    <row r="7" spans="1:84" ht="18.75" customHeight="1">
      <c r="A7" s="114"/>
      <c r="B7" s="711" t="s">
        <v>429</v>
      </c>
      <c r="C7" s="711"/>
      <c r="D7" s="711"/>
      <c r="E7" s="711"/>
      <c r="F7" s="711"/>
      <c r="G7" s="711"/>
      <c r="H7" s="711"/>
      <c r="I7" s="711"/>
      <c r="J7" s="711"/>
      <c r="K7" s="711"/>
      <c r="L7" s="711"/>
      <c r="M7" s="711"/>
      <c r="N7" s="711"/>
      <c r="O7" s="711"/>
      <c r="P7" s="711"/>
      <c r="Q7" s="711"/>
      <c r="R7" s="711"/>
      <c r="S7" s="711"/>
      <c r="T7" s="711"/>
      <c r="U7" s="711"/>
      <c r="V7" s="711"/>
      <c r="W7" s="711"/>
      <c r="X7" s="711"/>
      <c r="Y7" s="711"/>
      <c r="Z7" s="711"/>
      <c r="AA7" s="711"/>
      <c r="AB7" s="123"/>
      <c r="AC7" s="114"/>
      <c r="AD7" s="115"/>
      <c r="AF7" s="124" t="s">
        <v>308</v>
      </c>
      <c r="AG7" s="39"/>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row>
    <row r="8" spans="1:84" ht="16.5" customHeight="1">
      <c r="A8" s="114"/>
      <c r="B8" s="712" t="str">
        <f>INDEX(AD$18:AD$19,AD$20)</f>
        <v>výdajů za spotřebované PHM a sazby za ujeté kilometry</v>
      </c>
      <c r="C8" s="712"/>
      <c r="D8" s="712"/>
      <c r="E8" s="712"/>
      <c r="F8" s="712"/>
      <c r="G8" s="712"/>
      <c r="H8" s="712"/>
      <c r="I8" s="712"/>
      <c r="J8" s="712"/>
      <c r="K8" s="712"/>
      <c r="L8" s="712"/>
      <c r="M8" s="712"/>
      <c r="N8" s="712"/>
      <c r="O8" s="712"/>
      <c r="P8" s="712"/>
      <c r="Q8" s="712"/>
      <c r="R8" s="712"/>
      <c r="S8" s="712"/>
      <c r="T8" s="712"/>
      <c r="U8" s="712"/>
      <c r="V8" s="712"/>
      <c r="W8" s="712"/>
      <c r="X8" s="712"/>
      <c r="Y8" s="712"/>
      <c r="Z8" s="712"/>
      <c r="AA8" s="712"/>
      <c r="AB8" s="123"/>
      <c r="AC8" s="125" t="s">
        <v>296</v>
      </c>
      <c r="AD8" s="115"/>
      <c r="AF8" s="126" t="s">
        <v>307</v>
      </c>
      <c r="AG8" s="40"/>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row>
    <row r="9" spans="1:84" ht="17.25" customHeight="1">
      <c r="A9" s="114"/>
      <c r="B9" s="739"/>
      <c r="C9" s="739"/>
      <c r="D9" s="739"/>
      <c r="E9" s="739"/>
      <c r="F9" s="739"/>
      <c r="G9" s="739"/>
      <c r="H9" s="739"/>
      <c r="I9" s="739"/>
      <c r="J9" s="739"/>
      <c r="K9" s="739"/>
      <c r="L9" s="739"/>
      <c r="M9" s="739"/>
      <c r="N9" s="739"/>
      <c r="O9" s="739"/>
      <c r="P9" s="739"/>
      <c r="Q9" s="739"/>
      <c r="R9" s="739"/>
      <c r="S9" s="739"/>
      <c r="T9" s="739"/>
      <c r="U9" s="739"/>
      <c r="V9" s="739"/>
      <c r="W9" s="739"/>
      <c r="X9" s="713"/>
      <c r="Y9" s="713"/>
      <c r="Z9" s="713"/>
      <c r="AA9" s="127">
        <f>IF(AD$20=2,"Kč","")</f>
      </c>
      <c r="AB9" s="123"/>
      <c r="AC9" s="114"/>
      <c r="AD9" s="115"/>
      <c r="AF9" s="632" t="s">
        <v>313</v>
      </c>
      <c r="AG9" s="52" t="s">
        <v>345</v>
      </c>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row>
    <row r="10" spans="1:84" ht="23.25" customHeight="1">
      <c r="A10" s="114"/>
      <c r="B10" s="740" t="s">
        <v>297</v>
      </c>
      <c r="C10" s="740"/>
      <c r="D10" s="740"/>
      <c r="E10" s="743"/>
      <c r="F10" s="743"/>
      <c r="G10" s="743"/>
      <c r="H10" s="743"/>
      <c r="I10" s="743"/>
      <c r="J10" s="744" t="s">
        <v>432</v>
      </c>
      <c r="K10" s="744"/>
      <c r="L10" s="744"/>
      <c r="M10" s="744"/>
      <c r="N10" s="744"/>
      <c r="O10" s="744"/>
      <c r="P10" s="744"/>
      <c r="Q10" s="744"/>
      <c r="R10" s="652"/>
      <c r="S10" s="652"/>
      <c r="T10" s="652"/>
      <c r="U10" s="652"/>
      <c r="V10" s="652"/>
      <c r="W10" s="652"/>
      <c r="X10" s="652"/>
      <c r="Y10" s="652"/>
      <c r="Z10" s="652"/>
      <c r="AA10" s="652"/>
      <c r="AB10" s="123"/>
      <c r="AC10" s="114"/>
      <c r="AD10" s="115"/>
      <c r="AF10" s="633"/>
      <c r="AG10" s="51" t="str">
        <f>IF(ISNA(VLOOKUP(palivo,$AH$15:$AL$17,2,FALSE)),"",CONCATENATE("Cena dle vyhlášky = ",TEXT(VLOOKUP(palivo,$AH$15:$AL$17,2,FALSE),"#0,00")," Kč"))</f>
        <v>Cena dle vyhlášky = 29,70 Kč</v>
      </c>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row>
    <row r="11" spans="1:84" ht="12.75" customHeight="1">
      <c r="A11" s="114"/>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123"/>
      <c r="AC11" s="114"/>
      <c r="AD11" s="115"/>
      <c r="AF11" s="637" t="s">
        <v>348</v>
      </c>
      <c r="AG11" s="42"/>
      <c r="AH11" s="116"/>
      <c r="AI11" s="116"/>
      <c r="AJ11" s="116"/>
      <c r="AK11" s="116"/>
      <c r="AL11" s="116"/>
      <c r="AM11" s="116"/>
      <c r="AN11" s="116"/>
      <c r="AO11" s="116"/>
      <c r="AP11" s="116"/>
      <c r="AQ11" s="116"/>
      <c r="AR11" s="116"/>
      <c r="AS11" s="398"/>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row>
    <row r="12" spans="1:84" ht="13.5" customHeight="1">
      <c r="A12" s="114"/>
      <c r="B12" s="654"/>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128"/>
      <c r="AC12" s="114"/>
      <c r="AD12" s="115"/>
      <c r="AF12" s="638"/>
      <c r="AG12" s="43"/>
      <c r="AH12" s="116"/>
      <c r="AI12" s="259">
        <v>2016</v>
      </c>
      <c r="AJ12" s="259">
        <v>2015</v>
      </c>
      <c r="AK12" s="259">
        <v>2014</v>
      </c>
      <c r="AL12" s="259">
        <v>2013</v>
      </c>
      <c r="AM12" s="259">
        <v>2012</v>
      </c>
      <c r="AN12" s="259">
        <v>2011</v>
      </c>
      <c r="AO12" s="259">
        <v>2010</v>
      </c>
      <c r="AP12" s="259">
        <v>2009</v>
      </c>
      <c r="AQ12" s="259">
        <v>2008</v>
      </c>
      <c r="AR12" s="260">
        <v>2007</v>
      </c>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row>
    <row r="13" spans="1:84" ht="18" customHeight="1">
      <c r="A13" s="114"/>
      <c r="B13" s="660" t="s">
        <v>424</v>
      </c>
      <c r="C13" s="660"/>
      <c r="D13" s="660"/>
      <c r="E13" s="660"/>
      <c r="F13" s="660"/>
      <c r="G13" s="660"/>
      <c r="H13" s="660"/>
      <c r="I13" s="660"/>
      <c r="J13" s="658"/>
      <c r="K13" s="658"/>
      <c r="L13" s="658"/>
      <c r="M13" s="658"/>
      <c r="N13" s="658"/>
      <c r="O13" s="658"/>
      <c r="P13" s="658"/>
      <c r="Q13" s="658"/>
      <c r="R13" s="658"/>
      <c r="S13" s="658"/>
      <c r="T13" s="658"/>
      <c r="U13" s="658"/>
      <c r="V13" s="658"/>
      <c r="W13" s="658"/>
      <c r="X13" s="658"/>
      <c r="Y13" s="658"/>
      <c r="Z13" s="658"/>
      <c r="AA13" s="658"/>
      <c r="AB13" s="129"/>
      <c r="AC13" s="114"/>
      <c r="AD13" s="115"/>
      <c r="AF13" s="638"/>
      <c r="AG13" s="43"/>
      <c r="AH13" s="130" t="s">
        <v>343</v>
      </c>
      <c r="AI13" s="130"/>
      <c r="AJ13" s="130"/>
      <c r="AK13" s="130"/>
      <c r="AL13" s="130"/>
      <c r="AM13" s="130"/>
      <c r="AN13" s="130">
        <v>31.4</v>
      </c>
      <c r="AO13" s="258">
        <v>28.5</v>
      </c>
      <c r="AP13" s="258">
        <v>26.3</v>
      </c>
      <c r="AQ13" s="258">
        <v>30.6</v>
      </c>
      <c r="AR13" s="131">
        <v>27.8</v>
      </c>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row>
    <row r="14" spans="1:84" ht="18" customHeight="1">
      <c r="A14" s="114"/>
      <c r="B14" s="656" t="s">
        <v>280</v>
      </c>
      <c r="C14" s="656"/>
      <c r="D14" s="656"/>
      <c r="E14" s="656"/>
      <c r="F14" s="658"/>
      <c r="G14" s="658"/>
      <c r="H14" s="658"/>
      <c r="I14" s="658"/>
      <c r="J14" s="658"/>
      <c r="K14" s="658"/>
      <c r="L14" s="658"/>
      <c r="M14" s="658"/>
      <c r="N14" s="657" t="s">
        <v>281</v>
      </c>
      <c r="O14" s="657"/>
      <c r="P14" s="657"/>
      <c r="Q14" s="657"/>
      <c r="R14" s="659"/>
      <c r="S14" s="659"/>
      <c r="T14" s="659"/>
      <c r="U14" s="659"/>
      <c r="V14" s="659"/>
      <c r="W14" s="659"/>
      <c r="X14" s="659"/>
      <c r="Y14" s="659"/>
      <c r="Z14" s="657" t="s">
        <v>282</v>
      </c>
      <c r="AA14" s="657"/>
      <c r="AB14" s="132"/>
      <c r="AC14" s="114"/>
      <c r="AD14" s="249" t="s">
        <v>283</v>
      </c>
      <c r="AE14" s="133"/>
      <c r="AF14" s="639"/>
      <c r="AG14" s="44"/>
      <c r="AH14" s="116" t="s">
        <v>344</v>
      </c>
      <c r="AI14" s="116"/>
      <c r="AJ14" s="116"/>
      <c r="AK14" s="116"/>
      <c r="AL14" s="116"/>
      <c r="AM14" s="116"/>
      <c r="AN14" s="130">
        <v>31.4</v>
      </c>
      <c r="AO14" s="258">
        <v>28.5</v>
      </c>
      <c r="AP14" s="258">
        <v>26.3</v>
      </c>
      <c r="AQ14" s="258">
        <v>30.6</v>
      </c>
      <c r="AR14" s="131">
        <v>27.9</v>
      </c>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row>
    <row r="15" spans="1:84" ht="18" customHeight="1">
      <c r="A15" s="114"/>
      <c r="B15" s="660" t="s">
        <v>284</v>
      </c>
      <c r="C15" s="660"/>
      <c r="D15" s="660"/>
      <c r="E15" s="660"/>
      <c r="F15" s="660"/>
      <c r="G15" s="660"/>
      <c r="H15" s="660"/>
      <c r="I15" s="655">
        <f>IF(Cele_jmeno="","",Cele_jmeno)</f>
      </c>
      <c r="J15" s="655"/>
      <c r="K15" s="655"/>
      <c r="L15" s="655"/>
      <c r="M15" s="655"/>
      <c r="N15" s="655"/>
      <c r="O15" s="655"/>
      <c r="P15" s="655"/>
      <c r="Q15" s="655"/>
      <c r="R15" s="655"/>
      <c r="S15" s="710" t="s">
        <v>285</v>
      </c>
      <c r="T15" s="710"/>
      <c r="U15" s="709">
        <f>IF(Prac="","",Prac)</f>
      </c>
      <c r="V15" s="709"/>
      <c r="W15" s="709"/>
      <c r="X15" s="709"/>
      <c r="Y15" s="709"/>
      <c r="Z15" s="709"/>
      <c r="AA15" s="709"/>
      <c r="AB15" s="120"/>
      <c r="AC15" s="114"/>
      <c r="AD15" s="249" t="s">
        <v>286</v>
      </c>
      <c r="AE15" s="133"/>
      <c r="AF15" s="126" t="s">
        <v>309</v>
      </c>
      <c r="AG15" s="49">
        <f>IF(COUNTIF(AG11:AG14,"&gt;0")&lt;&gt;0,ROUND(SUM(AG11:AG14)/COUNTIF(AG11:AG14,"&gt;0"),2),0)</f>
        <v>0</v>
      </c>
      <c r="AH15" s="116" t="s">
        <v>345</v>
      </c>
      <c r="AI15" s="116">
        <v>29.7</v>
      </c>
      <c r="AJ15" s="116">
        <v>35.9</v>
      </c>
      <c r="AK15" s="116">
        <v>35.7</v>
      </c>
      <c r="AL15" s="116">
        <v>36.1</v>
      </c>
      <c r="AM15" s="116">
        <v>34.9</v>
      </c>
      <c r="AN15" s="130">
        <v>31.6</v>
      </c>
      <c r="AO15" s="258">
        <v>28.7</v>
      </c>
      <c r="AP15" s="258">
        <v>26.8</v>
      </c>
      <c r="AQ15" s="258">
        <v>30.9</v>
      </c>
      <c r="AR15" s="131">
        <v>28.1</v>
      </c>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row>
    <row r="16" spans="1:84" ht="18" customHeight="1">
      <c r="A16" s="114"/>
      <c r="B16" s="660" t="s">
        <v>287</v>
      </c>
      <c r="C16" s="660"/>
      <c r="D16" s="660"/>
      <c r="E16" s="660"/>
      <c r="F16" s="707">
        <f>IF(Typ_vozidla="","",Typ_vozidla)</f>
      </c>
      <c r="G16" s="707"/>
      <c r="H16" s="707"/>
      <c r="I16" s="707"/>
      <c r="J16" s="707"/>
      <c r="K16" s="707"/>
      <c r="L16" s="707"/>
      <c r="M16" s="707"/>
      <c r="N16" s="707"/>
      <c r="O16" s="707"/>
      <c r="P16" s="707"/>
      <c r="Q16" s="707"/>
      <c r="R16" s="707"/>
      <c r="S16" s="699" t="s">
        <v>288</v>
      </c>
      <c r="T16" s="699"/>
      <c r="U16" s="699"/>
      <c r="V16" s="699"/>
      <c r="W16" s="699"/>
      <c r="X16" s="709" t="str">
        <f>IF(palivo="","",palivo)</f>
        <v>BA 95 Super</v>
      </c>
      <c r="Y16" s="709"/>
      <c r="Z16" s="709"/>
      <c r="AA16" s="709"/>
      <c r="AB16" s="134"/>
      <c r="AC16" s="114"/>
      <c r="AD16" s="250">
        <v>1</v>
      </c>
      <c r="AF16" s="135" t="s">
        <v>310</v>
      </c>
      <c r="AG16" s="41"/>
      <c r="AH16" s="116" t="s">
        <v>346</v>
      </c>
      <c r="AI16" s="116">
        <v>33</v>
      </c>
      <c r="AJ16" s="116">
        <v>38.3</v>
      </c>
      <c r="AK16" s="116">
        <v>37.9</v>
      </c>
      <c r="AL16" s="116">
        <v>38.6</v>
      </c>
      <c r="AM16" s="116">
        <v>36.8</v>
      </c>
      <c r="AN16" s="130">
        <v>33.4</v>
      </c>
      <c r="AO16" s="258">
        <v>30.7</v>
      </c>
      <c r="AP16" s="258">
        <v>29</v>
      </c>
      <c r="AQ16" s="258">
        <v>33.1</v>
      </c>
      <c r="AR16" s="131">
        <v>31.1</v>
      </c>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row>
    <row r="17" spans="1:84" ht="18" customHeight="1">
      <c r="A17" s="114"/>
      <c r="B17" s="660" t="s">
        <v>433</v>
      </c>
      <c r="C17" s="660"/>
      <c r="D17" s="660"/>
      <c r="E17" s="660"/>
      <c r="F17" s="660"/>
      <c r="G17" s="660"/>
      <c r="H17" s="660"/>
      <c r="I17" s="660"/>
      <c r="J17" s="660"/>
      <c r="K17" s="660"/>
      <c r="L17" s="660"/>
      <c r="M17" s="660"/>
      <c r="N17" s="694">
        <f>IF((norm_spotr)=0,"",norm_spotr)</f>
      </c>
      <c r="O17" s="694"/>
      <c r="P17" s="694"/>
      <c r="Q17" s="694"/>
      <c r="R17" s="694"/>
      <c r="S17" s="694"/>
      <c r="T17" s="694"/>
      <c r="U17" s="694"/>
      <c r="V17" s="694"/>
      <c r="W17" s="694"/>
      <c r="X17" s="694"/>
      <c r="Y17" s="694"/>
      <c r="Z17" s="694"/>
      <c r="AA17" s="694"/>
      <c r="AB17" s="136"/>
      <c r="AC17" s="114"/>
      <c r="AD17" s="250"/>
      <c r="AF17" s="137" t="s">
        <v>291</v>
      </c>
      <c r="AG17" s="46"/>
      <c r="AH17" s="116" t="s">
        <v>347</v>
      </c>
      <c r="AI17" s="116">
        <v>29.5</v>
      </c>
      <c r="AJ17" s="116">
        <v>36.1</v>
      </c>
      <c r="AK17" s="116">
        <v>36</v>
      </c>
      <c r="AL17" s="116">
        <v>36.5</v>
      </c>
      <c r="AM17" s="116">
        <v>34.7</v>
      </c>
      <c r="AN17" s="130">
        <v>30.8</v>
      </c>
      <c r="AO17" s="258">
        <v>27.2</v>
      </c>
      <c r="AP17" s="258">
        <v>28.5</v>
      </c>
      <c r="AQ17" s="258">
        <v>31.2</v>
      </c>
      <c r="AR17" s="131">
        <v>28.1</v>
      </c>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row>
    <row r="18" spans="1:84" ht="18" customHeight="1">
      <c r="A18" s="114"/>
      <c r="B18" s="660" t="s">
        <v>289</v>
      </c>
      <c r="C18" s="660"/>
      <c r="D18" s="660"/>
      <c r="E18" s="660"/>
      <c r="F18" s="695">
        <f>IF(SPZ="","",SPZ)</f>
      </c>
      <c r="G18" s="695"/>
      <c r="H18" s="695"/>
      <c r="I18" s="695"/>
      <c r="J18" s="695"/>
      <c r="K18" s="695"/>
      <c r="L18" s="695"/>
      <c r="M18" s="695"/>
      <c r="N18" s="695"/>
      <c r="O18" s="695"/>
      <c r="P18" s="695"/>
      <c r="Q18" s="695"/>
      <c r="R18" s="695"/>
      <c r="S18" s="695"/>
      <c r="T18" s="695"/>
      <c r="U18" s="695"/>
      <c r="V18" s="695"/>
      <c r="W18" s="695"/>
      <c r="X18" s="695"/>
      <c r="Y18" s="695"/>
      <c r="Z18" s="695"/>
      <c r="AA18" s="695"/>
      <c r="AB18" s="138"/>
      <c r="AC18" s="114"/>
      <c r="AD18" s="251" t="s">
        <v>425</v>
      </c>
      <c r="AE18" s="139"/>
      <c r="AF18" s="140" t="s">
        <v>311</v>
      </c>
      <c r="AG18" s="41"/>
      <c r="AH18" s="141"/>
      <c r="AI18" s="141"/>
      <c r="AJ18" s="141"/>
      <c r="AK18" s="141"/>
      <c r="AL18" s="141"/>
      <c r="AM18" s="141"/>
      <c r="AN18" s="141"/>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row>
    <row r="19" spans="1:84" ht="18" customHeight="1">
      <c r="A19" s="114"/>
      <c r="B19" s="660" t="s">
        <v>290</v>
      </c>
      <c r="C19" s="660"/>
      <c r="D19" s="660"/>
      <c r="E19" s="660"/>
      <c r="F19" s="660"/>
      <c r="G19" s="660"/>
      <c r="H19" s="660"/>
      <c r="I19" s="660"/>
      <c r="J19" s="697">
        <f>IF(pojCS="","",pojCS)</f>
      </c>
      <c r="K19" s="697"/>
      <c r="L19" s="697"/>
      <c r="M19" s="697"/>
      <c r="N19" s="697"/>
      <c r="O19" s="697"/>
      <c r="P19" s="697"/>
      <c r="Q19" s="697"/>
      <c r="R19" s="738" t="s">
        <v>291</v>
      </c>
      <c r="S19" s="738"/>
      <c r="T19" s="738"/>
      <c r="U19" s="738"/>
      <c r="V19" s="703">
        <f>IF(CSdo="","",CSdo)</f>
      </c>
      <c r="W19" s="736"/>
      <c r="X19" s="736"/>
      <c r="Y19" s="736"/>
      <c r="Z19" s="736"/>
      <c r="AA19" s="736"/>
      <c r="AB19" s="120"/>
      <c r="AC19" s="114"/>
      <c r="AD19" s="251" t="s">
        <v>426</v>
      </c>
      <c r="AE19" s="139"/>
      <c r="AF19" s="143" t="s">
        <v>312</v>
      </c>
      <c r="AG19" s="46"/>
      <c r="AH19" s="141"/>
      <c r="AI19" s="141"/>
      <c r="AJ19" s="141"/>
      <c r="AK19" s="141"/>
      <c r="AL19" s="141"/>
      <c r="AM19" s="141"/>
      <c r="AN19" s="141"/>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row>
    <row r="20" spans="1:84" ht="18" customHeight="1" thickBot="1">
      <c r="A20" s="114"/>
      <c r="B20" s="660" t="s">
        <v>292</v>
      </c>
      <c r="C20" s="660"/>
      <c r="D20" s="660"/>
      <c r="E20" s="660"/>
      <c r="F20" s="660"/>
      <c r="G20" s="660"/>
      <c r="H20" s="660"/>
      <c r="I20" s="660"/>
      <c r="J20" s="697">
        <f>IF(pojEU="","",pojEU)</f>
      </c>
      <c r="K20" s="697"/>
      <c r="L20" s="697"/>
      <c r="M20" s="697"/>
      <c r="N20" s="697"/>
      <c r="O20" s="697"/>
      <c r="P20" s="697"/>
      <c r="Q20" s="697"/>
      <c r="R20" s="698" t="s">
        <v>291</v>
      </c>
      <c r="S20" s="698"/>
      <c r="T20" s="698"/>
      <c r="U20" s="698"/>
      <c r="V20" s="703">
        <f>IF(EUdo="","",EUdo)</f>
      </c>
      <c r="W20" s="697"/>
      <c r="X20" s="697"/>
      <c r="Y20" s="697"/>
      <c r="Z20" s="697"/>
      <c r="AA20" s="697"/>
      <c r="AB20" s="120"/>
      <c r="AC20" s="114"/>
      <c r="AD20" s="250">
        <v>1</v>
      </c>
      <c r="AF20" s="144" t="s">
        <v>314</v>
      </c>
      <c r="AG20" s="45">
        <v>3.8</v>
      </c>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row>
    <row r="21" spans="1:84" ht="18" customHeight="1">
      <c r="A21" s="114"/>
      <c r="B21" s="660" t="s">
        <v>293</v>
      </c>
      <c r="C21" s="660"/>
      <c r="D21" s="660"/>
      <c r="E21" s="660"/>
      <c r="F21" s="660"/>
      <c r="G21" s="721">
        <f>IF(Spolucest="","",Spolucest)</f>
      </c>
      <c r="H21" s="721"/>
      <c r="I21" s="721"/>
      <c r="J21" s="721"/>
      <c r="K21" s="721"/>
      <c r="L21" s="721"/>
      <c r="M21" s="721"/>
      <c r="N21" s="721"/>
      <c r="O21" s="721"/>
      <c r="P21" s="721"/>
      <c r="Q21" s="721"/>
      <c r="R21" s="721"/>
      <c r="S21" s="721"/>
      <c r="T21" s="721"/>
      <c r="U21" s="721"/>
      <c r="V21" s="721"/>
      <c r="W21" s="721"/>
      <c r="X21" s="721"/>
      <c r="Y21" s="721"/>
      <c r="Z21" s="721"/>
      <c r="AA21" s="721"/>
      <c r="AB21" s="129"/>
      <c r="AC21" s="114"/>
      <c r="AD21" s="250"/>
      <c r="AF21" s="640"/>
      <c r="AG21" s="640"/>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row>
    <row r="22" spans="1:84" ht="18" customHeight="1">
      <c r="A22" s="114"/>
      <c r="B22" s="660" t="s">
        <v>294</v>
      </c>
      <c r="C22" s="660"/>
      <c r="D22" s="660"/>
      <c r="E22" s="660"/>
      <c r="F22" s="660"/>
      <c r="G22" s="660"/>
      <c r="H22" s="660"/>
      <c r="I22" s="660"/>
      <c r="J22" s="724"/>
      <c r="K22" s="724"/>
      <c r="L22" s="724"/>
      <c r="M22" s="724"/>
      <c r="N22" s="724"/>
      <c r="O22" s="724"/>
      <c r="P22" s="724"/>
      <c r="Q22" s="724"/>
      <c r="R22" s="724"/>
      <c r="S22" s="724"/>
      <c r="T22" s="724"/>
      <c r="U22" s="724"/>
      <c r="V22" s="724"/>
      <c r="W22" s="724"/>
      <c r="X22" s="724"/>
      <c r="Y22" s="724"/>
      <c r="Z22" s="724"/>
      <c r="AA22" s="724"/>
      <c r="AB22" s="129"/>
      <c r="AC22" s="114"/>
      <c r="AD22" s="115"/>
      <c r="AF22" s="702"/>
      <c r="AG22" s="702"/>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row>
    <row r="23" spans="1:84" ht="15" customHeight="1">
      <c r="A23" s="114"/>
      <c r="B23" s="722"/>
      <c r="C23" s="722"/>
      <c r="D23" s="722"/>
      <c r="E23" s="722"/>
      <c r="F23" s="722"/>
      <c r="G23" s="722"/>
      <c r="H23" s="722"/>
      <c r="I23" s="722"/>
      <c r="J23" s="696"/>
      <c r="K23" s="696"/>
      <c r="L23" s="696"/>
      <c r="M23" s="696"/>
      <c r="N23" s="696"/>
      <c r="O23" s="696"/>
      <c r="P23" s="696"/>
      <c r="Q23" s="696"/>
      <c r="R23" s="696"/>
      <c r="S23" s="696"/>
      <c r="T23" s="696"/>
      <c r="U23" s="696"/>
      <c r="V23" s="696"/>
      <c r="W23" s="696"/>
      <c r="X23" s="696"/>
      <c r="Y23" s="696"/>
      <c r="Z23" s="696"/>
      <c r="AA23" s="696"/>
      <c r="AB23" s="134"/>
      <c r="AC23" s="114"/>
      <c r="AD23" s="115"/>
      <c r="AF23" s="700"/>
      <c r="AG23" s="701"/>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row>
    <row r="24" spans="1:84" ht="30" customHeight="1">
      <c r="A24" s="114"/>
      <c r="B24" s="737" t="s">
        <v>295</v>
      </c>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145"/>
      <c r="AC24" s="114"/>
      <c r="AD24" s="115"/>
      <c r="AF24" s="634"/>
      <c r="AG24" s="634"/>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row>
    <row r="25" spans="1:84" ht="37.5" customHeight="1">
      <c r="A25" s="114"/>
      <c r="B25" s="642" t="s">
        <v>431</v>
      </c>
      <c r="C25" s="642"/>
      <c r="D25" s="642"/>
      <c r="E25" s="642"/>
      <c r="F25" s="643"/>
      <c r="G25" s="643"/>
      <c r="H25" s="643"/>
      <c r="I25" s="643"/>
      <c r="J25" s="643"/>
      <c r="K25" s="643"/>
      <c r="L25" s="643"/>
      <c r="M25" s="643"/>
      <c r="N25" s="643"/>
      <c r="O25" s="643"/>
      <c r="P25" s="643"/>
      <c r="Q25" s="643"/>
      <c r="R25" s="643"/>
      <c r="S25" s="643"/>
      <c r="T25" s="643"/>
      <c r="U25" s="643"/>
      <c r="V25" s="643"/>
      <c r="W25" s="643"/>
      <c r="X25" s="643"/>
      <c r="Y25" s="643"/>
      <c r="Z25" s="643"/>
      <c r="AA25" s="643"/>
      <c r="AB25" s="145"/>
      <c r="AC25" s="114"/>
      <c r="AD25" s="115"/>
      <c r="AF25" s="634"/>
      <c r="AG25" s="634"/>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row>
    <row r="26" spans="1:84" ht="17.25" customHeight="1">
      <c r="A26" s="114"/>
      <c r="B26" s="660" t="str">
        <f>CONCATENATE("Dále prohlašuji, že silniční daň z vozidla použitého k pracovní cestě ",INDEX($AD$14:$AD$15,$AD$16)," zaplacena")</f>
        <v>Dále prohlašuji, že silniční daň z vozidla použitého k pracovní cestě nebyla zaplacena</v>
      </c>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60"/>
      <c r="AB26" s="146"/>
      <c r="AC26" s="147" t="s">
        <v>296</v>
      </c>
      <c r="AD26" s="115"/>
      <c r="AF26" s="634"/>
      <c r="AG26" s="634"/>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row>
    <row r="27" spans="1:84" ht="23.25" customHeight="1">
      <c r="A27" s="114"/>
      <c r="B27" s="723" t="s">
        <v>297</v>
      </c>
      <c r="C27" s="723"/>
      <c r="D27" s="723"/>
      <c r="E27" s="745"/>
      <c r="F27" s="745"/>
      <c r="G27" s="745"/>
      <c r="H27" s="745"/>
      <c r="I27" s="745"/>
      <c r="J27" s="634"/>
      <c r="K27" s="634"/>
      <c r="L27" s="634"/>
      <c r="M27" s="653" t="s">
        <v>298</v>
      </c>
      <c r="N27" s="653"/>
      <c r="O27" s="653"/>
      <c r="P27" s="653"/>
      <c r="Q27" s="653"/>
      <c r="R27" s="652"/>
      <c r="S27" s="652"/>
      <c r="T27" s="652"/>
      <c r="U27" s="652"/>
      <c r="V27" s="652"/>
      <c r="W27" s="652"/>
      <c r="X27" s="652"/>
      <c r="Y27" s="652"/>
      <c r="Z27" s="652"/>
      <c r="AA27" s="652"/>
      <c r="AB27" s="148"/>
      <c r="AC27" s="147"/>
      <c r="AD27" s="115"/>
      <c r="AF27" s="634"/>
      <c r="AG27" s="634"/>
      <c r="AH27" s="116"/>
      <c r="AI27" s="116"/>
      <c r="AJ27" s="116"/>
      <c r="AK27" s="116"/>
      <c r="AL27" s="116"/>
      <c r="AM27" s="116"/>
      <c r="AN27" s="116"/>
      <c r="AO27" s="116"/>
      <c r="AP27" s="116"/>
      <c r="AQ27" s="116"/>
      <c r="AR27" s="116"/>
      <c r="AS27" s="397"/>
      <c r="AT27" s="39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row>
    <row r="28" spans="1:84" ht="14.25" customHeight="1">
      <c r="A28" s="114"/>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129"/>
      <c r="AC28" s="114"/>
      <c r="AD28" s="115"/>
      <c r="AF28" s="634"/>
      <c r="AG28" s="634"/>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row>
    <row r="29" spans="1:84" ht="14.25" customHeight="1">
      <c r="A29" s="114"/>
      <c r="B29" s="720"/>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149"/>
      <c r="AC29" s="114"/>
      <c r="AD29" s="115"/>
      <c r="AF29" s="645"/>
      <c r="AG29" s="645"/>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row>
    <row r="30" spans="1:84" ht="11.25">
      <c r="A30" s="114"/>
      <c r="B30" s="642" t="s">
        <v>299</v>
      </c>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149"/>
      <c r="AC30" s="114"/>
      <c r="AD30" s="115"/>
      <c r="AF30" s="634"/>
      <c r="AG30" s="634"/>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row>
    <row r="31" spans="1:84" ht="15" customHeight="1">
      <c r="A31" s="114"/>
      <c r="B31" s="670" t="s">
        <v>300</v>
      </c>
      <c r="C31" s="670"/>
      <c r="D31" s="670"/>
      <c r="E31" s="670"/>
      <c r="F31" s="670"/>
      <c r="G31" s="670"/>
      <c r="H31" s="741"/>
      <c r="I31" s="741"/>
      <c r="J31" s="741"/>
      <c r="K31" s="741"/>
      <c r="L31" s="741"/>
      <c r="M31" s="741"/>
      <c r="N31" s="634"/>
      <c r="O31" s="634"/>
      <c r="P31" s="634"/>
      <c r="Q31" s="634"/>
      <c r="R31" s="634"/>
      <c r="S31" s="634"/>
      <c r="T31" s="634"/>
      <c r="U31" s="634"/>
      <c r="V31" s="634"/>
      <c r="W31" s="634"/>
      <c r="X31" s="634"/>
      <c r="Y31" s="634"/>
      <c r="Z31" s="634"/>
      <c r="AA31" s="634"/>
      <c r="AB31" s="128"/>
      <c r="AC31" s="114"/>
      <c r="AD31" s="115"/>
      <c r="AF31" s="645"/>
      <c r="AG31" s="645"/>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row>
    <row r="32" spans="1:84" ht="15" customHeight="1" thickBot="1">
      <c r="A32" s="114"/>
      <c r="B32" s="643"/>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114"/>
      <c r="AC32" s="114"/>
      <c r="AD32" s="115"/>
      <c r="AF32" s="645"/>
      <c r="AG32" s="645"/>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row>
    <row r="33" spans="1:84" ht="15" customHeight="1" thickBot="1">
      <c r="A33" s="114"/>
      <c r="B33" s="664"/>
      <c r="C33" s="664"/>
      <c r="D33" s="664"/>
      <c r="E33" s="664"/>
      <c r="F33" s="664"/>
      <c r="G33" s="664"/>
      <c r="H33" s="664"/>
      <c r="I33" s="665"/>
      <c r="J33" s="668" t="s">
        <v>40</v>
      </c>
      <c r="K33" s="669"/>
      <c r="L33" s="666" t="s">
        <v>9</v>
      </c>
      <c r="M33" s="666"/>
      <c r="N33" s="666"/>
      <c r="O33" s="666"/>
      <c r="P33" s="667"/>
      <c r="Q33" s="667"/>
      <c r="R33" s="667"/>
      <c r="S33" s="667"/>
      <c r="T33" s="667"/>
      <c r="U33" s="667"/>
      <c r="V33" s="667"/>
      <c r="W33" s="667"/>
      <c r="X33" s="704"/>
      <c r="Y33" s="705"/>
      <c r="Z33" s="705"/>
      <c r="AA33" s="706"/>
      <c r="AB33" s="149"/>
      <c r="AC33" s="114"/>
      <c r="AD33" s="115"/>
      <c r="AF33" s="651"/>
      <c r="AG33" s="651"/>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row>
    <row r="34" spans="1:84" s="155" customFormat="1" ht="17.25" customHeight="1">
      <c r="A34" s="150"/>
      <c r="B34" s="151" t="s">
        <v>301</v>
      </c>
      <c r="C34" s="718" t="s">
        <v>302</v>
      </c>
      <c r="D34" s="718"/>
      <c r="E34" s="718"/>
      <c r="F34" s="718"/>
      <c r="G34" s="718"/>
      <c r="H34" s="718"/>
      <c r="I34" s="718"/>
      <c r="J34" s="718"/>
      <c r="K34" s="719"/>
      <c r="L34" s="714"/>
      <c r="M34" s="714"/>
      <c r="N34" s="714"/>
      <c r="O34" s="714"/>
      <c r="P34" s="714"/>
      <c r="Q34" s="714"/>
      <c r="R34" s="714"/>
      <c r="S34" s="714"/>
      <c r="T34" s="714"/>
      <c r="U34" s="714"/>
      <c r="V34" s="714"/>
      <c r="W34" s="714"/>
      <c r="X34" s="714"/>
      <c r="Y34" s="714"/>
      <c r="Z34" s="714"/>
      <c r="AA34" s="742"/>
      <c r="AB34" s="152"/>
      <c r="AC34" s="150"/>
      <c r="AD34" s="153"/>
      <c r="AE34" s="154"/>
      <c r="AF34" s="651"/>
      <c r="AG34" s="651"/>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row>
    <row r="35" spans="1:84" s="155" customFormat="1" ht="17.25" customHeight="1">
      <c r="A35" s="150"/>
      <c r="B35" s="156" t="s">
        <v>303</v>
      </c>
      <c r="C35" s="684" t="s">
        <v>304</v>
      </c>
      <c r="D35" s="684"/>
      <c r="E35" s="684"/>
      <c r="F35" s="684"/>
      <c r="G35" s="684"/>
      <c r="H35" s="684"/>
      <c r="I35" s="684"/>
      <c r="J35" s="684"/>
      <c r="K35" s="685"/>
      <c r="L35" s="716">
        <f>IF(L34=0,0,$N$17)</f>
        <v>0</v>
      </c>
      <c r="M35" s="716"/>
      <c r="N35" s="716"/>
      <c r="O35" s="716"/>
      <c r="P35" s="671">
        <f>IF(P34=0,"",$N$17)</f>
      </c>
      <c r="Q35" s="671"/>
      <c r="R35" s="671"/>
      <c r="S35" s="671"/>
      <c r="T35" s="671">
        <f>IF(T34=0,"",$N$17)</f>
      </c>
      <c r="U35" s="671"/>
      <c r="V35" s="671"/>
      <c r="W35" s="671"/>
      <c r="X35" s="671">
        <f>IF(X34=0,"",$N$17)</f>
      </c>
      <c r="Y35" s="671"/>
      <c r="Z35" s="671"/>
      <c r="AA35" s="729"/>
      <c r="AB35" s="152"/>
      <c r="AC35" s="150"/>
      <c r="AD35" s="153"/>
      <c r="AE35" s="154"/>
      <c r="AF35" s="651"/>
      <c r="AG35" s="651"/>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row>
    <row r="36" spans="1:84" s="155" customFormat="1" ht="17.25" customHeight="1">
      <c r="A36" s="150"/>
      <c r="B36" s="156" t="s">
        <v>305</v>
      </c>
      <c r="C36" s="684" t="s">
        <v>10</v>
      </c>
      <c r="D36" s="684"/>
      <c r="E36" s="684"/>
      <c r="F36" s="684"/>
      <c r="G36" s="684"/>
      <c r="H36" s="684"/>
      <c r="I36" s="684"/>
      <c r="J36" s="684"/>
      <c r="K36" s="685"/>
      <c r="L36" s="717"/>
      <c r="M36" s="717"/>
      <c r="N36" s="717"/>
      <c r="O36" s="717"/>
      <c r="P36" s="733"/>
      <c r="Q36" s="733"/>
      <c r="R36" s="733"/>
      <c r="S36" s="733"/>
      <c r="T36" s="715"/>
      <c r="U36" s="715"/>
      <c r="V36" s="715"/>
      <c r="W36" s="715"/>
      <c r="X36" s="715"/>
      <c r="Y36" s="715"/>
      <c r="Z36" s="715"/>
      <c r="AA36" s="734"/>
      <c r="AB36" s="152"/>
      <c r="AC36" s="150"/>
      <c r="AD36" s="153"/>
      <c r="AE36" s="154"/>
      <c r="AF36" s="651"/>
      <c r="AG36" s="651"/>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row>
    <row r="37" spans="1:84" s="155" customFormat="1" ht="17.25" customHeight="1">
      <c r="A37" s="150"/>
      <c r="B37" s="157" t="s">
        <v>306</v>
      </c>
      <c r="C37" s="692" t="s">
        <v>315</v>
      </c>
      <c r="D37" s="692"/>
      <c r="E37" s="692"/>
      <c r="F37" s="692"/>
      <c r="G37" s="692"/>
      <c r="H37" s="692"/>
      <c r="I37" s="692"/>
      <c r="J37" s="692"/>
      <c r="K37" s="693"/>
      <c r="L37" s="726">
        <f>IF($AD$20=1,IF(ISERR(ROUND(L34*L35*L36/100,2)),0,ROUND(L34*L35*L36/100,2)),0)</f>
        <v>0</v>
      </c>
      <c r="M37" s="727"/>
      <c r="N37" s="727"/>
      <c r="O37" s="728"/>
      <c r="P37" s="686">
        <f>IF($AD$20=1,IF(ISERROR(ROUND(P34*P35*P36/100,2)),"",ROUND(P34*P35*P36/100,2)),"")</f>
      </c>
      <c r="Q37" s="687"/>
      <c r="R37" s="687"/>
      <c r="S37" s="725"/>
      <c r="T37" s="686">
        <f>IF($AD$20=1,IF(ISERR(ROUND(T34*T35*T36/100,2)),"",ROUND(T34*T35*T36/100,2)),"")</f>
      </c>
      <c r="U37" s="687"/>
      <c r="V37" s="687"/>
      <c r="W37" s="725"/>
      <c r="X37" s="686">
        <f>IF($AD$20=1,IF(ISERR(ROUND(X34*X35*X36/100,2)),"",ROUND(X34*X35*X36/100,2)),"")</f>
      </c>
      <c r="Y37" s="687"/>
      <c r="Z37" s="687"/>
      <c r="AA37" s="688"/>
      <c r="AB37" s="152"/>
      <c r="AC37" s="150"/>
      <c r="AD37" s="153"/>
      <c r="AE37" s="154"/>
      <c r="AF37" s="651"/>
      <c r="AG37" s="651"/>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row>
    <row r="38" spans="1:84" s="155" customFormat="1" ht="17.25" customHeight="1" thickBot="1">
      <c r="A38" s="150"/>
      <c r="B38" s="158" t="s">
        <v>318</v>
      </c>
      <c r="C38" s="689" t="s">
        <v>317</v>
      </c>
      <c r="D38" s="690"/>
      <c r="E38" s="690"/>
      <c r="F38" s="690"/>
      <c r="G38" s="690"/>
      <c r="H38" s="690"/>
      <c r="I38" s="690"/>
      <c r="J38" s="690"/>
      <c r="K38" s="691"/>
      <c r="L38" s="730">
        <f>IF(AD20=1,SUM(L34:AA34)*sazba_za_km,0)</f>
        <v>0</v>
      </c>
      <c r="M38" s="731"/>
      <c r="N38" s="731"/>
      <c r="O38" s="732"/>
      <c r="P38" s="681"/>
      <c r="Q38" s="682"/>
      <c r="R38" s="682"/>
      <c r="S38" s="682"/>
      <c r="T38" s="682"/>
      <c r="U38" s="682"/>
      <c r="V38" s="682"/>
      <c r="W38" s="682"/>
      <c r="X38" s="682"/>
      <c r="Y38" s="682"/>
      <c r="Z38" s="682"/>
      <c r="AA38" s="683"/>
      <c r="AB38" s="159"/>
      <c r="AC38" s="150"/>
      <c r="AD38" s="153"/>
      <c r="AE38" s="154"/>
      <c r="AF38" s="651"/>
      <c r="AG38" s="651"/>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row>
    <row r="39" spans="1:84" s="155" customFormat="1" ht="17.25" customHeight="1" thickBot="1">
      <c r="A39" s="150"/>
      <c r="B39" s="160" t="s">
        <v>319</v>
      </c>
      <c r="C39" s="679" t="s">
        <v>316</v>
      </c>
      <c r="D39" s="680"/>
      <c r="E39" s="680"/>
      <c r="F39" s="680"/>
      <c r="G39" s="680"/>
      <c r="H39" s="680"/>
      <c r="I39" s="680"/>
      <c r="J39" s="680"/>
      <c r="K39" s="680"/>
      <c r="L39" s="672">
        <f>IF($AD$20=1,IF(ISERR(L37+L38),0,ROUND(L37+L38,2)),X9)</f>
        <v>0</v>
      </c>
      <c r="M39" s="672"/>
      <c r="N39" s="672"/>
      <c r="O39" s="672"/>
      <c r="P39" s="673">
        <f>IF(AND($AD$20=1,za_PHM_2&lt;&gt;""),CONCATENATE(P37," ",mena_2),"")</f>
      </c>
      <c r="Q39" s="673"/>
      <c r="R39" s="673"/>
      <c r="S39" s="673"/>
      <c r="T39" s="673">
        <f>IF(AND($AD$20=1,za_PHM_3&lt;&gt;""),CONCATENATE(T37," ",mena_3),"")</f>
      </c>
      <c r="U39" s="673"/>
      <c r="V39" s="673"/>
      <c r="W39" s="673"/>
      <c r="X39" s="673">
        <f>IF(AND($AD$20=1,za_PHM_4&lt;&gt;""),CONCATENATE(X37," ",mena_4),"")</f>
      </c>
      <c r="Y39" s="673"/>
      <c r="Z39" s="673"/>
      <c r="AA39" s="673"/>
      <c r="AB39" s="161"/>
      <c r="AC39" s="150"/>
      <c r="AD39" s="153"/>
      <c r="AE39" s="154"/>
      <c r="AF39" s="651"/>
      <c r="AG39" s="651"/>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row>
    <row r="40" spans="1:84" s="155" customFormat="1" ht="19.5" customHeight="1">
      <c r="A40" s="150"/>
      <c r="B40" s="662" t="s">
        <v>323</v>
      </c>
      <c r="C40" s="662"/>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161"/>
      <c r="AC40" s="150"/>
      <c r="AD40" s="153"/>
      <c r="AE40" s="154"/>
      <c r="AF40" s="644"/>
      <c r="AG40" s="64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row>
    <row r="41" spans="1:84" ht="11.25" customHeight="1">
      <c r="A41" s="114"/>
      <c r="B41" s="661" t="s">
        <v>454</v>
      </c>
      <c r="C41" s="661"/>
      <c r="D41" s="661"/>
      <c r="E41" s="661"/>
      <c r="F41" s="661"/>
      <c r="G41" s="661"/>
      <c r="H41" s="661"/>
      <c r="I41" s="661"/>
      <c r="AB41" s="149"/>
      <c r="AC41" s="114"/>
      <c r="AD41" s="115"/>
      <c r="AF41" s="644"/>
      <c r="AG41" s="644"/>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row>
    <row r="42" spans="1:84" ht="12.75" customHeight="1">
      <c r="A42" s="114"/>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162"/>
      <c r="AC42" s="114"/>
      <c r="AD42" s="115"/>
      <c r="AF42" s="644"/>
      <c r="AG42" s="644"/>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row>
    <row r="43" spans="1:84" ht="14.25" customHeight="1">
      <c r="A43" s="114"/>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14"/>
      <c r="AD43" s="115"/>
      <c r="AF43" s="644"/>
      <c r="AG43" s="644"/>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row>
    <row r="44" spans="1:84" ht="41.25" customHeight="1">
      <c r="A44" s="114"/>
      <c r="B44" s="663"/>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162"/>
      <c r="AC44" s="114"/>
      <c r="AD44" s="115"/>
      <c r="AF44" s="644"/>
      <c r="AG44" s="644"/>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row>
    <row r="45" spans="1:84" s="155" customFormat="1" ht="12"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53"/>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row>
    <row r="46" spans="1:84" ht="11.2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5"/>
      <c r="AF46" s="154"/>
      <c r="AG46" s="154"/>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row>
    <row r="47" spans="1:84" ht="11.2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5"/>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row>
    <row r="48" spans="1:84" ht="11.2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5"/>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row>
    <row r="49" spans="1:84" ht="11.2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5"/>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row>
    <row r="50" spans="1:84" ht="11.2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5"/>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row>
    <row r="51" spans="1:84" ht="11.2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5"/>
      <c r="AF51" s="154"/>
      <c r="AG51" s="154"/>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row>
    <row r="52" spans="1:84" ht="11.2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5"/>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row>
    <row r="53" spans="1:84" ht="11.2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5"/>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row>
    <row r="54" spans="1:84" ht="11.2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5"/>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row>
    <row r="55" spans="1:84" ht="11.2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5"/>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row>
    <row r="56" spans="1:84" ht="11.2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5"/>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row>
    <row r="57" spans="1:84" ht="11.2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5"/>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row>
    <row r="58" spans="1:84" ht="11.2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5"/>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row>
    <row r="59" spans="1:84" ht="11.2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5"/>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row>
    <row r="60" spans="1:84" ht="11.2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5"/>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row>
    <row r="61" spans="1:84" ht="11.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5"/>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row>
    <row r="62" spans="1:84" ht="11.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5"/>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row>
    <row r="63" spans="1:84" ht="11.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5"/>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row>
    <row r="64" spans="1:84" ht="11.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5"/>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row>
    <row r="65" spans="1:84" ht="11.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5"/>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row>
    <row r="66" spans="1:84" ht="11.2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5"/>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row>
    <row r="67" spans="1:84" ht="11.2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5"/>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row>
    <row r="68" spans="1:84" ht="11.25">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5"/>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row>
    <row r="69" spans="1:84" ht="11.25">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5"/>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row>
    <row r="70" spans="1:84" ht="11.25">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5"/>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row>
    <row r="71" spans="1:84" ht="11.25">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5"/>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row>
    <row r="72" spans="1:84" ht="11.25">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5"/>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row>
    <row r="73" spans="1:84" ht="11.25">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5"/>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row>
    <row r="74" spans="1:84" ht="11.25">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5"/>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row>
    <row r="75" spans="1:84" ht="11.25">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5"/>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row>
    <row r="76" spans="1:84" ht="11.25">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5"/>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row>
    <row r="77" spans="1:84" ht="11.25">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5"/>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row>
    <row r="78" spans="1:84" ht="11.25">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5"/>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row>
    <row r="79" spans="1:84" ht="11.25">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5"/>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row>
    <row r="80" spans="1:84" ht="11.25">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5"/>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row>
    <row r="81" spans="1:84" ht="11.25">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5"/>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row>
    <row r="82" spans="1:84" ht="11.25">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5"/>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row>
    <row r="83" spans="1:84" ht="11.25">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5"/>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row>
    <row r="84" spans="1:84" ht="11.25">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5"/>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row>
    <row r="85" spans="1:84" ht="11.25">
      <c r="A85" s="116"/>
      <c r="AB85" s="116"/>
      <c r="AC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row>
    <row r="86" spans="32:84" ht="11.25">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row>
    <row r="87" spans="32:84" ht="11.25">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row>
    <row r="88" spans="32:33" ht="11.25">
      <c r="AF88" s="116"/>
      <c r="AG88" s="116"/>
    </row>
    <row r="89" spans="32:33" ht="11.25">
      <c r="AF89" s="116"/>
      <c r="AG89" s="116"/>
    </row>
    <row r="90" spans="32:33" ht="11.25">
      <c r="AF90" s="116"/>
      <c r="AG90" s="116"/>
    </row>
    <row r="91" spans="32:33" ht="11.25">
      <c r="AF91" s="116"/>
      <c r="AG91" s="116"/>
    </row>
    <row r="92" spans="32:33" ht="11.25">
      <c r="AF92" s="116"/>
      <c r="AG92" s="116"/>
    </row>
    <row r="93" spans="32:33" ht="11.25">
      <c r="AF93" s="116"/>
      <c r="AG93" s="116"/>
    </row>
  </sheetData>
  <sheetProtection sheet="1" selectLockedCells="1"/>
  <mergeCells count="134">
    <mergeCell ref="R10:AA10"/>
    <mergeCell ref="B9:W9"/>
    <mergeCell ref="B10:D10"/>
    <mergeCell ref="H31:M31"/>
    <mergeCell ref="T33:W33"/>
    <mergeCell ref="X34:AA34"/>
    <mergeCell ref="E10:I10"/>
    <mergeCell ref="J10:Q10"/>
    <mergeCell ref="T34:W34"/>
    <mergeCell ref="E27:I27"/>
    <mergeCell ref="X39:AA39"/>
    <mergeCell ref="I1:U2"/>
    <mergeCell ref="B22:I22"/>
    <mergeCell ref="V19:AA19"/>
    <mergeCell ref="B26:AA26"/>
    <mergeCell ref="B24:AA24"/>
    <mergeCell ref="R19:U19"/>
    <mergeCell ref="B19:I19"/>
    <mergeCell ref="B20:I20"/>
    <mergeCell ref="X16:AA16"/>
    <mergeCell ref="T37:W37"/>
    <mergeCell ref="L37:O37"/>
    <mergeCell ref="X35:AA35"/>
    <mergeCell ref="P37:S37"/>
    <mergeCell ref="L38:O38"/>
    <mergeCell ref="P36:S36"/>
    <mergeCell ref="X36:AA36"/>
    <mergeCell ref="B29:AA29"/>
    <mergeCell ref="G21:AA21"/>
    <mergeCell ref="B23:I23"/>
    <mergeCell ref="B27:D27"/>
    <mergeCell ref="J22:AA22"/>
    <mergeCell ref="B28:AA28"/>
    <mergeCell ref="B21:F21"/>
    <mergeCell ref="C36:K36"/>
    <mergeCell ref="P34:S34"/>
    <mergeCell ref="P35:S35"/>
    <mergeCell ref="T36:W36"/>
    <mergeCell ref="L34:O34"/>
    <mergeCell ref="L35:O35"/>
    <mergeCell ref="L36:O36"/>
    <mergeCell ref="C34:K34"/>
    <mergeCell ref="F16:R16"/>
    <mergeCell ref="J27:L27"/>
    <mergeCell ref="B6:AA6"/>
    <mergeCell ref="U15:AA15"/>
    <mergeCell ref="S15:T15"/>
    <mergeCell ref="B16:E16"/>
    <mergeCell ref="B13:I13"/>
    <mergeCell ref="B7:AA7"/>
    <mergeCell ref="B8:AA8"/>
    <mergeCell ref="X9:Z9"/>
    <mergeCell ref="S16:W16"/>
    <mergeCell ref="AF33:AG33"/>
    <mergeCell ref="AF23:AG23"/>
    <mergeCell ref="AF26:AG26"/>
    <mergeCell ref="AF27:AG27"/>
    <mergeCell ref="AF29:AG29"/>
    <mergeCell ref="AF22:AG22"/>
    <mergeCell ref="V20:AA20"/>
    <mergeCell ref="AF24:AG24"/>
    <mergeCell ref="X33:AA33"/>
    <mergeCell ref="AF25:AG25"/>
    <mergeCell ref="N17:AA17"/>
    <mergeCell ref="F18:AA18"/>
    <mergeCell ref="J23:AA23"/>
    <mergeCell ref="B17:M17"/>
    <mergeCell ref="B18:E18"/>
    <mergeCell ref="J19:Q19"/>
    <mergeCell ref="J20:Q20"/>
    <mergeCell ref="R20:U20"/>
    <mergeCell ref="AF1:AG1"/>
    <mergeCell ref="AF2:AG2"/>
    <mergeCell ref="AF4:AG4"/>
    <mergeCell ref="AF5:AG5"/>
    <mergeCell ref="C39:K39"/>
    <mergeCell ref="P38:AA38"/>
    <mergeCell ref="C35:K35"/>
    <mergeCell ref="X37:AA37"/>
    <mergeCell ref="C38:K38"/>
    <mergeCell ref="C37:K37"/>
    <mergeCell ref="AF39:AG39"/>
    <mergeCell ref="AF38:AG38"/>
    <mergeCell ref="N31:AA31"/>
    <mergeCell ref="T35:W35"/>
    <mergeCell ref="AF34:AG34"/>
    <mergeCell ref="AF35:AG35"/>
    <mergeCell ref="AF36:AG36"/>
    <mergeCell ref="L39:O39"/>
    <mergeCell ref="P39:S39"/>
    <mergeCell ref="T39:W39"/>
    <mergeCell ref="B30:AA30"/>
    <mergeCell ref="B33:I33"/>
    <mergeCell ref="B32:AA32"/>
    <mergeCell ref="L33:O33"/>
    <mergeCell ref="P33:S33"/>
    <mergeCell ref="J33:K33"/>
    <mergeCell ref="B31:G31"/>
    <mergeCell ref="AF43:AG43"/>
    <mergeCell ref="AF44:AG44"/>
    <mergeCell ref="B41:I41"/>
    <mergeCell ref="B40:AA40"/>
    <mergeCell ref="AF40:AG40"/>
    <mergeCell ref="AF41:AG41"/>
    <mergeCell ref="B44:AA44"/>
    <mergeCell ref="B12:AA12"/>
    <mergeCell ref="I15:R15"/>
    <mergeCell ref="B14:E14"/>
    <mergeCell ref="Z14:AA14"/>
    <mergeCell ref="F14:M14"/>
    <mergeCell ref="J13:AA13"/>
    <mergeCell ref="R14:Y14"/>
    <mergeCell ref="N14:Q14"/>
    <mergeCell ref="B15:H15"/>
    <mergeCell ref="N3:AA3"/>
    <mergeCell ref="N4:AA4"/>
    <mergeCell ref="E3:M4"/>
    <mergeCell ref="B5:AA5"/>
    <mergeCell ref="AF37:AG37"/>
    <mergeCell ref="AF32:AG32"/>
    <mergeCell ref="R27:AA27"/>
    <mergeCell ref="M27:Q27"/>
    <mergeCell ref="AF28:AG28"/>
    <mergeCell ref="AF30:AG30"/>
    <mergeCell ref="AF9:AF10"/>
    <mergeCell ref="AF3:AG3"/>
    <mergeCell ref="AF6:AG6"/>
    <mergeCell ref="B42:AA42"/>
    <mergeCell ref="AF11:AF14"/>
    <mergeCell ref="AF21:AG21"/>
    <mergeCell ref="B11:AA11"/>
    <mergeCell ref="B25:AA25"/>
    <mergeCell ref="AF42:AG42"/>
    <mergeCell ref="AF31:AG31"/>
  </mergeCells>
  <conditionalFormatting sqref="X9:Z9">
    <cfRule type="expression" priority="1" dxfId="1" stopIfTrue="1">
      <formula>$AD$20=1</formula>
    </cfRule>
  </conditionalFormatting>
  <dataValidations count="2">
    <dataValidation type="list" allowBlank="1" showInputMessage="1" showErrorMessage="1" promptTitle="Výběr paliva" prompt="Používané palivo vyberte z rozevíracího seznamu." error="Není možno zadat libovolnou hodnotu.&#10;Hodnotu vyberte z rozbalovacího seznamu" sqref="AG9">
      <formula1>$AH$15:$AH$17</formula1>
    </dataValidation>
    <dataValidation allowBlank="1" showInputMessage="1" showErrorMessage="1" prompt="Pokud je ve vašem technickém průkazu uvedeno označení EU nebo ES, zapište pouze do prvního pole hodnotu &quot;kombinované spotřeby&quot; (údaj za druhým lomítkem).&#10;V ostatních případech opište všechny údaje o spotřebě vašeho vozidla z technického průkazu." sqref="AG11"/>
  </dataValidations>
  <printOptions horizontalCentered="1"/>
  <pageMargins left="0.1968503937007874" right="0.1968503937007874" top="0.5905511811023622" bottom="0.5905511811023623" header="0.1968503937007874" footer="0.3937007874015748"/>
  <pageSetup blackAndWhite="1" horizontalDpi="300" verticalDpi="300" orientation="portrait" paperSize="9" r:id="rId4"/>
  <ignoredErrors>
    <ignoredError sqref="AA9"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List5">
    <tabColor indexed="21"/>
  </sheetPr>
  <dimension ref="A1:BE209"/>
  <sheetViews>
    <sheetView showGridLines="0" showRowColHeaders="0" zoomScalePageLayoutView="0" workbookViewId="0" topLeftCell="A1">
      <selection activeCell="C6" sqref="C6:E7"/>
    </sheetView>
  </sheetViews>
  <sheetFormatPr defaultColWidth="9.140625" defaultRowHeight="12.75"/>
  <cols>
    <col min="1" max="1" width="15.421875" style="1" customWidth="1"/>
    <col min="2" max="2" width="2.421875" style="1" customWidth="1"/>
    <col min="3" max="5" width="3.00390625" style="1" customWidth="1"/>
    <col min="6" max="6" width="3.7109375" style="1" customWidth="1"/>
    <col min="7" max="7" width="2.28125" style="1" customWidth="1"/>
    <col min="8" max="8" width="4.28125" style="1" customWidth="1"/>
    <col min="9" max="9" width="5.28125" style="1" customWidth="1"/>
    <col min="10" max="10" width="3.00390625" style="1" customWidth="1"/>
    <col min="11" max="11" width="2.57421875" style="1" customWidth="1"/>
    <col min="12" max="18" width="3.00390625" style="1" customWidth="1"/>
    <col min="19" max="19" width="3.140625" style="1" customWidth="1"/>
    <col min="20" max="20" width="3.28125" style="1" customWidth="1"/>
    <col min="21" max="21" width="3.57421875" style="1" customWidth="1"/>
    <col min="22" max="24" width="3.00390625" style="1" customWidth="1"/>
    <col min="25" max="25" width="2.421875" style="1" customWidth="1"/>
    <col min="26" max="26" width="3.57421875" style="1" customWidth="1"/>
    <col min="27" max="27" width="3.00390625" style="1" customWidth="1"/>
    <col min="28" max="28" width="3.421875" style="1" customWidth="1"/>
    <col min="29" max="29" width="3.57421875" style="1" customWidth="1"/>
    <col min="30" max="31" width="3.00390625" style="1" customWidth="1"/>
    <col min="32" max="32" width="2.8515625" style="1" customWidth="1"/>
    <col min="33" max="33" width="9.140625" style="1" hidden="1" customWidth="1"/>
    <col min="34" max="34" width="16.00390625" style="1" hidden="1" customWidth="1"/>
    <col min="35" max="37" width="9.140625" style="1" hidden="1" customWidth="1"/>
    <col min="38" max="38" width="9.7109375" style="1" hidden="1" customWidth="1"/>
    <col min="39" max="39" width="9.421875" style="1" hidden="1" customWidth="1"/>
    <col min="40" max="40" width="8.8515625" style="1" hidden="1" customWidth="1"/>
    <col min="41" max="41" width="9.7109375" style="1" hidden="1" customWidth="1"/>
    <col min="42" max="42" width="8.8515625" style="1" hidden="1" customWidth="1"/>
    <col min="43" max="43" width="6.28125" style="1" hidden="1" customWidth="1"/>
    <col min="44" max="44" width="9.421875" style="1" hidden="1" customWidth="1"/>
    <col min="45" max="45" width="8.28125" style="1" hidden="1" customWidth="1"/>
    <col min="46" max="46" width="8.7109375" style="1" hidden="1" customWidth="1"/>
    <col min="47" max="47" width="4.00390625" style="1" hidden="1" customWidth="1"/>
    <col min="48" max="48" width="12.00390625" style="1" hidden="1" customWidth="1"/>
    <col min="49" max="49" width="5.8515625" style="1" hidden="1" customWidth="1"/>
    <col min="50" max="50" width="5.7109375" style="1" hidden="1" customWidth="1"/>
    <col min="51" max="51" width="4.57421875" style="1" hidden="1" customWidth="1"/>
    <col min="52" max="52" width="2.140625" style="1" hidden="1" customWidth="1"/>
    <col min="53" max="53" width="20.57421875" style="1" customWidth="1"/>
    <col min="54" max="54" width="9.140625" style="1" customWidth="1"/>
    <col min="55" max="55" width="5.8515625" style="1" customWidth="1"/>
    <col min="56" max="16384" width="9.140625" style="1" customWidth="1"/>
  </cols>
  <sheetData>
    <row r="1" spans="1:53" ht="29.25" customHeight="1">
      <c r="A1" s="857"/>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c r="BA1" s="857"/>
    </row>
    <row r="2" spans="1:53" s="7" customFormat="1" ht="21" customHeight="1" thickBot="1">
      <c r="A2" s="11"/>
      <c r="B2" s="93"/>
      <c r="C2" s="1016" t="s">
        <v>248</v>
      </c>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309"/>
      <c r="AH2" s="309"/>
      <c r="AI2" s="309"/>
      <c r="AJ2" s="309"/>
      <c r="AK2" s="309"/>
      <c r="AR2" s="302"/>
      <c r="AS2" s="302"/>
      <c r="AT2" s="302"/>
      <c r="AU2" s="302"/>
      <c r="AV2" s="352" t="s">
        <v>467</v>
      </c>
      <c r="AW2" s="352" t="s">
        <v>40</v>
      </c>
      <c r="AX2" s="352" t="s">
        <v>418</v>
      </c>
      <c r="AY2" s="352" t="s">
        <v>468</v>
      </c>
      <c r="AZ2" s="302"/>
      <c r="BA2" s="11"/>
    </row>
    <row r="3" spans="1:53" ht="20.25" customHeight="1" thickBot="1">
      <c r="A3" s="10"/>
      <c r="B3" s="90"/>
      <c r="C3" s="1018" t="s">
        <v>406</v>
      </c>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9"/>
      <c r="AF3" s="1020"/>
      <c r="AG3" s="316"/>
      <c r="AH3" s="316"/>
      <c r="AI3" s="316"/>
      <c r="AJ3" s="316"/>
      <c r="AK3" s="316"/>
      <c r="AR3" s="254"/>
      <c r="AS3" s="254"/>
      <c r="AT3" s="254"/>
      <c r="AU3" s="254"/>
      <c r="AV3" s="254" t="str">
        <f>'Žádost o valuty'!Y3</f>
        <v>Afghánistán </v>
      </c>
      <c r="AW3" s="254" t="str">
        <f>'Žádost o valuty'!Z3</f>
        <v>EUR</v>
      </c>
      <c r="AX3" s="254">
        <f>'Žádost o valuty'!AA3</f>
        <v>40</v>
      </c>
      <c r="AY3" s="254">
        <v>1</v>
      </c>
      <c r="AZ3" s="254"/>
      <c r="BA3" s="10"/>
    </row>
    <row r="4" spans="1:53" ht="13.5" customHeight="1" thickBot="1">
      <c r="A4" s="10"/>
      <c r="B4" s="90"/>
      <c r="C4" s="862"/>
      <c r="D4" s="863"/>
      <c r="E4" s="863"/>
      <c r="F4" s="863"/>
      <c r="G4" s="863"/>
      <c r="H4" s="863"/>
      <c r="I4" s="863"/>
      <c r="J4" s="863"/>
      <c r="K4" s="863"/>
      <c r="L4" s="863"/>
      <c r="M4" s="863"/>
      <c r="N4" s="863"/>
      <c r="O4" s="863"/>
      <c r="P4" s="863"/>
      <c r="Q4" s="863"/>
      <c r="R4" s="863"/>
      <c r="S4" s="863"/>
      <c r="T4" s="863"/>
      <c r="U4" s="863"/>
      <c r="V4" s="863"/>
      <c r="W4" s="864"/>
      <c r="X4" s="850" t="s">
        <v>30</v>
      </c>
      <c r="Y4" s="851"/>
      <c r="Z4" s="851"/>
      <c r="AA4" s="851"/>
      <c r="AB4" s="851"/>
      <c r="AC4" s="851"/>
      <c r="AD4" s="851"/>
      <c r="AE4" s="851"/>
      <c r="AF4" s="852"/>
      <c r="AG4" s="74"/>
      <c r="AH4" s="74"/>
      <c r="AI4" s="74"/>
      <c r="AJ4" s="74"/>
      <c r="AO4" s="108"/>
      <c r="AP4" s="108"/>
      <c r="AQ4" s="108"/>
      <c r="AR4" s="254"/>
      <c r="AS4" s="254"/>
      <c r="AT4" s="254"/>
      <c r="AU4" s="254"/>
      <c r="AV4" s="254" t="str">
        <f>'Žádost o valuty'!Y4</f>
        <v>Albánie</v>
      </c>
      <c r="AW4" s="254" t="str">
        <f>'Žádost o valuty'!Z4</f>
        <v>EUR</v>
      </c>
      <c r="AX4" s="254">
        <f>'Žádost o valuty'!AA4</f>
        <v>35</v>
      </c>
      <c r="AY4" s="254">
        <v>2</v>
      </c>
      <c r="AZ4" s="255"/>
      <c r="BA4" s="10"/>
    </row>
    <row r="5" spans="1:53" s="3" customFormat="1" ht="34.5" customHeight="1" thickBot="1">
      <c r="A5" s="12"/>
      <c r="B5" s="94"/>
      <c r="C5" s="1002" t="s">
        <v>25</v>
      </c>
      <c r="D5" s="1003"/>
      <c r="E5" s="1003"/>
      <c r="F5" s="1003" t="s">
        <v>8</v>
      </c>
      <c r="G5" s="1003"/>
      <c r="H5" s="1003"/>
      <c r="I5" s="1003"/>
      <c r="J5" s="1003"/>
      <c r="K5" s="1003"/>
      <c r="L5" s="1003"/>
      <c r="M5" s="1003"/>
      <c r="N5" s="1003"/>
      <c r="O5" s="1003"/>
      <c r="P5" s="1003"/>
      <c r="Q5" s="1003" t="s">
        <v>54</v>
      </c>
      <c r="R5" s="1061"/>
      <c r="S5" s="1062" t="s">
        <v>55</v>
      </c>
      <c r="T5" s="1062"/>
      <c r="U5" s="1061" t="s">
        <v>26</v>
      </c>
      <c r="V5" s="1067"/>
      <c r="W5" s="1067"/>
      <c r="X5" s="1068" t="s">
        <v>27</v>
      </c>
      <c r="Y5" s="928"/>
      <c r="Z5" s="928"/>
      <c r="AA5" s="1021" t="s">
        <v>28</v>
      </c>
      <c r="AB5" s="1021"/>
      <c r="AC5" s="1021"/>
      <c r="AD5" s="1021" t="s">
        <v>29</v>
      </c>
      <c r="AE5" s="1021"/>
      <c r="AF5" s="1022"/>
      <c r="AG5" s="367" t="s">
        <v>26</v>
      </c>
      <c r="AH5" s="283" t="s">
        <v>477</v>
      </c>
      <c r="AI5" s="283" t="s">
        <v>475</v>
      </c>
      <c r="AJ5" s="283" t="s">
        <v>476</v>
      </c>
      <c r="AK5" s="368" t="s">
        <v>464</v>
      </c>
      <c r="AL5" s="368" t="s">
        <v>474</v>
      </c>
      <c r="AM5" s="368" t="s">
        <v>478</v>
      </c>
      <c r="AO5" s="749" t="s">
        <v>6</v>
      </c>
      <c r="AP5" s="750"/>
      <c r="AQ5" s="750"/>
      <c r="AR5" s="750"/>
      <c r="AS5" s="751"/>
      <c r="AT5" s="25"/>
      <c r="AU5" s="254"/>
      <c r="AV5" s="254" t="str">
        <f>'Žádost o valuty'!Y5</f>
        <v>Alžírsko </v>
      </c>
      <c r="AW5" s="254" t="str">
        <f>'Žádost o valuty'!Z5</f>
        <v>EUR</v>
      </c>
      <c r="AX5" s="254">
        <f>'Žádost o valuty'!AA5</f>
        <v>40</v>
      </c>
      <c r="AY5" s="254">
        <v>3</v>
      </c>
      <c r="AZ5" s="255"/>
      <c r="BA5" s="12"/>
    </row>
    <row r="6" spans="1:53" s="2" customFormat="1" ht="12" thickTop="1">
      <c r="A6" s="13"/>
      <c r="B6" s="95"/>
      <c r="C6" s="1023"/>
      <c r="D6" s="1024"/>
      <c r="E6" s="1024"/>
      <c r="F6" s="163" t="s">
        <v>470</v>
      </c>
      <c r="G6" s="1069"/>
      <c r="H6" s="1069"/>
      <c r="I6" s="1069"/>
      <c r="J6" s="1069"/>
      <c r="K6" s="1069"/>
      <c r="L6" s="1069"/>
      <c r="M6" s="1069"/>
      <c r="N6" s="1069"/>
      <c r="O6" s="1069"/>
      <c r="P6" s="1070"/>
      <c r="Q6" s="868"/>
      <c r="R6" s="869"/>
      <c r="S6" s="1025"/>
      <c r="T6" s="1025"/>
      <c r="U6" s="915">
        <f>AG6</f>
        <v>0</v>
      </c>
      <c r="V6" s="915"/>
      <c r="W6" s="916"/>
      <c r="X6" s="1029"/>
      <c r="Y6" s="1030"/>
      <c r="Z6" s="1030"/>
      <c r="AA6" s="1030"/>
      <c r="AB6" s="1030"/>
      <c r="AC6" s="1030"/>
      <c r="AD6" s="1030"/>
      <c r="AE6" s="1030"/>
      <c r="AF6" s="1066"/>
      <c r="AG6" s="366">
        <f>IF(AJ6&lt;5,0,HLOOKUP(CEILING(AJ6,6),AO$6:AS$7,2))</f>
        <v>0</v>
      </c>
      <c r="AH6" s="372" t="e">
        <f>MATCH(1,AI$31:AI$118,0)</f>
        <v>#N/A</v>
      </c>
      <c r="AI6" s="373">
        <f ca="1">IF(ISERROR(OFFSET(AG$30,AH6,0,1,1)),0,OFFSET(AG$30,AH6,0,1,1))</f>
        <v>0</v>
      </c>
      <c r="AJ6" s="369">
        <f>AM6+AI6</f>
        <v>0</v>
      </c>
      <c r="AK6" s="393">
        <f aca="true" t="shared" si="0" ref="AK6:AK13">IF($Q6="",0,TIMEVALUE($Q6))</f>
        <v>0</v>
      </c>
      <c r="AL6" s="393">
        <f>IF($Q7="24:00",AK7-AK6+1,AK7-AK6)</f>
        <v>0</v>
      </c>
      <c r="AM6" s="394">
        <f>$AL6*24</f>
        <v>0</v>
      </c>
      <c r="AO6" s="363">
        <v>5</v>
      </c>
      <c r="AP6" s="364">
        <v>6</v>
      </c>
      <c r="AQ6" s="363">
        <v>12</v>
      </c>
      <c r="AR6" s="363">
        <v>18</v>
      </c>
      <c r="AS6" s="363">
        <v>24</v>
      </c>
      <c r="AT6" s="17" t="s">
        <v>472</v>
      </c>
      <c r="AU6" s="254"/>
      <c r="AV6" s="254" t="str">
        <f>'Žádost o valuty'!Y6</f>
        <v>Andorra</v>
      </c>
      <c r="AW6" s="254" t="str">
        <f>'Žádost o valuty'!Z6</f>
        <v>EUR</v>
      </c>
      <c r="AX6" s="254">
        <f>'Žádost o valuty'!AA6</f>
        <v>40</v>
      </c>
      <c r="AY6" s="254">
        <v>4</v>
      </c>
      <c r="AZ6" s="255"/>
      <c r="BA6" s="13"/>
    </row>
    <row r="7" spans="1:53" s="2" customFormat="1" ht="11.25">
      <c r="A7" s="13"/>
      <c r="B7" s="95"/>
      <c r="C7" s="1010"/>
      <c r="D7" s="1011"/>
      <c r="E7" s="1011"/>
      <c r="F7" s="164" t="s">
        <v>471</v>
      </c>
      <c r="G7" s="1014"/>
      <c r="H7" s="1014"/>
      <c r="I7" s="1014"/>
      <c r="J7" s="1014"/>
      <c r="K7" s="1014"/>
      <c r="L7" s="1014"/>
      <c r="M7" s="1014"/>
      <c r="N7" s="1014"/>
      <c r="O7" s="1014"/>
      <c r="P7" s="1015"/>
      <c r="Q7" s="853"/>
      <c r="R7" s="854"/>
      <c r="S7" s="1026"/>
      <c r="T7" s="1026"/>
      <c r="U7" s="1027"/>
      <c r="V7" s="1027"/>
      <c r="W7" s="1028"/>
      <c r="X7" s="1031"/>
      <c r="Y7" s="766"/>
      <c r="Z7" s="766"/>
      <c r="AA7" s="766"/>
      <c r="AB7" s="766"/>
      <c r="AC7" s="766"/>
      <c r="AD7" s="766"/>
      <c r="AE7" s="766"/>
      <c r="AF7" s="858"/>
      <c r="AG7" s="366"/>
      <c r="AH7" s="372"/>
      <c r="AI7" s="373"/>
      <c r="AJ7" s="369"/>
      <c r="AK7" s="393">
        <f t="shared" si="0"/>
        <v>0</v>
      </c>
      <c r="AL7" s="393"/>
      <c r="AM7" s="395"/>
      <c r="AO7" s="362">
        <v>0</v>
      </c>
      <c r="AP7" s="361">
        <v>83</v>
      </c>
      <c r="AQ7" s="362">
        <v>83</v>
      </c>
      <c r="AR7" s="362">
        <v>127</v>
      </c>
      <c r="AS7" s="362">
        <v>198</v>
      </c>
      <c r="AT7" s="17" t="s">
        <v>473</v>
      </c>
      <c r="AU7" s="254"/>
      <c r="AV7" s="254" t="str">
        <f>'Žádost o valuty'!Y7</f>
        <v>Angola</v>
      </c>
      <c r="AW7" s="254" t="str">
        <f>'Žádost o valuty'!Z7</f>
        <v>USD</v>
      </c>
      <c r="AX7" s="254">
        <f>'Žádost o valuty'!AA7</f>
        <v>60</v>
      </c>
      <c r="AY7" s="254">
        <v>5</v>
      </c>
      <c r="AZ7" s="255"/>
      <c r="BA7" s="13"/>
    </row>
    <row r="8" spans="1:53" s="2" customFormat="1" ht="11.25">
      <c r="A8" s="13"/>
      <c r="B8" s="95"/>
      <c r="C8" s="1010"/>
      <c r="D8" s="1011"/>
      <c r="E8" s="1011"/>
      <c r="F8" s="165" t="s">
        <v>470</v>
      </c>
      <c r="G8" s="1012"/>
      <c r="H8" s="1012"/>
      <c r="I8" s="1012"/>
      <c r="J8" s="1012"/>
      <c r="K8" s="1012"/>
      <c r="L8" s="1012"/>
      <c r="M8" s="1012"/>
      <c r="N8" s="1012"/>
      <c r="O8" s="1012"/>
      <c r="P8" s="1013"/>
      <c r="Q8" s="868"/>
      <c r="R8" s="869"/>
      <c r="S8" s="1026"/>
      <c r="T8" s="1026"/>
      <c r="U8" s="1027">
        <f>AG8</f>
        <v>0</v>
      </c>
      <c r="V8" s="1027"/>
      <c r="W8" s="1028"/>
      <c r="X8" s="1031"/>
      <c r="Y8" s="766"/>
      <c r="Z8" s="766"/>
      <c r="AA8" s="766"/>
      <c r="AB8" s="766"/>
      <c r="AC8" s="766"/>
      <c r="AD8" s="766"/>
      <c r="AE8" s="766"/>
      <c r="AF8" s="858"/>
      <c r="AG8" s="366">
        <f>IF(AJ8&lt;5,0,HLOOKUP(CEILING(AJ8,6),AO$6:AS$7,2))</f>
        <v>0</v>
      </c>
      <c r="AH8" s="372" t="e">
        <f>MATCH(3,AI$31:AI$118,0)</f>
        <v>#N/A</v>
      </c>
      <c r="AI8" s="373">
        <f ca="1">IF(ISERROR(OFFSET(AG$30,AH8,0,1,1)),0,OFFSET(AG$30,AH8,0,1,1))</f>
        <v>0</v>
      </c>
      <c r="AJ8" s="369">
        <f>AM8+AI8</f>
        <v>0</v>
      </c>
      <c r="AK8" s="393">
        <f t="shared" si="0"/>
        <v>0</v>
      </c>
      <c r="AL8" s="393">
        <f>IF($Q9="24:00",AK9-AK8+1,AK9-AK8)</f>
        <v>0</v>
      </c>
      <c r="AM8" s="394">
        <f>$AL8*24</f>
        <v>0</v>
      </c>
      <c r="AN8" s="17"/>
      <c r="AO8" s="17"/>
      <c r="AP8" s="17"/>
      <c r="AQ8" s="17"/>
      <c r="AU8" s="254"/>
      <c r="AV8" s="254" t="str">
        <f>'Žádost o valuty'!Y8</f>
        <v>Anguila</v>
      </c>
      <c r="AW8" s="254" t="str">
        <f>'Žádost o valuty'!Z8</f>
        <v>USD</v>
      </c>
      <c r="AX8" s="254">
        <f>'Žádost o valuty'!AA8</f>
        <v>55</v>
      </c>
      <c r="AY8" s="254">
        <v>6</v>
      </c>
      <c r="AZ8" s="255"/>
      <c r="BA8" s="13"/>
    </row>
    <row r="9" spans="1:53" s="2" customFormat="1" ht="12" customHeight="1">
      <c r="A9" s="13"/>
      <c r="B9" s="95"/>
      <c r="C9" s="1010"/>
      <c r="D9" s="1011"/>
      <c r="E9" s="1011"/>
      <c r="F9" s="164" t="s">
        <v>471</v>
      </c>
      <c r="G9" s="1014"/>
      <c r="H9" s="1014"/>
      <c r="I9" s="1014"/>
      <c r="J9" s="1014"/>
      <c r="K9" s="1014"/>
      <c r="L9" s="1014"/>
      <c r="M9" s="1014"/>
      <c r="N9" s="1014"/>
      <c r="O9" s="1014"/>
      <c r="P9" s="1015"/>
      <c r="Q9" s="853"/>
      <c r="R9" s="854"/>
      <c r="S9" s="1026"/>
      <c r="T9" s="1026"/>
      <c r="U9" s="1027"/>
      <c r="V9" s="1027"/>
      <c r="W9" s="1028"/>
      <c r="X9" s="1031"/>
      <c r="Y9" s="766"/>
      <c r="Z9" s="766"/>
      <c r="AA9" s="766"/>
      <c r="AB9" s="766"/>
      <c r="AC9" s="766"/>
      <c r="AD9" s="766"/>
      <c r="AE9" s="766"/>
      <c r="AF9" s="858"/>
      <c r="AG9" s="366"/>
      <c r="AH9" s="372"/>
      <c r="AI9" s="373"/>
      <c r="AJ9" s="369"/>
      <c r="AK9" s="393">
        <f t="shared" si="0"/>
        <v>0</v>
      </c>
      <c r="AL9" s="393"/>
      <c r="AM9" s="395"/>
      <c r="AN9" s="18"/>
      <c r="AO9" s="18"/>
      <c r="AP9" s="18"/>
      <c r="AQ9" s="18"/>
      <c r="AU9" s="254"/>
      <c r="AV9" s="254" t="str">
        <f>'Žádost o valuty'!Y9</f>
        <v>Antigua a Barbuda</v>
      </c>
      <c r="AW9" s="254" t="str">
        <f>'Žádost o valuty'!Z9</f>
        <v>USD</v>
      </c>
      <c r="AX9" s="254">
        <f>'Žádost o valuty'!AA9</f>
        <v>55</v>
      </c>
      <c r="AY9" s="254">
        <v>7</v>
      </c>
      <c r="AZ9" s="255"/>
      <c r="BA9" s="13"/>
    </row>
    <row r="10" spans="1:53" s="2" customFormat="1" ht="11.25">
      <c r="A10" s="13"/>
      <c r="B10" s="95"/>
      <c r="C10" s="1010"/>
      <c r="D10" s="1011"/>
      <c r="E10" s="1011"/>
      <c r="F10" s="165" t="s">
        <v>470</v>
      </c>
      <c r="G10" s="1012"/>
      <c r="H10" s="1012"/>
      <c r="I10" s="1012"/>
      <c r="J10" s="1012"/>
      <c r="K10" s="1012"/>
      <c r="L10" s="1012"/>
      <c r="M10" s="1012"/>
      <c r="N10" s="1012"/>
      <c r="O10" s="1012"/>
      <c r="P10" s="1013"/>
      <c r="Q10" s="868"/>
      <c r="R10" s="869"/>
      <c r="S10" s="1026"/>
      <c r="T10" s="1026"/>
      <c r="U10" s="1027">
        <f>AG10</f>
        <v>0</v>
      </c>
      <c r="V10" s="1027"/>
      <c r="W10" s="1028"/>
      <c r="X10" s="1031"/>
      <c r="Y10" s="766"/>
      <c r="Z10" s="766"/>
      <c r="AA10" s="766"/>
      <c r="AB10" s="766"/>
      <c r="AC10" s="766"/>
      <c r="AD10" s="766"/>
      <c r="AE10" s="766"/>
      <c r="AF10" s="858"/>
      <c r="AG10" s="366">
        <f>IF(AJ10&lt;5,0,HLOOKUP(CEILING(AJ10,6),AO$6:AS$7,2))</f>
        <v>0</v>
      </c>
      <c r="AH10" s="372" t="e">
        <f>MATCH(5,AI$31:AI$118,0)</f>
        <v>#N/A</v>
      </c>
      <c r="AI10" s="373">
        <f ca="1">IF(ISERROR(OFFSET(AG$30,AH10,0,1,1)),0,OFFSET(AG$30,AH10,0,1,1))</f>
        <v>0</v>
      </c>
      <c r="AJ10" s="369">
        <f>AM10+AI10</f>
        <v>0</v>
      </c>
      <c r="AK10" s="393">
        <f t="shared" si="0"/>
        <v>0</v>
      </c>
      <c r="AL10" s="393">
        <f>IF($Q11="24:00",AK11-AK10+1,AK11-AK10)</f>
        <v>0</v>
      </c>
      <c r="AM10" s="394">
        <f>$AL10*24</f>
        <v>0</v>
      </c>
      <c r="AU10" s="254"/>
      <c r="AV10" s="254" t="str">
        <f>'Žádost o valuty'!Y10</f>
        <v>Argentina </v>
      </c>
      <c r="AW10" s="254" t="str">
        <f>'Žádost o valuty'!Z10</f>
        <v>USD</v>
      </c>
      <c r="AX10" s="254">
        <f>'Žádost o valuty'!AA10</f>
        <v>45</v>
      </c>
      <c r="AY10" s="254">
        <v>8</v>
      </c>
      <c r="AZ10" s="255"/>
      <c r="BA10" s="13"/>
    </row>
    <row r="11" spans="1:53" s="2" customFormat="1" ht="11.25">
      <c r="A11" s="13"/>
      <c r="B11" s="95"/>
      <c r="C11" s="1010"/>
      <c r="D11" s="1011"/>
      <c r="E11" s="1011"/>
      <c r="F11" s="164" t="s">
        <v>471</v>
      </c>
      <c r="G11" s="1014"/>
      <c r="H11" s="1014"/>
      <c r="I11" s="1014"/>
      <c r="J11" s="1014"/>
      <c r="K11" s="1014"/>
      <c r="L11" s="1014"/>
      <c r="M11" s="1014"/>
      <c r="N11" s="1014"/>
      <c r="O11" s="1014"/>
      <c r="P11" s="1015"/>
      <c r="Q11" s="853"/>
      <c r="R11" s="854"/>
      <c r="S11" s="1026"/>
      <c r="T11" s="1026"/>
      <c r="U11" s="1027"/>
      <c r="V11" s="1027"/>
      <c r="W11" s="1028"/>
      <c r="X11" s="1031"/>
      <c r="Y11" s="766"/>
      <c r="Z11" s="766"/>
      <c r="AA11" s="766"/>
      <c r="AB11" s="766"/>
      <c r="AC11" s="766"/>
      <c r="AD11" s="766"/>
      <c r="AE11" s="766"/>
      <c r="AF11" s="858"/>
      <c r="AG11" s="366"/>
      <c r="AH11" s="372"/>
      <c r="AI11" s="373"/>
      <c r="AJ11" s="369"/>
      <c r="AK11" s="393">
        <f t="shared" si="0"/>
        <v>0</v>
      </c>
      <c r="AL11" s="393"/>
      <c r="AM11" s="395"/>
      <c r="AU11" s="254"/>
      <c r="AV11" s="254" t="str">
        <f>'Žádost o valuty'!Y11</f>
        <v>Arménie </v>
      </c>
      <c r="AW11" s="254" t="str">
        <f>'Žádost o valuty'!Z11</f>
        <v>EUR</v>
      </c>
      <c r="AX11" s="254">
        <f>'Žádost o valuty'!AA11</f>
        <v>35</v>
      </c>
      <c r="AY11" s="254">
        <v>9</v>
      </c>
      <c r="AZ11" s="255"/>
      <c r="BA11" s="13"/>
    </row>
    <row r="12" spans="1:53" s="2" customFormat="1" ht="11.25">
      <c r="A12" s="13"/>
      <c r="B12" s="95"/>
      <c r="C12" s="1010"/>
      <c r="D12" s="1011"/>
      <c r="E12" s="1011"/>
      <c r="F12" s="165" t="s">
        <v>470</v>
      </c>
      <c r="G12" s="1012"/>
      <c r="H12" s="1012"/>
      <c r="I12" s="1012"/>
      <c r="J12" s="1012"/>
      <c r="K12" s="1012"/>
      <c r="L12" s="1012"/>
      <c r="M12" s="1012"/>
      <c r="N12" s="1012"/>
      <c r="O12" s="1012"/>
      <c r="P12" s="1013"/>
      <c r="Q12" s="868"/>
      <c r="R12" s="869"/>
      <c r="S12" s="1026"/>
      <c r="T12" s="1026"/>
      <c r="U12" s="1027">
        <f>AG12</f>
        <v>0</v>
      </c>
      <c r="V12" s="1027"/>
      <c r="W12" s="1063"/>
      <c r="X12" s="1031"/>
      <c r="Y12" s="766"/>
      <c r="Z12" s="766"/>
      <c r="AA12" s="766"/>
      <c r="AB12" s="766"/>
      <c r="AC12" s="766"/>
      <c r="AD12" s="766"/>
      <c r="AE12" s="766"/>
      <c r="AF12" s="858"/>
      <c r="AG12" s="366">
        <f>IF(AJ12&lt;5,0,HLOOKUP(CEILING(AJ12,6),AO$6:AS$7,2))</f>
        <v>0</v>
      </c>
      <c r="AH12" s="372" t="e">
        <f>MATCH(7,AI$31:AI$118,0)</f>
        <v>#N/A</v>
      </c>
      <c r="AI12" s="373">
        <f ca="1">IF(ISERROR(OFFSET(AG$30,AH12,0,1,1)),0,OFFSET(AG$30,AH12,0,1,1))</f>
        <v>0</v>
      </c>
      <c r="AJ12" s="369">
        <f>AM12+AI12</f>
        <v>0</v>
      </c>
      <c r="AK12" s="393">
        <f t="shared" si="0"/>
        <v>0</v>
      </c>
      <c r="AL12" s="393">
        <f>IF($Q13="24:00",AK13-AK12+1,AK13-AK12)</f>
        <v>0</v>
      </c>
      <c r="AM12" s="394">
        <f>$AL12*24</f>
        <v>0</v>
      </c>
      <c r="AU12" s="254"/>
      <c r="AV12" s="254" t="str">
        <f>'Žádost o valuty'!Y12</f>
        <v>Aruba </v>
      </c>
      <c r="AW12" s="254" t="str">
        <f>'Žádost o valuty'!Z12</f>
        <v>USD</v>
      </c>
      <c r="AX12" s="254">
        <f>'Žádost o valuty'!AA12</f>
        <v>55</v>
      </c>
      <c r="AY12" s="254">
        <v>10</v>
      </c>
      <c r="AZ12" s="255"/>
      <c r="BA12" s="13"/>
    </row>
    <row r="13" spans="1:53" s="2" customFormat="1" ht="12.75" customHeight="1" thickBot="1">
      <c r="A13" s="13"/>
      <c r="B13" s="95"/>
      <c r="C13" s="1010"/>
      <c r="D13" s="1011"/>
      <c r="E13" s="1011"/>
      <c r="F13" s="164" t="s">
        <v>471</v>
      </c>
      <c r="G13" s="1014"/>
      <c r="H13" s="1014"/>
      <c r="I13" s="1014"/>
      <c r="J13" s="1014"/>
      <c r="K13" s="1014"/>
      <c r="L13" s="1014"/>
      <c r="M13" s="1014"/>
      <c r="N13" s="1014"/>
      <c r="O13" s="1014"/>
      <c r="P13" s="1015"/>
      <c r="Q13" s="853"/>
      <c r="R13" s="854"/>
      <c r="S13" s="1026"/>
      <c r="T13" s="1026"/>
      <c r="U13" s="1064"/>
      <c r="V13" s="1064"/>
      <c r="W13" s="1065"/>
      <c r="X13" s="1031"/>
      <c r="Y13" s="766"/>
      <c r="Z13" s="766"/>
      <c r="AA13" s="766"/>
      <c r="AB13" s="766"/>
      <c r="AC13" s="766"/>
      <c r="AD13" s="766"/>
      <c r="AE13" s="766"/>
      <c r="AF13" s="858"/>
      <c r="AG13" s="366"/>
      <c r="AH13" s="372"/>
      <c r="AI13" s="374"/>
      <c r="AJ13" s="370"/>
      <c r="AK13" s="393">
        <f t="shared" si="0"/>
        <v>0</v>
      </c>
      <c r="AL13" s="393"/>
      <c r="AM13" s="395"/>
      <c r="AU13" s="254"/>
      <c r="AV13" s="254" t="str">
        <f>'Žádost o valuty'!Y13</f>
        <v>Austrálie </v>
      </c>
      <c r="AW13" s="254" t="str">
        <f>'Žádost o valuty'!Z13</f>
        <v>USD</v>
      </c>
      <c r="AX13" s="254">
        <f>'Žádost o valuty'!AA13</f>
        <v>50</v>
      </c>
      <c r="AY13" s="254">
        <v>11</v>
      </c>
      <c r="AZ13" s="255"/>
      <c r="BA13" s="13"/>
    </row>
    <row r="14" spans="1:53" ht="19.5" customHeight="1" thickBot="1" thickTop="1">
      <c r="A14" s="10"/>
      <c r="B14" s="90"/>
      <c r="C14" s="865" t="s">
        <v>56</v>
      </c>
      <c r="D14" s="866"/>
      <c r="E14" s="866"/>
      <c r="F14" s="866"/>
      <c r="G14" s="866"/>
      <c r="H14" s="866"/>
      <c r="I14" s="866"/>
      <c r="J14" s="866"/>
      <c r="K14" s="866"/>
      <c r="L14" s="866"/>
      <c r="M14" s="866"/>
      <c r="N14" s="866"/>
      <c r="O14" s="866"/>
      <c r="P14" s="866"/>
      <c r="Q14" s="866"/>
      <c r="R14" s="867"/>
      <c r="S14" s="1052" t="s">
        <v>38</v>
      </c>
      <c r="T14" s="1053"/>
      <c r="U14" s="1055">
        <f>SUM(U6:W13)</f>
        <v>0</v>
      </c>
      <c r="V14" s="1056"/>
      <c r="W14" s="1057"/>
      <c r="X14" s="1058">
        <f>SUM(X6:Z13)</f>
        <v>0</v>
      </c>
      <c r="Y14" s="1050"/>
      <c r="Z14" s="1050"/>
      <c r="AA14" s="1050">
        <f>SUM(AA6:AC13)</f>
        <v>0</v>
      </c>
      <c r="AB14" s="1050"/>
      <c r="AC14" s="1050"/>
      <c r="AD14" s="1050">
        <f>SUM(AD6:AF13)</f>
        <v>0</v>
      </c>
      <c r="AE14" s="1050"/>
      <c r="AF14" s="1051"/>
      <c r="AG14" s="333"/>
      <c r="AH14" s="333"/>
      <c r="AI14" s="333"/>
      <c r="AJ14" s="333"/>
      <c r="AK14" s="333"/>
      <c r="AT14" s="254"/>
      <c r="AU14" s="254"/>
      <c r="AV14" s="254" t="str">
        <f>'Žádost o valuty'!Y14</f>
        <v>Ázerbajdžán </v>
      </c>
      <c r="AW14" s="254" t="str">
        <f>'Žádost o valuty'!Z14</f>
        <v>EUR</v>
      </c>
      <c r="AX14" s="254">
        <f>'Žádost o valuty'!AA14</f>
        <v>40</v>
      </c>
      <c r="AY14" s="254">
        <v>12</v>
      </c>
      <c r="AZ14" s="255"/>
      <c r="BA14" s="10"/>
    </row>
    <row r="15" spans="1:53" s="2" customFormat="1" ht="19.5" customHeight="1" thickBot="1">
      <c r="A15" s="13"/>
      <c r="B15" s="95"/>
      <c r="C15" s="859" t="s">
        <v>389</v>
      </c>
      <c r="D15" s="860"/>
      <c r="E15" s="860"/>
      <c r="F15" s="860"/>
      <c r="G15" s="860"/>
      <c r="H15" s="860"/>
      <c r="I15" s="860"/>
      <c r="J15" s="860"/>
      <c r="K15" s="860"/>
      <c r="L15" s="860"/>
      <c r="M15" s="860"/>
      <c r="N15" s="860"/>
      <c r="O15" s="860"/>
      <c r="P15" s="860"/>
      <c r="Q15" s="860"/>
      <c r="R15" s="861"/>
      <c r="S15" s="1080" t="s">
        <v>52</v>
      </c>
      <c r="T15" s="1081"/>
      <c r="U15" s="1081"/>
      <c r="V15" s="1081"/>
      <c r="W15" s="1081"/>
      <c r="X15" s="1081"/>
      <c r="Y15" s="1081"/>
      <c r="Z15" s="1081"/>
      <c r="AA15" s="1081"/>
      <c r="AB15" s="1046">
        <f>SUM(X14:AF14)</f>
        <v>0</v>
      </c>
      <c r="AC15" s="1046"/>
      <c r="AD15" s="1046"/>
      <c r="AE15" s="1046"/>
      <c r="AF15" s="1047"/>
      <c r="AG15" s="334"/>
      <c r="AH15" s="334"/>
      <c r="AI15" s="334"/>
      <c r="AJ15" s="334"/>
      <c r="AK15" s="334"/>
      <c r="AT15" s="254"/>
      <c r="AU15" s="254"/>
      <c r="AV15" s="254" t="str">
        <f>'Žádost o valuty'!Y15</f>
        <v>Bahamy</v>
      </c>
      <c r="AW15" s="254" t="str">
        <f>'Žádost o valuty'!Z15</f>
        <v>USD</v>
      </c>
      <c r="AX15" s="254">
        <f>'Žádost o valuty'!AA15</f>
        <v>50</v>
      </c>
      <c r="AY15" s="254">
        <v>13</v>
      </c>
      <c r="AZ15" s="255"/>
      <c r="BA15" s="13"/>
    </row>
    <row r="16" spans="1:53" ht="14.25" customHeight="1" thickBot="1">
      <c r="A16" s="10"/>
      <c r="B16" s="90"/>
      <c r="C16" s="1040"/>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2"/>
      <c r="AG16" s="335"/>
      <c r="AH16" s="335"/>
      <c r="AI16" s="335"/>
      <c r="AJ16" s="335"/>
      <c r="AK16" s="335"/>
      <c r="AR16" s="254"/>
      <c r="AS16" s="254"/>
      <c r="AT16" s="254"/>
      <c r="AU16" s="254"/>
      <c r="AV16" s="254" t="str">
        <f>'Žádost o valuty'!Y16</f>
        <v>Bahrajn </v>
      </c>
      <c r="AW16" s="254" t="str">
        <f>'Žádost o valuty'!Z16</f>
        <v>EUR</v>
      </c>
      <c r="AX16" s="254">
        <f>'Žádost o valuty'!AA16</f>
        <v>40</v>
      </c>
      <c r="AY16" s="254">
        <v>14</v>
      </c>
      <c r="AZ16" s="255"/>
      <c r="BA16" s="10"/>
    </row>
    <row r="17" spans="1:53" s="4" customFormat="1" ht="24" customHeight="1" thickBot="1">
      <c r="A17" s="14"/>
      <c r="B17" s="96"/>
      <c r="C17" s="1048" t="s">
        <v>407</v>
      </c>
      <c r="D17" s="1049"/>
      <c r="E17" s="1049"/>
      <c r="F17" s="1049"/>
      <c r="G17" s="1049"/>
      <c r="H17" s="1049"/>
      <c r="I17" s="1049"/>
      <c r="J17" s="1049"/>
      <c r="K17" s="1049"/>
      <c r="L17" s="1049"/>
      <c r="M17" s="1049"/>
      <c r="N17" s="1049"/>
      <c r="O17" s="1049"/>
      <c r="P17" s="1049"/>
      <c r="Q17" s="1049"/>
      <c r="R17" s="1049"/>
      <c r="S17" s="1049"/>
      <c r="T17" s="1049"/>
      <c r="U17" s="1049"/>
      <c r="V17" s="1049"/>
      <c r="W17" s="1049"/>
      <c r="X17" s="1049"/>
      <c r="Y17" s="1049"/>
      <c r="Z17" s="1049"/>
      <c r="AA17" s="1043" t="s">
        <v>435</v>
      </c>
      <c r="AB17" s="1044"/>
      <c r="AC17" s="1044"/>
      <c r="AD17" s="1044"/>
      <c r="AE17" s="1044"/>
      <c r="AF17" s="1045"/>
      <c r="AG17" s="336"/>
      <c r="AH17" s="336"/>
      <c r="AI17" s="336"/>
      <c r="AJ17" s="336"/>
      <c r="AK17" s="336"/>
      <c r="AR17" s="254"/>
      <c r="AS17" s="254"/>
      <c r="AT17" s="254"/>
      <c r="AU17" s="254"/>
      <c r="AV17" s="254" t="str">
        <f>'Žádost o valuty'!Y17</f>
        <v>Bangladéš </v>
      </c>
      <c r="AW17" s="254" t="str">
        <f>'Žádost o valuty'!Z17</f>
        <v>USD</v>
      </c>
      <c r="AX17" s="254">
        <f>'Žádost o valuty'!AA17</f>
        <v>50</v>
      </c>
      <c r="AY17" s="254">
        <v>15</v>
      </c>
      <c r="AZ17" s="255"/>
      <c r="BA17" s="14"/>
    </row>
    <row r="18" spans="1:53" s="2" customFormat="1" ht="18" customHeight="1" thickBot="1">
      <c r="A18" s="13"/>
      <c r="B18" s="95"/>
      <c r="C18" s="1002" t="s">
        <v>53</v>
      </c>
      <c r="D18" s="1003"/>
      <c r="E18" s="1003"/>
      <c r="F18" s="1003"/>
      <c r="G18" s="1003"/>
      <c r="H18" s="1003"/>
      <c r="I18" s="1003"/>
      <c r="J18" s="1003"/>
      <c r="K18" s="1003"/>
      <c r="L18" s="1003"/>
      <c r="M18" s="1003"/>
      <c r="N18" s="1059" t="str">
        <f>mena_1</f>
        <v>CZK</v>
      </c>
      <c r="O18" s="1059"/>
      <c r="P18" s="1059"/>
      <c r="Q18" s="1059"/>
      <c r="R18" s="1060"/>
      <c r="S18" s="999">
        <f>IF(mena_2="","",mena_2)</f>
      </c>
      <c r="T18" s="999"/>
      <c r="U18" s="999"/>
      <c r="V18" s="999"/>
      <c r="W18" s="999"/>
      <c r="X18" s="999">
        <f>IF(mena_3="","",mena_3)</f>
      </c>
      <c r="Y18" s="999"/>
      <c r="Z18" s="999"/>
      <c r="AA18" s="999"/>
      <c r="AB18" s="999"/>
      <c r="AC18" s="999">
        <f>IF(mena_4="","",mena_4)</f>
      </c>
      <c r="AD18" s="999"/>
      <c r="AE18" s="999"/>
      <c r="AF18" s="1054"/>
      <c r="AG18" s="337"/>
      <c r="AH18" s="337"/>
      <c r="AI18" s="337"/>
      <c r="AJ18" s="337"/>
      <c r="AK18" s="337"/>
      <c r="AR18" s="254"/>
      <c r="AS18" s="254"/>
      <c r="AT18" s="254"/>
      <c r="AU18" s="254"/>
      <c r="AV18" s="254" t="str">
        <f>'Žádost o valuty'!Y18</f>
        <v>Barbados </v>
      </c>
      <c r="AW18" s="254" t="str">
        <f>'Žádost o valuty'!Z18</f>
        <v>USD</v>
      </c>
      <c r="AX18" s="254">
        <f>'Žádost o valuty'!AA18</f>
        <v>55</v>
      </c>
      <c r="AY18" s="254">
        <v>16</v>
      </c>
      <c r="AZ18" s="255"/>
      <c r="BA18" s="13"/>
    </row>
    <row r="19" spans="1:53" s="2" customFormat="1" ht="18" customHeight="1" thickBot="1" thickTop="1">
      <c r="A19" s="13"/>
      <c r="B19" s="95"/>
      <c r="C19" s="1000" t="s">
        <v>32</v>
      </c>
      <c r="D19" s="1001"/>
      <c r="E19" s="1001"/>
      <c r="F19" s="1001"/>
      <c r="G19" s="1001"/>
      <c r="H19" s="1001"/>
      <c r="I19" s="1001"/>
      <c r="J19" s="1001"/>
      <c r="K19" s="1001"/>
      <c r="L19" s="1001"/>
      <c r="M19" s="1001"/>
      <c r="N19" s="1075">
        <f>za_PHM_1</f>
        <v>0</v>
      </c>
      <c r="O19" s="1075"/>
      <c r="P19" s="1075"/>
      <c r="Q19" s="1075"/>
      <c r="R19" s="1076"/>
      <c r="S19" s="1032">
        <f>za_PHM_2</f>
      </c>
      <c r="T19" s="1032"/>
      <c r="U19" s="1032"/>
      <c r="V19" s="1032"/>
      <c r="W19" s="1032"/>
      <c r="X19" s="1032">
        <f>za_PHM_3</f>
      </c>
      <c r="Y19" s="1032"/>
      <c r="Z19" s="1032"/>
      <c r="AA19" s="1032"/>
      <c r="AB19" s="1032"/>
      <c r="AC19" s="1032">
        <f>za_PHM_4</f>
      </c>
      <c r="AD19" s="1032"/>
      <c r="AE19" s="1032"/>
      <c r="AF19" s="1033"/>
      <c r="AG19" s="338"/>
      <c r="AH19" s="338"/>
      <c r="AI19" s="338"/>
      <c r="AJ19" s="338"/>
      <c r="AK19" s="338"/>
      <c r="AM19" s="91"/>
      <c r="AR19" s="315"/>
      <c r="AS19" s="254"/>
      <c r="AT19" s="254"/>
      <c r="AU19" s="254"/>
      <c r="AV19" s="254" t="str">
        <f>'Žádost o valuty'!Y19</f>
        <v>Belgie </v>
      </c>
      <c r="AW19" s="254" t="str">
        <f>'Žádost o valuty'!Z19</f>
        <v>EUR</v>
      </c>
      <c r="AX19" s="254">
        <f>'Žádost o valuty'!AA19</f>
        <v>45</v>
      </c>
      <c r="AY19" s="254">
        <v>17</v>
      </c>
      <c r="AZ19" s="255"/>
      <c r="BA19" s="13"/>
    </row>
    <row r="20" spans="1:53" s="2" customFormat="1" ht="18" customHeight="1" thickBot="1">
      <c r="A20" s="13"/>
      <c r="B20" s="95"/>
      <c r="C20" s="1071" t="s">
        <v>434</v>
      </c>
      <c r="D20" s="1072"/>
      <c r="E20" s="1072"/>
      <c r="F20" s="1072"/>
      <c r="G20" s="1072"/>
      <c r="H20" s="1072"/>
      <c r="I20" s="1072"/>
      <c r="J20" s="1072"/>
      <c r="K20" s="1072"/>
      <c r="L20" s="1072"/>
      <c r="M20" s="1072"/>
      <c r="N20" s="1090">
        <f>za_km</f>
        <v>0</v>
      </c>
      <c r="O20" s="1090"/>
      <c r="P20" s="1090"/>
      <c r="Q20" s="1090"/>
      <c r="R20" s="1091"/>
      <c r="S20" s="1004" t="s">
        <v>31</v>
      </c>
      <c r="T20" s="1005"/>
      <c r="U20" s="1005"/>
      <c r="V20" s="1005"/>
      <c r="W20" s="1005"/>
      <c r="X20" s="1005"/>
      <c r="Y20" s="1005"/>
      <c r="Z20" s="1005"/>
      <c r="AA20" s="1005"/>
      <c r="AB20" s="1005"/>
      <c r="AC20" s="1005"/>
      <c r="AD20" s="1005"/>
      <c r="AE20" s="1005"/>
      <c r="AF20" s="1006"/>
      <c r="AG20" s="339"/>
      <c r="AH20" s="359"/>
      <c r="AI20" s="359"/>
      <c r="AJ20" s="359"/>
      <c r="AK20" s="359"/>
      <c r="AR20" s="254"/>
      <c r="AS20" s="254"/>
      <c r="AT20" s="254"/>
      <c r="AU20" s="254"/>
      <c r="AV20" s="254" t="str">
        <f>'Žádost o valuty'!Y20</f>
        <v>Belize </v>
      </c>
      <c r="AW20" s="254" t="str">
        <f>'Žádost o valuty'!Z20</f>
        <v>USD</v>
      </c>
      <c r="AX20" s="254">
        <f>'Žádost o valuty'!AA20</f>
        <v>45</v>
      </c>
      <c r="AY20" s="254">
        <v>18</v>
      </c>
      <c r="AZ20" s="255"/>
      <c r="BA20" s="13"/>
    </row>
    <row r="21" spans="1:53" s="2" customFormat="1" ht="18" customHeight="1" thickBot="1">
      <c r="A21" s="13"/>
      <c r="B21" s="95"/>
      <c r="C21" s="1077" t="s">
        <v>33</v>
      </c>
      <c r="D21" s="1078"/>
      <c r="E21" s="1078"/>
      <c r="F21" s="1078"/>
      <c r="G21" s="1078"/>
      <c r="H21" s="1078"/>
      <c r="I21" s="1078"/>
      <c r="J21" s="1078"/>
      <c r="K21" s="1078"/>
      <c r="L21" s="1078"/>
      <c r="M21" s="1079"/>
      <c r="N21" s="1092">
        <f>kc_celk</f>
        <v>0</v>
      </c>
      <c r="O21" s="1093"/>
      <c r="P21" s="1093"/>
      <c r="Q21" s="1093"/>
      <c r="R21" s="1094"/>
      <c r="S21" s="1005"/>
      <c r="T21" s="1005"/>
      <c r="U21" s="1005"/>
      <c r="V21" s="1005"/>
      <c r="W21" s="1005"/>
      <c r="X21" s="1005"/>
      <c r="Y21" s="1005"/>
      <c r="Z21" s="1005"/>
      <c r="AA21" s="1005"/>
      <c r="AB21" s="1005"/>
      <c r="AC21" s="1005"/>
      <c r="AD21" s="1005"/>
      <c r="AE21" s="1005"/>
      <c r="AF21" s="1006"/>
      <c r="AG21" s="308"/>
      <c r="AH21" s="359"/>
      <c r="AI21" s="339"/>
      <c r="AJ21" s="339"/>
      <c r="AK21" s="339"/>
      <c r="AM21" s="746" t="s">
        <v>5</v>
      </c>
      <c r="AN21" s="747"/>
      <c r="AO21" s="747"/>
      <c r="AP21" s="748"/>
      <c r="AR21" s="314"/>
      <c r="AS21" s="254"/>
      <c r="AT21" s="254"/>
      <c r="AU21" s="254"/>
      <c r="AV21" s="254" t="str">
        <f>'Žádost o valuty'!Y21</f>
        <v>Benin </v>
      </c>
      <c r="AW21" s="254" t="str">
        <f>'Žádost o valuty'!Z21</f>
        <v>EUR</v>
      </c>
      <c r="AX21" s="254">
        <f>'Žádost o valuty'!AA21</f>
        <v>40</v>
      </c>
      <c r="AY21" s="254">
        <v>19</v>
      </c>
      <c r="AZ21" s="255"/>
      <c r="BA21" s="13"/>
    </row>
    <row r="22" spans="1:53" ht="7.5" customHeight="1" thickBot="1">
      <c r="A22" s="10"/>
      <c r="B22" s="90"/>
      <c r="C22" s="1040"/>
      <c r="D22" s="1041"/>
      <c r="E22" s="1041"/>
      <c r="F22" s="1041"/>
      <c r="G22" s="1041"/>
      <c r="H22" s="1041"/>
      <c r="I22" s="1041"/>
      <c r="J22" s="1041"/>
      <c r="K22" s="1041"/>
      <c r="L22" s="1041"/>
      <c r="M22" s="1041"/>
      <c r="N22" s="1041"/>
      <c r="O22" s="1041"/>
      <c r="P22" s="1041"/>
      <c r="Q22" s="1041"/>
      <c r="R22" s="1041"/>
      <c r="S22" s="1041"/>
      <c r="T22" s="1041"/>
      <c r="U22" s="1041"/>
      <c r="V22" s="1041"/>
      <c r="W22" s="1041"/>
      <c r="X22" s="1041"/>
      <c r="Y22" s="1041"/>
      <c r="Z22" s="1041"/>
      <c r="AA22" s="1041"/>
      <c r="AB22" s="1041"/>
      <c r="AC22" s="1041"/>
      <c r="AD22" s="1041"/>
      <c r="AE22" s="1041"/>
      <c r="AF22" s="1042"/>
      <c r="AG22" s="108"/>
      <c r="AH22" s="359"/>
      <c r="AI22" s="335"/>
      <c r="AJ22" s="335"/>
      <c r="AK22" s="335"/>
      <c r="AM22" s="375"/>
      <c r="AN22" s="108"/>
      <c r="AO22" s="108"/>
      <c r="AP22" s="376"/>
      <c r="AR22" s="254"/>
      <c r="AS22" s="254"/>
      <c r="AT22" s="254"/>
      <c r="AU22" s="254"/>
      <c r="AV22" s="254" t="str">
        <f>'Žádost o valuty'!Y22</f>
        <v>Bermudy </v>
      </c>
      <c r="AW22" s="254" t="str">
        <f>'Žádost o valuty'!Z22</f>
        <v>USD</v>
      </c>
      <c r="AX22" s="254">
        <f>'Žádost o valuty'!AA22</f>
        <v>50</v>
      </c>
      <c r="AY22" s="254">
        <v>20</v>
      </c>
      <c r="AZ22" s="255"/>
      <c r="BA22" s="10"/>
    </row>
    <row r="23" spans="1:53" s="4" customFormat="1" ht="24" customHeight="1">
      <c r="A23" s="14"/>
      <c r="B23" s="96"/>
      <c r="C23" s="1018" t="s">
        <v>408</v>
      </c>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19"/>
      <c r="AA23" s="1019"/>
      <c r="AB23" s="1019"/>
      <c r="AC23" s="1019"/>
      <c r="AD23" s="1019"/>
      <c r="AE23" s="1019"/>
      <c r="AF23" s="1020"/>
      <c r="AG23" s="316"/>
      <c r="AH23" s="360"/>
      <c r="AI23" s="360"/>
      <c r="AJ23" s="360"/>
      <c r="AK23" s="360"/>
      <c r="AM23" s="1158" t="s">
        <v>462</v>
      </c>
      <c r="AN23" s="1159"/>
      <c r="AO23" s="1159"/>
      <c r="AP23" s="1160"/>
      <c r="AR23" s="254"/>
      <c r="AT23" s="255"/>
      <c r="AU23" s="255"/>
      <c r="AV23" s="254" t="str">
        <f>'Žádost o valuty'!Y23</f>
        <v>Bělorusko </v>
      </c>
      <c r="AW23" s="254" t="str">
        <f>'Žádost o valuty'!Z23</f>
        <v>EUR</v>
      </c>
      <c r="AX23" s="254">
        <f>'Žádost o valuty'!AA23</f>
        <v>45</v>
      </c>
      <c r="AY23" s="254">
        <v>21</v>
      </c>
      <c r="AZ23" s="255"/>
      <c r="BA23" s="14"/>
    </row>
    <row r="24" spans="1:53" ht="12" customHeight="1">
      <c r="A24" s="10"/>
      <c r="B24" s="90"/>
      <c r="C24" s="907"/>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909"/>
      <c r="AG24" s="307"/>
      <c r="AH24" s="307"/>
      <c r="AI24" s="307"/>
      <c r="AJ24" s="307"/>
      <c r="AK24" s="307"/>
      <c r="AM24" s="377" t="s">
        <v>43</v>
      </c>
      <c r="AN24" s="304" t="s">
        <v>63</v>
      </c>
      <c r="AO24" s="304" t="s">
        <v>225</v>
      </c>
      <c r="AP24" s="378" t="s">
        <v>61</v>
      </c>
      <c r="AR24" s="254"/>
      <c r="AS24" s="254"/>
      <c r="AT24" s="330"/>
      <c r="AU24" s="330"/>
      <c r="AV24" s="254" t="str">
        <f>'Žádost o valuty'!Y24</f>
        <v>Bhútán</v>
      </c>
      <c r="AW24" s="254" t="str">
        <f>'Žádost o valuty'!Z24</f>
        <v>USD</v>
      </c>
      <c r="AX24" s="254">
        <f>'Žádost o valuty'!AA24</f>
        <v>50</v>
      </c>
      <c r="AY24" s="254">
        <v>22</v>
      </c>
      <c r="AZ24" s="255"/>
      <c r="BA24" s="10"/>
    </row>
    <row r="25" spans="1:53" ht="13.5" customHeight="1">
      <c r="A25" s="10"/>
      <c r="B25" s="90"/>
      <c r="C25" s="903" t="s">
        <v>34</v>
      </c>
      <c r="D25" s="882"/>
      <c r="E25" s="882"/>
      <c r="F25" s="882"/>
      <c r="G25" s="882"/>
      <c r="H25" s="882"/>
      <c r="I25" s="882"/>
      <c r="J25" s="882"/>
      <c r="K25" s="882"/>
      <c r="L25" s="882" t="s">
        <v>405</v>
      </c>
      <c r="M25" s="882"/>
      <c r="N25" s="871"/>
      <c r="O25" s="871"/>
      <c r="P25" s="871"/>
      <c r="Q25" s="871"/>
      <c r="R25" s="871"/>
      <c r="S25" s="871"/>
      <c r="T25" s="871"/>
      <c r="U25" s="891" t="s">
        <v>36</v>
      </c>
      <c r="V25" s="891"/>
      <c r="W25" s="871"/>
      <c r="X25" s="871"/>
      <c r="Y25" s="871"/>
      <c r="Z25" s="871"/>
      <c r="AA25" s="891" t="s">
        <v>37</v>
      </c>
      <c r="AB25" s="891"/>
      <c r="AC25" s="871"/>
      <c r="AD25" s="871"/>
      <c r="AE25" s="871"/>
      <c r="AF25" s="872"/>
      <c r="AG25" s="332"/>
      <c r="AH25" s="332"/>
      <c r="AI25" s="332"/>
      <c r="AJ25" s="332"/>
      <c r="AK25" s="332"/>
      <c r="AM25" s="379" t="b">
        <f>IF(ISERROR(MATCH(AM24,$J31:$J118,0)),FALSE,TRUE)</f>
        <v>0</v>
      </c>
      <c r="AN25" s="303" t="b">
        <f>IF(ISERROR(MATCH(AN24,$J31:$J118,0)),FALSE,TRUE)</f>
        <v>0</v>
      </c>
      <c r="AO25" s="303" t="b">
        <f>IF(ISERROR(MATCH(AO24,$J31:$J118,0)),FALSE,TRUE)</f>
        <v>0</v>
      </c>
      <c r="AP25" s="380" t="b">
        <f>IF(ISERROR(MATCH(AP24,$J31:$J118,0)),FALSE,TRUE)</f>
        <v>0</v>
      </c>
      <c r="AR25" s="254"/>
      <c r="AS25" s="329"/>
      <c r="AT25" s="331"/>
      <c r="AU25" s="331"/>
      <c r="AV25" s="254" t="str">
        <f>'Žádost o valuty'!Y25</f>
        <v>Bolívie </v>
      </c>
      <c r="AW25" s="254" t="str">
        <f>'Žádost o valuty'!Z25</f>
        <v>USD</v>
      </c>
      <c r="AX25" s="254">
        <f>'Žádost o valuty'!AA25</f>
        <v>45</v>
      </c>
      <c r="AY25" s="254">
        <v>23</v>
      </c>
      <c r="AZ25" s="255"/>
      <c r="BA25" s="10"/>
    </row>
    <row r="26" spans="1:55" ht="23.25" thickBot="1">
      <c r="A26" s="10"/>
      <c r="B26" s="90"/>
      <c r="C26" s="903" t="s">
        <v>35</v>
      </c>
      <c r="D26" s="882"/>
      <c r="E26" s="882"/>
      <c r="F26" s="882"/>
      <c r="G26" s="882"/>
      <c r="H26" s="882"/>
      <c r="I26" s="882"/>
      <c r="J26" s="882"/>
      <c r="K26" s="882"/>
      <c r="L26" s="882" t="s">
        <v>405</v>
      </c>
      <c r="M26" s="882"/>
      <c r="N26" s="871"/>
      <c r="O26" s="871"/>
      <c r="P26" s="871"/>
      <c r="Q26" s="871"/>
      <c r="R26" s="871"/>
      <c r="S26" s="871"/>
      <c r="T26" s="871"/>
      <c r="U26" s="891" t="s">
        <v>36</v>
      </c>
      <c r="V26" s="891"/>
      <c r="W26" s="886"/>
      <c r="X26" s="871"/>
      <c r="Y26" s="871"/>
      <c r="Z26" s="871"/>
      <c r="AA26" s="891" t="s">
        <v>37</v>
      </c>
      <c r="AB26" s="891"/>
      <c r="AC26" s="894"/>
      <c r="AD26" s="871"/>
      <c r="AE26" s="871"/>
      <c r="AF26" s="872"/>
      <c r="AG26" s="332"/>
      <c r="AH26" s="332"/>
      <c r="AI26" s="332"/>
      <c r="AJ26" s="332"/>
      <c r="AK26" s="332"/>
      <c r="AM26" s="381">
        <f>IF(AM25,AM24,IF(AN25,AN24,IF(AO25,AO24,IF(AP25,AP24,""))))</f>
      </c>
      <c r="AN26" s="382">
        <f>IF(AND(AM25,AM24&lt;&gt;AM26),AM24,IF(AND(AN25,AM26&lt;&gt;AN24),AN24,IF(AND(AO25,AO24&lt;&gt;AM26),AO24,IF(AND(AP25,AP24&lt;&gt;AM26),AP24,""))))</f>
      </c>
      <c r="AO26" s="382">
        <f>IF(AND(AM25,AM24&lt;&gt;AM26,AM24&lt;&gt;AN26),AM24,IF(AND(AN25,AN24&lt;&gt;AM26,AN24&lt;&gt;AN26),AN24,IF(AND(AO25,AO24&lt;&gt;AM26,AO24&lt;&gt;AN26),AO24,IF(AND(AP25,AP24&lt;&gt;AM26,AP24&lt;&gt;AN26),AP24,""))))</f>
      </c>
      <c r="AP26" s="383">
        <f>IF(AND(AM25,AM24&lt;&gt;AM26,AM24&lt;&gt;AN26,AM24&lt;&gt;AO26),AM24,IF(AND(AN25,AN24&lt;&gt;AM26,AN24&lt;&gt;AN26,AN24&lt;&gt;AO26),AN24,IF(AND(AO25,AO24&lt;&gt;AM26,AO24&lt;&gt;AN26,AO24&lt;&gt;AO26),AO24,IF(AND(AP25,AP24&lt;&gt;AM26,AP24&lt;&gt;AN26,AP24&lt;&gt;AO26),AP24,""))))</f>
      </c>
      <c r="AR26" s="314"/>
      <c r="AS26" s="315"/>
      <c r="AT26" s="254"/>
      <c r="AU26" s="254"/>
      <c r="AV26" s="254" t="str">
        <f>'Žádost o valuty'!Y26</f>
        <v>Bosna a Hercegovina</v>
      </c>
      <c r="AW26" s="254" t="str">
        <f>'Žádost o valuty'!Z26</f>
        <v>EUR</v>
      </c>
      <c r="AX26" s="254">
        <f>'Žádost o valuty'!AA26</f>
        <v>35</v>
      </c>
      <c r="AY26" s="254">
        <v>24</v>
      </c>
      <c r="AZ26" s="255"/>
      <c r="BA26" s="10"/>
      <c r="BC26" s="350"/>
    </row>
    <row r="27" spans="1:53" ht="5.25" customHeight="1">
      <c r="A27" s="10"/>
      <c r="B27" s="90"/>
      <c r="C27" s="907"/>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9"/>
      <c r="AG27" s="307"/>
      <c r="AH27" s="307"/>
      <c r="AI27" s="307"/>
      <c r="AJ27" s="307"/>
      <c r="AK27" s="307"/>
      <c r="AR27" s="254"/>
      <c r="AS27" s="254"/>
      <c r="AT27" s="254"/>
      <c r="AU27" s="254"/>
      <c r="AV27" s="254" t="str">
        <f>'Žádost o valuty'!Y27</f>
        <v>Botswana </v>
      </c>
      <c r="AW27" s="254" t="str">
        <f>'Žádost o valuty'!Z27</f>
        <v>USD</v>
      </c>
      <c r="AX27" s="254">
        <f>'Žádost o valuty'!AA27</f>
        <v>55</v>
      </c>
      <c r="AY27" s="254">
        <v>25</v>
      </c>
      <c r="AZ27" s="255"/>
      <c r="BA27" s="10"/>
    </row>
    <row r="28" spans="1:53" ht="18" customHeight="1" thickBot="1">
      <c r="A28" s="10"/>
      <c r="B28" s="90"/>
      <c r="C28" s="904" t="s">
        <v>457</v>
      </c>
      <c r="D28" s="905"/>
      <c r="E28" s="905"/>
      <c r="F28" s="905"/>
      <c r="G28" s="905"/>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6"/>
      <c r="AG28" s="318"/>
      <c r="AH28" s="318"/>
      <c r="AI28" s="318"/>
      <c r="AJ28" s="318"/>
      <c r="AK28" s="318"/>
      <c r="AR28" s="329"/>
      <c r="AS28" s="254"/>
      <c r="AT28" s="314"/>
      <c r="AU28" s="314"/>
      <c r="AV28" s="254" t="str">
        <f>'Žádost o valuty'!Y28</f>
        <v>Brazílie </v>
      </c>
      <c r="AW28" s="254" t="str">
        <f>'Žádost o valuty'!Z28</f>
        <v>USD</v>
      </c>
      <c r="AX28" s="254">
        <f>'Žádost o valuty'!AA28</f>
        <v>55</v>
      </c>
      <c r="AY28" s="254">
        <v>26</v>
      </c>
      <c r="AZ28" s="256"/>
      <c r="BA28" s="10"/>
    </row>
    <row r="29" spans="1:53" s="3" customFormat="1" ht="21.75" customHeight="1">
      <c r="A29" s="12"/>
      <c r="B29" s="94"/>
      <c r="C29" s="895" t="s">
        <v>39</v>
      </c>
      <c r="D29" s="896"/>
      <c r="E29" s="897"/>
      <c r="F29" s="1073" t="s">
        <v>463</v>
      </c>
      <c r="G29" s="897"/>
      <c r="H29" s="901" t="s">
        <v>458</v>
      </c>
      <c r="I29" s="901" t="s">
        <v>459</v>
      </c>
      <c r="J29" s="879" t="s">
        <v>40</v>
      </c>
      <c r="K29" s="879"/>
      <c r="L29" s="879" t="s">
        <v>41</v>
      </c>
      <c r="M29" s="879"/>
      <c r="N29" s="879"/>
      <c r="O29" s="879"/>
      <c r="P29" s="879"/>
      <c r="Q29" s="879"/>
      <c r="R29" s="879"/>
      <c r="S29" s="879"/>
      <c r="T29" s="1087" t="s">
        <v>390</v>
      </c>
      <c r="U29" s="1088"/>
      <c r="V29" s="1088"/>
      <c r="W29" s="1085" t="s">
        <v>42</v>
      </c>
      <c r="X29" s="1085"/>
      <c r="Y29" s="1085"/>
      <c r="Z29" s="943" t="s">
        <v>391</v>
      </c>
      <c r="AA29" s="944"/>
      <c r="AB29" s="944"/>
      <c r="AC29" s="945"/>
      <c r="AD29" s="1037" t="s">
        <v>260</v>
      </c>
      <c r="AE29" s="1038"/>
      <c r="AF29" s="1039"/>
      <c r="AG29" s="319"/>
      <c r="AH29" s="319"/>
      <c r="AI29" s="1183" t="s">
        <v>482</v>
      </c>
      <c r="AJ29" s="365"/>
      <c r="AK29" s="319"/>
      <c r="AR29" s="314"/>
      <c r="AS29" s="254"/>
      <c r="AT29" s="254"/>
      <c r="AU29" s="254"/>
      <c r="AV29" s="254" t="str">
        <f>'Žádost o valuty'!Y29</f>
        <v>Britské Panenské ostrovy</v>
      </c>
      <c r="AW29" s="254" t="str">
        <f>'Žádost o valuty'!Z29</f>
        <v>USD</v>
      </c>
      <c r="AX29" s="254">
        <f>'Žádost o valuty'!AA29</f>
        <v>55</v>
      </c>
      <c r="AY29" s="254">
        <v>27</v>
      </c>
      <c r="AZ29" s="255"/>
      <c r="BA29" s="12"/>
    </row>
    <row r="30" spans="1:55" s="3" customFormat="1" ht="35.25" customHeight="1" thickBot="1">
      <c r="A30" s="12"/>
      <c r="B30" s="94"/>
      <c r="C30" s="898"/>
      <c r="D30" s="899"/>
      <c r="E30" s="900"/>
      <c r="F30" s="1074"/>
      <c r="G30" s="900"/>
      <c r="H30" s="902"/>
      <c r="I30" s="902"/>
      <c r="J30" s="880"/>
      <c r="K30" s="880"/>
      <c r="L30" s="880"/>
      <c r="M30" s="880"/>
      <c r="N30" s="880"/>
      <c r="O30" s="880"/>
      <c r="P30" s="880"/>
      <c r="Q30" s="880"/>
      <c r="R30" s="880"/>
      <c r="S30" s="880"/>
      <c r="T30" s="1089"/>
      <c r="U30" s="1089"/>
      <c r="V30" s="1089"/>
      <c r="W30" s="1086"/>
      <c r="X30" s="1086"/>
      <c r="Y30" s="1086"/>
      <c r="Z30" s="946"/>
      <c r="AA30" s="947"/>
      <c r="AB30" s="947"/>
      <c r="AC30" s="948"/>
      <c r="AD30" s="102" t="s">
        <v>58</v>
      </c>
      <c r="AE30" s="103" t="s">
        <v>59</v>
      </c>
      <c r="AF30" s="104" t="s">
        <v>60</v>
      </c>
      <c r="AG30" s="371" t="s">
        <v>483</v>
      </c>
      <c r="AH30" s="317" t="s">
        <v>469</v>
      </c>
      <c r="AI30" s="1183"/>
      <c r="AK30" s="317"/>
      <c r="AL30" s="99" t="s">
        <v>479</v>
      </c>
      <c r="AM30" s="99" t="s">
        <v>480</v>
      </c>
      <c r="AN30" s="99" t="s">
        <v>481</v>
      </c>
      <c r="AO30" s="99" t="s">
        <v>404</v>
      </c>
      <c r="AP30" s="99" t="s">
        <v>403</v>
      </c>
      <c r="AQ30" s="99" t="s">
        <v>387</v>
      </c>
      <c r="AR30" s="255" t="s">
        <v>464</v>
      </c>
      <c r="AS30" s="255" t="s">
        <v>460</v>
      </c>
      <c r="AT30" s="255"/>
      <c r="AU30" s="255"/>
      <c r="AV30" s="254" t="str">
        <f>'Žádost o valuty'!Y30</f>
        <v>Brunei </v>
      </c>
      <c r="AW30" s="254" t="str">
        <f>'Žádost o valuty'!Z30</f>
        <v>USD</v>
      </c>
      <c r="AX30" s="254">
        <f>'Žádost o valuty'!AA30</f>
        <v>40</v>
      </c>
      <c r="AY30" s="254">
        <v>28</v>
      </c>
      <c r="AZ30" s="255"/>
      <c r="BA30" s="12"/>
      <c r="BC30" s="356"/>
    </row>
    <row r="31" spans="1:53" s="2" customFormat="1" ht="11.25" customHeight="1" thickTop="1">
      <c r="A31" s="13"/>
      <c r="B31" s="1109"/>
      <c r="C31" s="794"/>
      <c r="D31" s="795"/>
      <c r="E31" s="796"/>
      <c r="F31" s="806"/>
      <c r="G31" s="807"/>
      <c r="H31" s="893">
        <f>INT($AS31)</f>
        <v>0</v>
      </c>
      <c r="I31" s="892">
        <f>IF((AS31-INT(AS31))=0,"",AS31)</f>
      </c>
      <c r="J31" s="881">
        <f>IF(ISNA(VLOOKUP(L31,'Žádost o valuty'!$Y$3:$AA$200,2,FALSE)),"",VLOOKUP(L31,'Žádost o valuty'!$Y$3:$AA$200,2,FALSE))</f>
      </c>
      <c r="K31" s="881"/>
      <c r="L31" s="883"/>
      <c r="M31" s="884"/>
      <c r="N31" s="884"/>
      <c r="O31" s="884"/>
      <c r="P31" s="884"/>
      <c r="Q31" s="884"/>
      <c r="R31" s="884"/>
      <c r="S31" s="885"/>
      <c r="T31" s="876">
        <f>IF(ISNA(VLOOKUP(L31,'Žádost o valuty'!$Y$3:$AA$200,3,FALSE)),0,VLOOKUP(L31,'Žádost o valuty'!$Y$3:$AA$200,3,FALSE))</f>
        <v>0</v>
      </c>
      <c r="U31" s="876"/>
      <c r="V31" s="876"/>
      <c r="W31" s="877">
        <f>IF(OR(AND(I31=0,H31=0),AND(AC31="*",AG31&lt;5)),0,IF(AG31,HLOOKUP(CEILING(AG31,6),AL$124:AP$129,6),AG32))*T31*kapesne</f>
        <v>0</v>
      </c>
      <c r="X31" s="877"/>
      <c r="Y31" s="877"/>
      <c r="Z31" s="887">
        <f>IF($AN$130=TRUE,0,IF(AND(H31=0,AC31="*",AG31&lt;5),0,T31*IF(AG31,AO31,AP31*AG32)))</f>
        <v>0</v>
      </c>
      <c r="AA31" s="888"/>
      <c r="AB31" s="888"/>
      <c r="AC31" s="1184">
        <f>IF(AND(NOT(I31=""),OR(AND(C31=C$6,AM$6&gt;=5),AND(C31=C$8,AM$8&gt;=5),AND(C31=C$10,AM$10&gt;=5),AND(C31=C$12,AM$12&gt;=5))),"*","")</f>
      </c>
      <c r="AD31" s="1036"/>
      <c r="AE31" s="1035"/>
      <c r="AF31" s="1034"/>
      <c r="AG31" s="384">
        <v>0</v>
      </c>
      <c r="AH31" s="385">
        <v>1</v>
      </c>
      <c r="AI31" s="386">
        <f>IF(AND(C31&lt;&gt;"",AC31="*",AG31&gt;0,AG31&lt;5),MATCH(C31,C$6:C$13,0),"")</f>
      </c>
      <c r="AJ31" s="95"/>
      <c r="AK31" s="328"/>
      <c r="AL31" s="36" t="b">
        <v>0</v>
      </c>
      <c r="AM31" s="36" t="b">
        <v>0</v>
      </c>
      <c r="AN31" s="36" t="b">
        <v>0</v>
      </c>
      <c r="AO31" s="357">
        <f>IF(AG31&lt;1,0,HLOOKUP(CEILING(AG31,6),AL$124:AP$129,6)*(VLOOKUP(AQ31,AL$125:AP$128,MATCH(CEILING(AG31,6),AL$124:AP$124,1))))</f>
        <v>0</v>
      </c>
      <c r="AP31" s="300">
        <f>VLOOKUP(AQ31,AL$125:AP$128,5,TRUE)*AP$125</f>
        <v>1</v>
      </c>
      <c r="AQ31" s="37">
        <f>COUNTIF(AL31:AN31,TRUE)</f>
        <v>0</v>
      </c>
      <c r="AR31" s="254">
        <f>IF(F31="",0,TIMEVALUE(F31))</f>
        <v>0</v>
      </c>
      <c r="AS31" s="1">
        <f>(C32+AR32-C31-AR31)+IF(F32="24:00",1,0)</f>
        <v>0</v>
      </c>
      <c r="AT31" s="358"/>
      <c r="AU31" s="358"/>
      <c r="AV31" s="254" t="str">
        <f>'Žádost o valuty'!Y31</f>
        <v>Bulharsko </v>
      </c>
      <c r="AW31" s="254" t="str">
        <f>'Žádost o valuty'!Z31</f>
        <v>EUR</v>
      </c>
      <c r="AX31" s="254">
        <f>'Žádost o valuty'!AA31</f>
        <v>35</v>
      </c>
      <c r="AY31" s="254">
        <v>29</v>
      </c>
      <c r="AZ31" s="256"/>
      <c r="BA31" s="13"/>
    </row>
    <row r="32" spans="1:53" s="2" customFormat="1" ht="11.25" customHeight="1" thickBot="1">
      <c r="A32" s="13"/>
      <c r="B32" s="1110"/>
      <c r="C32" s="808"/>
      <c r="D32" s="809"/>
      <c r="E32" s="810"/>
      <c r="F32" s="813"/>
      <c r="G32" s="814"/>
      <c r="H32" s="793"/>
      <c r="I32" s="812"/>
      <c r="J32" s="841"/>
      <c r="K32" s="841"/>
      <c r="L32" s="803"/>
      <c r="M32" s="804"/>
      <c r="N32" s="804"/>
      <c r="O32" s="804"/>
      <c r="P32" s="804"/>
      <c r="Q32" s="804"/>
      <c r="R32" s="804"/>
      <c r="S32" s="805"/>
      <c r="T32" s="791"/>
      <c r="U32" s="791"/>
      <c r="V32" s="791"/>
      <c r="W32" s="878"/>
      <c r="X32" s="878"/>
      <c r="Y32" s="878"/>
      <c r="Z32" s="889"/>
      <c r="AA32" s="890"/>
      <c r="AB32" s="890"/>
      <c r="AC32" s="764"/>
      <c r="AD32" s="918"/>
      <c r="AE32" s="911"/>
      <c r="AF32" s="913"/>
      <c r="AG32" s="387">
        <v>0</v>
      </c>
      <c r="AH32" s="385"/>
      <c r="AI32" s="388"/>
      <c r="AJ32" s="328"/>
      <c r="AK32" s="328"/>
      <c r="AL32" s="36"/>
      <c r="AM32" s="36"/>
      <c r="AN32" s="36"/>
      <c r="AO32" s="301"/>
      <c r="AP32" s="300"/>
      <c r="AQ32" s="37"/>
      <c r="AR32" s="254">
        <f aca="true" t="shared" si="1" ref="AR32:AR40">IF(F32="",0,TIMEVALUE(F32))</f>
        <v>0</v>
      </c>
      <c r="AS32" s="254"/>
      <c r="AT32" s="314"/>
      <c r="AU32" s="314"/>
      <c r="AV32" s="254" t="str">
        <f>'Žádost o valuty'!Y32</f>
        <v>Burkina Faso</v>
      </c>
      <c r="AW32" s="254" t="str">
        <f>'Žádost o valuty'!Z32</f>
        <v>EUR</v>
      </c>
      <c r="AX32" s="254">
        <f>'Žádost o valuty'!AA32</f>
        <v>40</v>
      </c>
      <c r="AY32" s="254">
        <v>30</v>
      </c>
      <c r="AZ32" s="255"/>
      <c r="BA32" s="13"/>
    </row>
    <row r="33" spans="1:53" ht="11.25" customHeight="1">
      <c r="A33" s="10"/>
      <c r="B33" s="1111"/>
      <c r="C33" s="794"/>
      <c r="D33" s="795"/>
      <c r="E33" s="796"/>
      <c r="F33" s="789"/>
      <c r="G33" s="790"/>
      <c r="H33" s="792">
        <f>INT($AS33)</f>
        <v>0</v>
      </c>
      <c r="I33" s="811">
        <f>IF((AS33-INT(AS33))=0,"",AS33)</f>
      </c>
      <c r="J33" s="841">
        <f>IF(ISNA(VLOOKUP(L33,'Žádost o valuty'!$Y$3:$AA$200,2,FALSE)),"",VLOOKUP(L33,'Žádost o valuty'!$Y$3:$AA$200,2,FALSE))</f>
      </c>
      <c r="K33" s="841"/>
      <c r="L33" s="800"/>
      <c r="M33" s="801"/>
      <c r="N33" s="801"/>
      <c r="O33" s="801"/>
      <c r="P33" s="801"/>
      <c r="Q33" s="801"/>
      <c r="R33" s="801"/>
      <c r="S33" s="802"/>
      <c r="T33" s="791">
        <f>IF(ISNA(VLOOKUP(L33,'Žádost o valuty'!$Y$3:$AA$200,3,FALSE)),0,VLOOKUP(L33,'Žádost o valuty'!$Y$3:$AA$200,3,FALSE))</f>
        <v>0</v>
      </c>
      <c r="U33" s="791"/>
      <c r="V33" s="791"/>
      <c r="W33" s="767">
        <f>IF(OR(AND(I33=0,H33=0),AND(AC33="*",AG33&lt;5)),0,IF(AG33,HLOOKUP(CEILING(AG33,6),AL$124:AP$129,6),AG34))*T33*kapesne</f>
        <v>0</v>
      </c>
      <c r="X33" s="768"/>
      <c r="Y33" s="855"/>
      <c r="Z33" s="889">
        <f>IF($AN$130=TRUE,0,IF(AND(H33=0,AC33="*",AG33&lt;5),0,T33*IF(AG33,AO33,AP33*AG34)))</f>
        <v>0</v>
      </c>
      <c r="AA33" s="890"/>
      <c r="AB33" s="890"/>
      <c r="AC33" s="764">
        <f>IF(AND(NOT(I33=""),OR(AND(C33=C$6,AM$6&gt;=5),AND(C33=C$8,AM$8&gt;=5),AND(C33=C$10,AM$10&gt;=5),AND(C33=C$12,AM$12&gt;=5))),"*","")</f>
      </c>
      <c r="AD33" s="921"/>
      <c r="AE33" s="910">
        <v>1</v>
      </c>
      <c r="AF33" s="912"/>
      <c r="AG33" s="384">
        <v>0</v>
      </c>
      <c r="AH33" s="385">
        <v>1</v>
      </c>
      <c r="AI33" s="386">
        <f>IF(AND(C33&lt;&gt;"",AC33="*",AG33&gt;0,AG33&lt;5),MATCH(C33,C$6:C$13,0),"")</f>
      </c>
      <c r="AJ33" s="328"/>
      <c r="AK33" s="328"/>
      <c r="AL33" s="346" t="b">
        <v>0</v>
      </c>
      <c r="AM33" s="38" t="b">
        <v>0</v>
      </c>
      <c r="AN33" s="38" t="b">
        <v>0</v>
      </c>
      <c r="AO33" s="357">
        <f>IF(AG33&lt;1,0,HLOOKUP(CEILING(AG33,6),AL$124:AP$129,6)*(VLOOKUP(AQ33,AL$125:AP$128,MATCH(CEILING(AG33,6),AL$124:AP$124,1))))</f>
        <v>0</v>
      </c>
      <c r="AP33" s="300">
        <f>VLOOKUP(AQ33,AL$125:AP$128,5,TRUE)*AP$125</f>
        <v>1</v>
      </c>
      <c r="AQ33" s="37">
        <f>COUNTIF(AL33:AN33,TRUE)</f>
        <v>0</v>
      </c>
      <c r="AR33" s="254">
        <f t="shared" si="1"/>
        <v>0</v>
      </c>
      <c r="AS33" s="1">
        <f>(C34+AR34-C33-AR33)+IF(F34="24:00",1,0)</f>
        <v>0</v>
      </c>
      <c r="AT33" s="351"/>
      <c r="AU33" s="358"/>
      <c r="AV33" s="254" t="str">
        <f>'Žádost o valuty'!Y33</f>
        <v>Burundi </v>
      </c>
      <c r="AW33" s="254">
        <v>0</v>
      </c>
      <c r="AX33" s="254">
        <f>'Žádost o valuty'!AA33</f>
        <v>55</v>
      </c>
      <c r="AY33" s="254">
        <v>0</v>
      </c>
      <c r="AZ33" s="255"/>
      <c r="BA33" s="10"/>
    </row>
    <row r="34" spans="1:53" ht="11.25" customHeight="1" thickBot="1">
      <c r="A34" s="10"/>
      <c r="B34" s="1110"/>
      <c r="C34" s="808"/>
      <c r="D34" s="809"/>
      <c r="E34" s="810"/>
      <c r="F34" s="813"/>
      <c r="G34" s="814"/>
      <c r="H34" s="793"/>
      <c r="I34" s="812"/>
      <c r="J34" s="841"/>
      <c r="K34" s="841"/>
      <c r="L34" s="803"/>
      <c r="M34" s="804"/>
      <c r="N34" s="804"/>
      <c r="O34" s="804"/>
      <c r="P34" s="804"/>
      <c r="Q34" s="804"/>
      <c r="R34" s="804"/>
      <c r="S34" s="805"/>
      <c r="T34" s="791"/>
      <c r="U34" s="791"/>
      <c r="V34" s="791"/>
      <c r="W34" s="771"/>
      <c r="X34" s="772"/>
      <c r="Y34" s="856"/>
      <c r="Z34" s="889"/>
      <c r="AA34" s="890"/>
      <c r="AB34" s="890"/>
      <c r="AC34" s="764"/>
      <c r="AD34" s="918"/>
      <c r="AE34" s="911"/>
      <c r="AF34" s="913"/>
      <c r="AG34" s="387">
        <v>0</v>
      </c>
      <c r="AH34" s="385"/>
      <c r="AI34" s="388"/>
      <c r="AJ34" s="328"/>
      <c r="AK34" s="328"/>
      <c r="AL34" s="38"/>
      <c r="AM34" s="38"/>
      <c r="AN34" s="38"/>
      <c r="AO34" s="301"/>
      <c r="AP34" s="300"/>
      <c r="AQ34" s="37"/>
      <c r="AR34" s="254">
        <f t="shared" si="1"/>
        <v>0</v>
      </c>
      <c r="AS34" s="254"/>
      <c r="AT34" s="314"/>
      <c r="AU34" s="314"/>
      <c r="AV34" s="254" t="str">
        <f>'Žádost o valuty'!Y34</f>
        <v>Curacao </v>
      </c>
      <c r="AW34" s="254" t="str">
        <f>'Žádost o valuty'!Z34</f>
        <v>USD</v>
      </c>
      <c r="AX34" s="254">
        <f>'Žádost o valuty'!AA34</f>
        <v>55</v>
      </c>
      <c r="AY34" s="254">
        <v>32</v>
      </c>
      <c r="AZ34" s="255"/>
      <c r="BA34" s="10"/>
    </row>
    <row r="35" spans="1:56" ht="11.25" customHeight="1">
      <c r="A35" s="10"/>
      <c r="B35" s="1110"/>
      <c r="C35" s="794"/>
      <c r="D35" s="795"/>
      <c r="E35" s="796"/>
      <c r="F35" s="789"/>
      <c r="G35" s="790"/>
      <c r="H35" s="792">
        <f>INT($AS35)</f>
        <v>0</v>
      </c>
      <c r="I35" s="811">
        <f>IF((AS35-INT(AS35))=0,"",AS35)</f>
      </c>
      <c r="J35" s="841">
        <f>IF(ISNA(VLOOKUP(L35,'Žádost o valuty'!$Y$3:$AA$200,2,FALSE)),"",VLOOKUP(L35,'Žádost o valuty'!$Y$3:$AA$200,2,FALSE))</f>
      </c>
      <c r="K35" s="841"/>
      <c r="L35" s="873"/>
      <c r="M35" s="874"/>
      <c r="N35" s="874"/>
      <c r="O35" s="874"/>
      <c r="P35" s="874"/>
      <c r="Q35" s="874"/>
      <c r="R35" s="874"/>
      <c r="S35" s="875"/>
      <c r="T35" s="791">
        <f>IF(ISNA(VLOOKUP(L35,'Žádost o valuty'!$Y$3:$AA$200,3,FALSE)),0,VLOOKUP(L35,'Žádost o valuty'!$Y$3:$AA$200,3,FALSE))</f>
        <v>0</v>
      </c>
      <c r="U35" s="791"/>
      <c r="V35" s="791"/>
      <c r="W35" s="767">
        <f>IF(OR(AND(I35=0,H35=0),AND(AC35="*",AG35&lt;5)),0,IF(AG35,HLOOKUP(CEILING(AG35,6),AL$124:AP$129,6),AG36))*T35*kapesne</f>
        <v>0</v>
      </c>
      <c r="X35" s="768"/>
      <c r="Y35" s="855"/>
      <c r="Z35" s="889">
        <f>IF($AN$130=TRUE,0,IF(AND(H35=0,AC35="*",AG35&lt;5),0,T35*IF(AG35,AO35,AP35*AG36)))</f>
        <v>0</v>
      </c>
      <c r="AA35" s="890"/>
      <c r="AB35" s="890"/>
      <c r="AC35" s="764">
        <f>IF(AND(NOT(I35=""),OR(AND(C35=C$6,AM$6&gt;=5),AND(C35=C$8,AM$8&gt;=5),AND(C35=C$10,AM$10&gt;=5),AND(C35=C$12,AM$12&gt;=5))),"*","")</f>
      </c>
      <c r="AD35" s="921"/>
      <c r="AE35" s="910"/>
      <c r="AF35" s="912"/>
      <c r="AG35" s="384">
        <v>0</v>
      </c>
      <c r="AH35" s="385">
        <v>1</v>
      </c>
      <c r="AI35" s="386">
        <f>IF(AND(C35&lt;&gt;"",AC35="*",AG35&gt;0,AG35&lt;5),MATCH(C35,C$6:C$13,0),"")</f>
      </c>
      <c r="AJ35" s="328"/>
      <c r="AK35" s="328"/>
      <c r="AL35" s="38" t="b">
        <v>0</v>
      </c>
      <c r="AM35" s="38" t="b">
        <v>0</v>
      </c>
      <c r="AN35" s="38" t="b">
        <v>0</v>
      </c>
      <c r="AO35" s="357">
        <f>IF(AG35&lt;1,0,HLOOKUP(CEILING(AG35,6),AL$124:AP$129,6)*(VLOOKUP(AQ35,AL$125:AP$128,MATCH(CEILING(AG35,6),AL$124:AP$124,1))))</f>
        <v>0</v>
      </c>
      <c r="AP35" s="300">
        <f>VLOOKUP(AQ35,AL$125:AP$128,5,TRUE)*AP$125</f>
        <v>1</v>
      </c>
      <c r="AQ35" s="37">
        <f>COUNTIF(AL35:AN35,TRUE)</f>
        <v>0</v>
      </c>
      <c r="AR35" s="254">
        <f t="shared" si="1"/>
        <v>0</v>
      </c>
      <c r="AS35" s="1">
        <f>(C36+AR36-C35-AR35)+IF(F36="24:00",1,0)</f>
        <v>0</v>
      </c>
      <c r="AT35" s="351"/>
      <c r="AU35" s="351"/>
      <c r="AV35" s="254" t="str">
        <f>'Žádost o valuty'!Y35</f>
        <v>Čad </v>
      </c>
      <c r="AW35" s="254" t="str">
        <f>'Žádost o valuty'!Z35</f>
        <v>                                            EUR</v>
      </c>
      <c r="AX35" s="254">
        <f>'Žádost o valuty'!AA35</f>
        <v>45</v>
      </c>
      <c r="AY35" s="254">
        <v>33</v>
      </c>
      <c r="AZ35" s="255"/>
      <c r="BA35" s="10"/>
      <c r="BC35" s="354"/>
      <c r="BD35" s="354"/>
    </row>
    <row r="36" spans="1:56" ht="11.25" customHeight="1" thickBot="1">
      <c r="A36" s="10"/>
      <c r="B36" s="1110"/>
      <c r="C36" s="808"/>
      <c r="D36" s="809"/>
      <c r="E36" s="810"/>
      <c r="F36" s="813"/>
      <c r="G36" s="814"/>
      <c r="H36" s="793"/>
      <c r="I36" s="812"/>
      <c r="J36" s="841"/>
      <c r="K36" s="841"/>
      <c r="L36" s="803"/>
      <c r="M36" s="804"/>
      <c r="N36" s="804"/>
      <c r="O36" s="804"/>
      <c r="P36" s="804"/>
      <c r="Q36" s="804"/>
      <c r="R36" s="804"/>
      <c r="S36" s="805"/>
      <c r="T36" s="791"/>
      <c r="U36" s="791"/>
      <c r="V36" s="791"/>
      <c r="W36" s="771"/>
      <c r="X36" s="772"/>
      <c r="Y36" s="856"/>
      <c r="Z36" s="889"/>
      <c r="AA36" s="890"/>
      <c r="AB36" s="890"/>
      <c r="AC36" s="764"/>
      <c r="AD36" s="918"/>
      <c r="AE36" s="911"/>
      <c r="AF36" s="913"/>
      <c r="AG36" s="387">
        <v>0</v>
      </c>
      <c r="AH36" s="385"/>
      <c r="AI36" s="388"/>
      <c r="AJ36" s="328"/>
      <c r="AK36" s="328"/>
      <c r="AL36" s="38"/>
      <c r="AM36" s="38"/>
      <c r="AN36" s="38"/>
      <c r="AO36" s="301"/>
      <c r="AP36" s="300"/>
      <c r="AQ36" s="37"/>
      <c r="AR36" s="254">
        <f t="shared" si="1"/>
        <v>0</v>
      </c>
      <c r="AS36" s="254"/>
      <c r="AT36" s="314"/>
      <c r="AU36" s="314"/>
      <c r="AV36" s="254" t="str">
        <f>'Žádost o valuty'!Y36</f>
        <v>Černá Hora</v>
      </c>
      <c r="AW36" s="254" t="str">
        <f>'Žádost o valuty'!Z36</f>
        <v>EUR</v>
      </c>
      <c r="AX36" s="254">
        <f>'Žádost o valuty'!AA36</f>
        <v>35</v>
      </c>
      <c r="AY36" s="254">
        <v>34</v>
      </c>
      <c r="AZ36" s="255"/>
      <c r="BA36" s="10"/>
      <c r="BC36" s="355"/>
      <c r="BD36" s="355"/>
    </row>
    <row r="37" spans="1:56" ht="11.25" customHeight="1">
      <c r="A37" s="10"/>
      <c r="B37" s="1110"/>
      <c r="C37" s="794"/>
      <c r="D37" s="795"/>
      <c r="E37" s="796"/>
      <c r="F37" s="789"/>
      <c r="G37" s="790"/>
      <c r="H37" s="792">
        <f>INT($AS37)</f>
        <v>0</v>
      </c>
      <c r="I37" s="811">
        <f>IF((AS37-INT(AS37))=0,"",AS37)</f>
      </c>
      <c r="J37" s="841">
        <f>IF(ISNA(VLOOKUP(L37,'Žádost o valuty'!$Y$3:$AA$200,2,FALSE)),"",VLOOKUP(L37,'Žádost o valuty'!$Y$3:$AA$200,2,FALSE))</f>
      </c>
      <c r="K37" s="841"/>
      <c r="L37" s="800"/>
      <c r="M37" s="801"/>
      <c r="N37" s="801"/>
      <c r="O37" s="801"/>
      <c r="P37" s="801"/>
      <c r="Q37" s="801"/>
      <c r="R37" s="801"/>
      <c r="S37" s="802"/>
      <c r="T37" s="791">
        <f>IF(ISNA(VLOOKUP(L37,'Žádost o valuty'!$Y$3:$AA$200,3,FALSE)),0,VLOOKUP(L37,'Žádost o valuty'!$Y$3:$AA$200,3,FALSE))</f>
        <v>0</v>
      </c>
      <c r="U37" s="791"/>
      <c r="V37" s="791"/>
      <c r="W37" s="767">
        <f>IF(OR(AND(I37=0,H37=0),AND(AC37="*",AG37&lt;5)),0,IF(AG37,HLOOKUP(CEILING(AG37,6),AL$124:AP$129,6),AG38))*T37*kapesne</f>
        <v>0</v>
      </c>
      <c r="X37" s="768"/>
      <c r="Y37" s="855"/>
      <c r="Z37" s="889">
        <f>IF($AN$130=TRUE,0,IF(AND(H37=0,AC37="*",AG37&lt;5),0,T37*IF(AG37,AO37,AP37*AG38)))</f>
        <v>0</v>
      </c>
      <c r="AA37" s="890"/>
      <c r="AB37" s="890"/>
      <c r="AC37" s="764">
        <f>IF(AND(NOT(I37=""),OR(AND(C37=C$6,AM$6&gt;=5),AND(C37=C$8,AM$8&gt;=5),AND(C37=C$10,AM$10&gt;=5),AND(C37=C$12,AM$12&gt;=5))),"*","")</f>
      </c>
      <c r="AD37" s="921"/>
      <c r="AE37" s="910"/>
      <c r="AF37" s="912"/>
      <c r="AG37" s="384">
        <v>0</v>
      </c>
      <c r="AH37" s="385">
        <v>1</v>
      </c>
      <c r="AI37" s="386">
        <f>IF(AND(C37&lt;&gt;"",AC37="*",AG37&gt;0,AG37&lt;5),MATCH(C37,C$6:C$13,0),"")</f>
      </c>
      <c r="AJ37" s="328"/>
      <c r="AK37" s="328"/>
      <c r="AL37" s="38" t="b">
        <v>0</v>
      </c>
      <c r="AM37" s="38" t="b">
        <v>0</v>
      </c>
      <c r="AN37" s="38" t="b">
        <v>0</v>
      </c>
      <c r="AO37" s="357">
        <f>IF(AG37&lt;1,0,HLOOKUP(CEILING(AG37,6),AL$124:AP$129,6)*(VLOOKUP(AQ37,AL$125:AP$128,MATCH(CEILING(AG37,6),AL$124:AP$124,1))))</f>
        <v>0</v>
      </c>
      <c r="AP37" s="300">
        <f>VLOOKUP(AQ37,AL$125:AP$128,5,TRUE)*AP$125</f>
        <v>1</v>
      </c>
      <c r="AQ37" s="37">
        <f>COUNTIF(AL37:AN37,TRUE)</f>
        <v>0</v>
      </c>
      <c r="AR37" s="254">
        <f t="shared" si="1"/>
        <v>0</v>
      </c>
      <c r="AS37" s="1">
        <f>(C38+AR38-C37-AR37)+IF(F38="24:00",1,0)</f>
        <v>0</v>
      </c>
      <c r="AT37" s="351"/>
      <c r="AU37" s="351"/>
      <c r="AV37" s="254" t="str">
        <f>'Žádost o valuty'!Y37</f>
        <v>Čína </v>
      </c>
      <c r="AW37" s="254" t="str">
        <f>'Žádost o valuty'!Z37</f>
        <v>EUR</v>
      </c>
      <c r="AX37" s="254">
        <f>'Žádost o valuty'!AA37</f>
        <v>45</v>
      </c>
      <c r="AY37" s="254">
        <v>35</v>
      </c>
      <c r="AZ37" s="256"/>
      <c r="BA37" s="10"/>
      <c r="BC37" s="355"/>
      <c r="BD37" s="355"/>
    </row>
    <row r="38" spans="1:56" ht="11.25" customHeight="1" thickBot="1">
      <c r="A38" s="10"/>
      <c r="B38" s="1110"/>
      <c r="C38" s="794"/>
      <c r="D38" s="795"/>
      <c r="E38" s="796"/>
      <c r="F38" s="813"/>
      <c r="G38" s="814"/>
      <c r="H38" s="793"/>
      <c r="I38" s="812"/>
      <c r="J38" s="841"/>
      <c r="K38" s="841"/>
      <c r="L38" s="803"/>
      <c r="M38" s="804"/>
      <c r="N38" s="804"/>
      <c r="O38" s="804"/>
      <c r="P38" s="804"/>
      <c r="Q38" s="804"/>
      <c r="R38" s="804"/>
      <c r="S38" s="805"/>
      <c r="T38" s="791"/>
      <c r="U38" s="791"/>
      <c r="V38" s="791"/>
      <c r="W38" s="771"/>
      <c r="X38" s="772"/>
      <c r="Y38" s="856"/>
      <c r="Z38" s="889"/>
      <c r="AA38" s="890"/>
      <c r="AB38" s="890"/>
      <c r="AC38" s="764"/>
      <c r="AD38" s="918"/>
      <c r="AE38" s="911"/>
      <c r="AF38" s="913"/>
      <c r="AG38" s="387">
        <v>0</v>
      </c>
      <c r="AH38" s="385"/>
      <c r="AI38" s="388"/>
      <c r="AJ38" s="328"/>
      <c r="AK38" s="328"/>
      <c r="AL38" s="38"/>
      <c r="AM38" s="38"/>
      <c r="AN38" s="38"/>
      <c r="AO38" s="301"/>
      <c r="AP38" s="300"/>
      <c r="AQ38" s="37"/>
      <c r="AR38" s="254">
        <f t="shared" si="1"/>
        <v>0</v>
      </c>
      <c r="AS38" s="254"/>
      <c r="AT38" s="314"/>
      <c r="AU38" s="314"/>
      <c r="AV38" s="254" t="str">
        <f>'Žádost o valuty'!Y38</f>
        <v>Dánsko </v>
      </c>
      <c r="AW38" s="254" t="str">
        <f>'Žádost o valuty'!Z38</f>
        <v>EUR</v>
      </c>
      <c r="AX38" s="254">
        <f>'Žádost o valuty'!AA38</f>
        <v>50</v>
      </c>
      <c r="AY38" s="254">
        <v>36</v>
      </c>
      <c r="AZ38" s="255"/>
      <c r="BA38" s="10"/>
      <c r="BC38" s="355"/>
      <c r="BD38" s="355"/>
    </row>
    <row r="39" spans="1:56" ht="11.25" customHeight="1">
      <c r="A39" s="10"/>
      <c r="B39" s="1110"/>
      <c r="C39" s="797"/>
      <c r="D39" s="798"/>
      <c r="E39" s="799"/>
      <c r="F39" s="789"/>
      <c r="G39" s="790"/>
      <c r="H39" s="792">
        <f>INT($AS39)</f>
        <v>0</v>
      </c>
      <c r="I39" s="811">
        <f>IF((AS39-INT(AS39))=0,"",AS39)</f>
      </c>
      <c r="J39" s="841">
        <f>IF(ISNA(VLOOKUP(L39,'Žádost o valuty'!$Y$3:$AA$200,2,FALSE)),"",VLOOKUP(L39,'Žádost o valuty'!$Y$3:$AA$200,2,FALSE))</f>
      </c>
      <c r="K39" s="841"/>
      <c r="L39" s="800"/>
      <c r="M39" s="801"/>
      <c r="N39" s="801"/>
      <c r="O39" s="801"/>
      <c r="P39" s="801"/>
      <c r="Q39" s="801"/>
      <c r="R39" s="801"/>
      <c r="S39" s="802"/>
      <c r="T39" s="791">
        <f>IF(ISNA(VLOOKUP(L39,'Žádost o valuty'!$Y$3:$AA$200,3,FALSE)),0,VLOOKUP(L39,'Žádost o valuty'!$Y$3:$AA$200,3,FALSE))</f>
        <v>0</v>
      </c>
      <c r="U39" s="791"/>
      <c r="V39" s="791"/>
      <c r="W39" s="767">
        <f>IF(OR(AND(I39=0,H39=0),AND(AC39="*",AG39&lt;5)),0,IF(AG39,HLOOKUP(CEILING(AG39,6),AL$124:AP$129,6),AG40))*T39*kapesne</f>
        <v>0</v>
      </c>
      <c r="X39" s="768"/>
      <c r="Y39" s="855"/>
      <c r="Z39" s="889">
        <f>IF($AN$130=TRUE,0,IF(AND(H39=0,AC39="*",AG39&lt;5),0,T39*IF(AG39,AO39,AP39*AG40)))</f>
        <v>0</v>
      </c>
      <c r="AA39" s="890"/>
      <c r="AB39" s="890"/>
      <c r="AC39" s="764">
        <f>IF(AND(NOT(I39=""),OR(AND(C39=C$6,AM$6&gt;=5),AND(C39=C$8,AM$8&gt;=5),AND(C39=C$10,AM$10&gt;=5),AND(C39=C$12,AM$12&gt;=5))),"*","")</f>
      </c>
      <c r="AD39" s="921"/>
      <c r="AE39" s="910"/>
      <c r="AF39" s="912"/>
      <c r="AG39" s="384">
        <v>0</v>
      </c>
      <c r="AH39" s="385">
        <v>1</v>
      </c>
      <c r="AI39" s="386">
        <f>IF(AND(C39&lt;&gt;"",AC39="*",AG39&gt;0,AG39&lt;5),MATCH(C39,C$6:C$13,0),"")</f>
      </c>
      <c r="AJ39" s="328"/>
      <c r="AK39" s="328"/>
      <c r="AL39" s="38" t="b">
        <v>0</v>
      </c>
      <c r="AM39" s="38" t="b">
        <v>0</v>
      </c>
      <c r="AN39" s="38" t="b">
        <v>0</v>
      </c>
      <c r="AO39" s="357">
        <f>IF(AG39&lt;1,0,HLOOKUP(CEILING(AG39,6),AL$124:AP$129,6)*(VLOOKUP(AQ39,AL$125:AP$128,MATCH(CEILING(AG39,6),AL$124:AP$124,1))))</f>
        <v>0</v>
      </c>
      <c r="AP39" s="300">
        <f>VLOOKUP(AQ39,AL$125:AP$128,5,TRUE)*AP$125</f>
        <v>1</v>
      </c>
      <c r="AQ39" s="37">
        <f>COUNTIF(AL39:AN39,TRUE)</f>
        <v>0</v>
      </c>
      <c r="AR39" s="254">
        <f t="shared" si="1"/>
        <v>0</v>
      </c>
      <c r="AS39" s="1">
        <f>(C40+AR40-C39-AR39)+IF(F40="24:00",1,0)</f>
        <v>0</v>
      </c>
      <c r="AT39" s="351"/>
      <c r="AU39" s="351"/>
      <c r="AV39" s="254" t="str">
        <f>'Žádost o valuty'!Y39</f>
        <v>Dominika</v>
      </c>
      <c r="AW39" s="254" t="str">
        <f>'Žádost o valuty'!Z39</f>
        <v>USD</v>
      </c>
      <c r="AX39" s="254">
        <f>'Žádost o valuty'!AA39</f>
        <v>55</v>
      </c>
      <c r="AY39" s="254">
        <v>37</v>
      </c>
      <c r="AZ39" s="255"/>
      <c r="BA39" s="10"/>
      <c r="BC39" s="355"/>
      <c r="BD39" s="355"/>
    </row>
    <row r="40" spans="1:56" ht="11.25" customHeight="1" thickBot="1">
      <c r="A40" s="10"/>
      <c r="B40" s="1110"/>
      <c r="C40" s="794"/>
      <c r="D40" s="795"/>
      <c r="E40" s="796"/>
      <c r="F40" s="813"/>
      <c r="G40" s="814"/>
      <c r="H40" s="793"/>
      <c r="I40" s="812"/>
      <c r="J40" s="841"/>
      <c r="K40" s="841"/>
      <c r="L40" s="803"/>
      <c r="M40" s="804"/>
      <c r="N40" s="804"/>
      <c r="O40" s="804"/>
      <c r="P40" s="804"/>
      <c r="Q40" s="804"/>
      <c r="R40" s="804"/>
      <c r="S40" s="805"/>
      <c r="T40" s="791"/>
      <c r="U40" s="791"/>
      <c r="V40" s="791"/>
      <c r="W40" s="771"/>
      <c r="X40" s="772"/>
      <c r="Y40" s="856"/>
      <c r="Z40" s="889"/>
      <c r="AA40" s="890"/>
      <c r="AB40" s="890"/>
      <c r="AC40" s="764"/>
      <c r="AD40" s="918"/>
      <c r="AE40" s="911"/>
      <c r="AF40" s="913"/>
      <c r="AG40" s="387">
        <v>0</v>
      </c>
      <c r="AH40" s="385"/>
      <c r="AI40" s="388"/>
      <c r="AJ40" s="328"/>
      <c r="AK40" s="328"/>
      <c r="AL40" s="38"/>
      <c r="AM40" s="38"/>
      <c r="AN40" s="38"/>
      <c r="AO40" s="301"/>
      <c r="AP40" s="300"/>
      <c r="AQ40" s="37"/>
      <c r="AR40" s="254">
        <f t="shared" si="1"/>
        <v>0</v>
      </c>
      <c r="AS40" s="254"/>
      <c r="AT40" s="314"/>
      <c r="AU40" s="314"/>
      <c r="AV40" s="254" t="str">
        <f>'Žádost o valuty'!Y40</f>
        <v>Dominikánská rep. </v>
      </c>
      <c r="AW40" s="254" t="str">
        <f>'Žádost o valuty'!Z40</f>
        <v>USD</v>
      </c>
      <c r="AX40" s="254">
        <f>'Žádost o valuty'!AA40</f>
        <v>55</v>
      </c>
      <c r="AY40" s="254">
        <v>38</v>
      </c>
      <c r="AZ40" s="255"/>
      <c r="BA40" s="10"/>
      <c r="BC40" s="355"/>
      <c r="BD40" s="355"/>
    </row>
    <row r="41" spans="1:56" ht="11.25" customHeight="1">
      <c r="A41" s="10"/>
      <c r="B41" s="1110"/>
      <c r="C41" s="797"/>
      <c r="D41" s="798"/>
      <c r="E41" s="799"/>
      <c r="F41" s="789"/>
      <c r="G41" s="790"/>
      <c r="H41" s="792">
        <f>INT($AS41)</f>
        <v>0</v>
      </c>
      <c r="I41" s="811">
        <f>IF((AS41-INT(AS41))=0,"",AS41)</f>
      </c>
      <c r="J41" s="841">
        <f>IF(ISNA(VLOOKUP(L41,'Žádost o valuty'!$Y$3:$AA$200,2,FALSE)),"",VLOOKUP(L41,'Žádost o valuty'!$Y$3:$AA$200,2,FALSE))</f>
      </c>
      <c r="K41" s="841"/>
      <c r="L41" s="800"/>
      <c r="M41" s="801"/>
      <c r="N41" s="801"/>
      <c r="O41" s="801"/>
      <c r="P41" s="801"/>
      <c r="Q41" s="801"/>
      <c r="R41" s="801"/>
      <c r="S41" s="802"/>
      <c r="T41" s="791">
        <f>IF(ISNA(VLOOKUP(L41,'Žádost o valuty'!$Y$3:$AA$200,3,FALSE)),0,VLOOKUP(L41,'Žádost o valuty'!$Y$3:$AA$200,3,FALSE))</f>
        <v>0</v>
      </c>
      <c r="U41" s="791"/>
      <c r="V41" s="791"/>
      <c r="W41" s="767">
        <f>IF(OR(AND(I41=0,H41=0),AND(AC41="*",AG41&lt;5)),0,IF(AG41,HLOOKUP(CEILING(AG41,6),AL$124:AP$129,6),AG42))*T41*kapesne</f>
        <v>0</v>
      </c>
      <c r="X41" s="768"/>
      <c r="Y41" s="855"/>
      <c r="Z41" s="889">
        <f>IF($AN$130=TRUE,0,IF(AND(H41=0,AC41="*",AG41&lt;5),0,T41*IF(AG41,AO41,AP41*AG42)))</f>
        <v>0</v>
      </c>
      <c r="AA41" s="890"/>
      <c r="AB41" s="890"/>
      <c r="AC41" s="764">
        <f>IF(AND(NOT(I41=""),OR(AND(C41=C$6,AM$6&gt;=5),AND(C41=C$8,AM$8&gt;=5),AND(C41=C$10,AM$10&gt;=5),AND(C41=C$12,AM$12&gt;=5))),"*","")</f>
      </c>
      <c r="AD41" s="921"/>
      <c r="AE41" s="910"/>
      <c r="AF41" s="912"/>
      <c r="AG41" s="384">
        <v>0</v>
      </c>
      <c r="AH41" s="385">
        <v>1</v>
      </c>
      <c r="AI41" s="386">
        <f>IF(AND(C41&lt;&gt;"",AC41="*",AG41&gt;0,AG41&lt;5),MATCH(C41,C$6:C$13,0),"")</f>
      </c>
      <c r="AJ41" s="328"/>
      <c r="AK41" s="328"/>
      <c r="AL41" s="38" t="b">
        <v>0</v>
      </c>
      <c r="AM41" s="38" t="b">
        <v>0</v>
      </c>
      <c r="AN41" s="38" t="b">
        <v>0</v>
      </c>
      <c r="AO41" s="357">
        <f>IF(AG41&lt;1,0,HLOOKUP(CEILING(AG41,6),AL$124:AP$129,6)*(VLOOKUP(AQ41,AL$125:AP$128,MATCH(CEILING(AG41,6),AL$124:AP$124,1))))</f>
        <v>0</v>
      </c>
      <c r="AP41" s="300">
        <f>VLOOKUP(AQ41,AL$125:AP$128,5,TRUE)*AP$125</f>
        <v>1</v>
      </c>
      <c r="AQ41" s="37">
        <f>COUNTIF(AL41:AN41,TRUE)</f>
        <v>0</v>
      </c>
      <c r="AR41" s="254">
        <f aca="true" t="shared" si="2" ref="AR41:AR50">IF(F41="",0,TIMEVALUE(F41))</f>
        <v>0</v>
      </c>
      <c r="AS41" s="1">
        <f>(C42+AR42-C41-AR41)+IF(F42="24:00",1,0)</f>
        <v>0</v>
      </c>
      <c r="AT41" s="351"/>
      <c r="AU41" s="351"/>
      <c r="AV41" s="254" t="str">
        <f>'Žádost o valuty'!Y41</f>
        <v>Džibuti </v>
      </c>
      <c r="AW41" s="254" t="str">
        <f>'Žádost o valuty'!Z41</f>
        <v>EUR</v>
      </c>
      <c r="AX41" s="254">
        <f>'Žádost o valuty'!AA41</f>
        <v>45</v>
      </c>
      <c r="AY41" s="254">
        <v>39</v>
      </c>
      <c r="AZ41" s="255"/>
      <c r="BA41" s="10"/>
      <c r="BC41" s="355"/>
      <c r="BD41" s="355"/>
    </row>
    <row r="42" spans="1:56" ht="11.25" customHeight="1" thickBot="1">
      <c r="A42" s="10"/>
      <c r="B42" s="1110"/>
      <c r="C42" s="794"/>
      <c r="D42" s="795"/>
      <c r="E42" s="796"/>
      <c r="F42" s="813"/>
      <c r="G42" s="814"/>
      <c r="H42" s="793"/>
      <c r="I42" s="812"/>
      <c r="J42" s="841"/>
      <c r="K42" s="841"/>
      <c r="L42" s="803"/>
      <c r="M42" s="804"/>
      <c r="N42" s="804"/>
      <c r="O42" s="804"/>
      <c r="P42" s="804"/>
      <c r="Q42" s="804"/>
      <c r="R42" s="804"/>
      <c r="S42" s="805"/>
      <c r="T42" s="791"/>
      <c r="U42" s="791"/>
      <c r="V42" s="791"/>
      <c r="W42" s="771"/>
      <c r="X42" s="772"/>
      <c r="Y42" s="856"/>
      <c r="Z42" s="889"/>
      <c r="AA42" s="890"/>
      <c r="AB42" s="890"/>
      <c r="AC42" s="764"/>
      <c r="AD42" s="918"/>
      <c r="AE42" s="911"/>
      <c r="AF42" s="913"/>
      <c r="AG42" s="387">
        <v>0</v>
      </c>
      <c r="AH42" s="385"/>
      <c r="AI42" s="388"/>
      <c r="AJ42" s="328"/>
      <c r="AK42" s="328"/>
      <c r="AL42" s="38"/>
      <c r="AM42" s="38"/>
      <c r="AN42" s="38"/>
      <c r="AO42" s="301"/>
      <c r="AP42" s="300"/>
      <c r="AQ42" s="37"/>
      <c r="AR42" s="254">
        <f t="shared" si="2"/>
        <v>0</v>
      </c>
      <c r="AS42" s="254"/>
      <c r="AT42" s="314"/>
      <c r="AU42" s="314"/>
      <c r="AV42" s="254" t="str">
        <f>'Žádost o valuty'!Y42</f>
        <v>Egypt </v>
      </c>
      <c r="AW42" s="254" t="str">
        <f>'Žádost o valuty'!Z42</f>
        <v>EUR</v>
      </c>
      <c r="AX42" s="254">
        <f>'Žádost o valuty'!AA42</f>
        <v>35</v>
      </c>
      <c r="AY42" s="254">
        <v>40</v>
      </c>
      <c r="AZ42" s="255"/>
      <c r="BA42" s="10"/>
      <c r="BC42" s="355"/>
      <c r="BD42" s="355"/>
    </row>
    <row r="43" spans="1:56" ht="11.25" customHeight="1">
      <c r="A43" s="10"/>
      <c r="B43" s="1110"/>
      <c r="C43" s="797"/>
      <c r="D43" s="798"/>
      <c r="E43" s="799"/>
      <c r="F43" s="789"/>
      <c r="G43" s="790"/>
      <c r="H43" s="792">
        <f>INT($AS43)</f>
        <v>0</v>
      </c>
      <c r="I43" s="811">
        <f>IF((AS43-INT(AS43))=0,"",AS43)</f>
      </c>
      <c r="J43" s="841">
        <f>IF(ISNA(VLOOKUP(L43,'Žádost o valuty'!$Y$3:$AA$200,2,FALSE)),"",VLOOKUP(L43,'Žádost o valuty'!$Y$3:$AA$200,2,FALSE))</f>
      </c>
      <c r="K43" s="841"/>
      <c r="L43" s="842"/>
      <c r="M43" s="843"/>
      <c r="N43" s="843"/>
      <c r="O43" s="843"/>
      <c r="P43" s="843"/>
      <c r="Q43" s="843"/>
      <c r="R43" s="843"/>
      <c r="S43" s="843"/>
      <c r="T43" s="791">
        <f>IF(ISNA(VLOOKUP(L43,'Žádost o valuty'!$Y$3:$AA$200,3,FALSE)),0,VLOOKUP(L43,'Žádost o valuty'!$Y$3:$AA$200,3,FALSE))</f>
        <v>0</v>
      </c>
      <c r="U43" s="791"/>
      <c r="V43" s="791"/>
      <c r="W43" s="767">
        <f>IF(OR(AND(I43=0,H43=0),AND(AC43="*",AG43&lt;5)),0,IF(AG43,HLOOKUP(CEILING(AG43,6),AL$124:AP$129,6),AG44))*T43*kapesne</f>
        <v>0</v>
      </c>
      <c r="X43" s="768"/>
      <c r="Y43" s="855"/>
      <c r="Z43" s="889">
        <f>IF($AN$130=TRUE,0,IF(AND(H43=0,AC43="*",AG43&lt;5),0,T43*IF(AG43,AO43,AP43*AG44)))</f>
        <v>0</v>
      </c>
      <c r="AA43" s="890"/>
      <c r="AB43" s="890"/>
      <c r="AC43" s="764">
        <f>IF(AND(NOT(I43=""),OR(AND(C43=C$6,AM$6&gt;=5),AND(C43=C$8,AM$8&gt;=5),AND(C43=C$10,AM$10&gt;=5),AND(C43=C$12,AM$12&gt;=5))),"*","")</f>
      </c>
      <c r="AD43" s="921"/>
      <c r="AE43" s="910"/>
      <c r="AF43" s="912"/>
      <c r="AG43" s="384">
        <v>0</v>
      </c>
      <c r="AH43" s="385">
        <v>1</v>
      </c>
      <c r="AI43" s="386">
        <f>IF(AND(C43&lt;&gt;"",AC43="*",AG43&gt;0,AG43&lt;5),MATCH(C43,C$6:C$13,0),"")</f>
      </c>
      <c r="AJ43" s="328"/>
      <c r="AK43" s="328"/>
      <c r="AL43" s="38" t="b">
        <v>0</v>
      </c>
      <c r="AM43" s="38" t="b">
        <v>0</v>
      </c>
      <c r="AN43" s="38" t="b">
        <v>0</v>
      </c>
      <c r="AO43" s="357">
        <f>IF(AG43&lt;1,0,HLOOKUP(CEILING(AG43,6),AL$124:AP$129,6)*(VLOOKUP(AQ43,AL$125:AP$128,MATCH(CEILING(AG43,6),AL$124:AP$124,1))))</f>
        <v>0</v>
      </c>
      <c r="AP43" s="300">
        <f>VLOOKUP(AQ43,AL$125:AP$128,5,TRUE)*AP$125</f>
        <v>1</v>
      </c>
      <c r="AQ43" s="37">
        <f>COUNTIF(AL43:AN43,TRUE)</f>
        <v>0</v>
      </c>
      <c r="AR43" s="254">
        <f t="shared" si="2"/>
        <v>0</v>
      </c>
      <c r="AS43" s="1">
        <f>(C44+AR44-C43-AR43)+IF(F44="24:00",1,0)</f>
        <v>0</v>
      </c>
      <c r="AT43" s="351"/>
      <c r="AU43" s="351"/>
      <c r="AV43" s="254" t="str">
        <f>'Žádost o valuty'!Y43</f>
        <v>Ekvádor </v>
      </c>
      <c r="AW43" s="254" t="str">
        <f>'Žádost o valuty'!Z43</f>
        <v>USD</v>
      </c>
      <c r="AX43" s="254">
        <f>'Žádost o valuty'!AA43</f>
        <v>45</v>
      </c>
      <c r="AY43" s="254">
        <v>41</v>
      </c>
      <c r="AZ43" s="255"/>
      <c r="BA43" s="10"/>
      <c r="BC43" s="355"/>
      <c r="BD43" s="355"/>
    </row>
    <row r="44" spans="1:56" ht="11.25" customHeight="1" thickBot="1">
      <c r="A44" s="10"/>
      <c r="B44" s="1110"/>
      <c r="C44" s="794"/>
      <c r="D44" s="795"/>
      <c r="E44" s="796"/>
      <c r="F44" s="813"/>
      <c r="G44" s="814"/>
      <c r="H44" s="793"/>
      <c r="I44" s="812"/>
      <c r="J44" s="841"/>
      <c r="K44" s="841"/>
      <c r="L44" s="842"/>
      <c r="M44" s="843"/>
      <c r="N44" s="843"/>
      <c r="O44" s="843"/>
      <c r="P44" s="843"/>
      <c r="Q44" s="843"/>
      <c r="R44" s="843"/>
      <c r="S44" s="843"/>
      <c r="T44" s="791"/>
      <c r="U44" s="791"/>
      <c r="V44" s="791"/>
      <c r="W44" s="771"/>
      <c r="X44" s="772"/>
      <c r="Y44" s="856"/>
      <c r="Z44" s="889"/>
      <c r="AA44" s="890"/>
      <c r="AB44" s="890"/>
      <c r="AC44" s="764"/>
      <c r="AD44" s="918"/>
      <c r="AE44" s="911"/>
      <c r="AF44" s="913"/>
      <c r="AG44" s="387">
        <v>0</v>
      </c>
      <c r="AH44" s="385"/>
      <c r="AI44" s="388"/>
      <c r="AJ44" s="328"/>
      <c r="AK44" s="328"/>
      <c r="AL44" s="38"/>
      <c r="AM44" s="38"/>
      <c r="AN44" s="38"/>
      <c r="AO44" s="301"/>
      <c r="AP44" s="300"/>
      <c r="AQ44" s="37"/>
      <c r="AR44" s="254">
        <f t="shared" si="2"/>
        <v>0</v>
      </c>
      <c r="AS44" s="254"/>
      <c r="AT44" s="314"/>
      <c r="AU44" s="314"/>
      <c r="AV44" s="254" t="str">
        <f>'Žádost o valuty'!Y44</f>
        <v>Eritrea</v>
      </c>
      <c r="AW44" s="254" t="str">
        <f>'Žádost o valuty'!Z44</f>
        <v>USD</v>
      </c>
      <c r="AX44" s="254">
        <f>'Žádost o valuty'!AA44</f>
        <v>50</v>
      </c>
      <c r="AY44" s="254">
        <v>42</v>
      </c>
      <c r="AZ44" s="255"/>
      <c r="BA44" s="10"/>
      <c r="BC44" s="355"/>
      <c r="BD44" s="355"/>
    </row>
    <row r="45" spans="1:56" ht="11.25" customHeight="1">
      <c r="A45" s="10"/>
      <c r="B45" s="1110"/>
      <c r="C45" s="797"/>
      <c r="D45" s="798"/>
      <c r="E45" s="799"/>
      <c r="F45" s="789"/>
      <c r="G45" s="790"/>
      <c r="H45" s="792">
        <f>INT($AS45)</f>
        <v>0</v>
      </c>
      <c r="I45" s="811">
        <f>IF((AS45-INT(AS45))=0,"",AS45)</f>
      </c>
      <c r="J45" s="841">
        <f>IF(ISNA(VLOOKUP(L45,'Žádost o valuty'!$Y$3:$AA$200,2,FALSE)),"",VLOOKUP(L45,'Žádost o valuty'!$Y$3:$AA$200,2,FALSE))</f>
      </c>
      <c r="K45" s="841"/>
      <c r="L45" s="842"/>
      <c r="M45" s="843"/>
      <c r="N45" s="843"/>
      <c r="O45" s="843"/>
      <c r="P45" s="843"/>
      <c r="Q45" s="843"/>
      <c r="R45" s="843"/>
      <c r="S45" s="843"/>
      <c r="T45" s="791">
        <f>IF(ISNA(VLOOKUP(L45,'Žádost o valuty'!$Y$3:$AA$200,3,FALSE)),0,VLOOKUP(L45,'Žádost o valuty'!$Y$3:$AA$200,3,FALSE))</f>
        <v>0</v>
      </c>
      <c r="U45" s="791"/>
      <c r="V45" s="791"/>
      <c r="W45" s="767">
        <f>IF(OR(AND(I45=0,H45=0),AND(AC45="*",AG45&lt;5)),0,IF(AG45,HLOOKUP(CEILING(AG45,6),AL$124:AP$129,6),AG46))*T45*kapesne</f>
        <v>0</v>
      </c>
      <c r="X45" s="768"/>
      <c r="Y45" s="855"/>
      <c r="Z45" s="889">
        <f>IF($AN$130=TRUE,0,IF(AND(H45=0,AC45="*",AG45&lt;5),0,T45*IF(AG45,AO45,AP45*AG46)))</f>
        <v>0</v>
      </c>
      <c r="AA45" s="890"/>
      <c r="AB45" s="890"/>
      <c r="AC45" s="764">
        <f>IF(AND(NOT(I45=""),OR(AND(C45=C$6,AM$6&gt;=5),AND(C45=C$8,AM$8&gt;=5),AND(C45=C$10,AM$10&gt;=5),AND(C45=C$12,AM$12&gt;=5))),"*","")</f>
      </c>
      <c r="AD45" s="917"/>
      <c r="AE45" s="1118"/>
      <c r="AF45" s="914"/>
      <c r="AG45" s="384">
        <v>0</v>
      </c>
      <c r="AH45" s="385">
        <v>1</v>
      </c>
      <c r="AI45" s="386">
        <f>IF(AND(C45&lt;&gt;"",AC45="*",AG45&gt;0,AG45&lt;5),MATCH(C45,C$6:C$13,0),"")</f>
      </c>
      <c r="AJ45" s="328"/>
      <c r="AK45" s="328"/>
      <c r="AL45" s="38" t="b">
        <v>0</v>
      </c>
      <c r="AM45" s="38" t="b">
        <v>0</v>
      </c>
      <c r="AN45" s="38" t="b">
        <v>0</v>
      </c>
      <c r="AO45" s="357">
        <f>IF(AG45&lt;1,0,HLOOKUP(CEILING(AG45,6),AL$124:AP$129,6)*(VLOOKUP(AQ45,AL$125:AP$128,MATCH(CEILING(AG45,6),AL$124:AP$124,1))))</f>
        <v>0</v>
      </c>
      <c r="AP45" s="300">
        <f>VLOOKUP(AQ45,AL$125:AP$128,5,TRUE)*AP$125</f>
        <v>1</v>
      </c>
      <c r="AQ45" s="37">
        <f>COUNTIF(AL45:AN45,TRUE)</f>
        <v>0</v>
      </c>
      <c r="AR45" s="254">
        <f t="shared" si="2"/>
        <v>0</v>
      </c>
      <c r="AS45" s="1">
        <f>(C46+AR46-C45-AR45)+IF(F46="24:00",1,0)</f>
        <v>0</v>
      </c>
      <c r="AT45" s="351"/>
      <c r="AU45" s="351"/>
      <c r="AV45" s="254" t="str">
        <f>'Žádost o valuty'!Y45</f>
        <v>Estonsko </v>
      </c>
      <c r="AW45" s="254" t="str">
        <f>'Žádost o valuty'!Z45</f>
        <v>EUR</v>
      </c>
      <c r="AX45" s="254">
        <f>'Žádost o valuty'!AA45</f>
        <v>40</v>
      </c>
      <c r="AY45" s="254">
        <v>43</v>
      </c>
      <c r="AZ45" s="256"/>
      <c r="BA45" s="10"/>
      <c r="BC45" s="354"/>
      <c r="BD45" s="354"/>
    </row>
    <row r="46" spans="1:56" ht="11.25" customHeight="1" thickBot="1">
      <c r="A46" s="10"/>
      <c r="B46" s="1110"/>
      <c r="C46" s="794"/>
      <c r="D46" s="795"/>
      <c r="E46" s="796"/>
      <c r="F46" s="813"/>
      <c r="G46" s="814"/>
      <c r="H46" s="793"/>
      <c r="I46" s="812"/>
      <c r="J46" s="841"/>
      <c r="K46" s="841"/>
      <c r="L46" s="842"/>
      <c r="M46" s="843"/>
      <c r="N46" s="843"/>
      <c r="O46" s="843"/>
      <c r="P46" s="843"/>
      <c r="Q46" s="843"/>
      <c r="R46" s="843"/>
      <c r="S46" s="843"/>
      <c r="T46" s="791"/>
      <c r="U46" s="791"/>
      <c r="V46" s="791"/>
      <c r="W46" s="771"/>
      <c r="X46" s="772"/>
      <c r="Y46" s="856"/>
      <c r="Z46" s="889"/>
      <c r="AA46" s="890"/>
      <c r="AB46" s="890"/>
      <c r="AC46" s="764"/>
      <c r="AD46" s="918"/>
      <c r="AE46" s="911"/>
      <c r="AF46" s="913"/>
      <c r="AG46" s="387">
        <v>0</v>
      </c>
      <c r="AH46" s="385"/>
      <c r="AI46" s="388"/>
      <c r="AJ46" s="328"/>
      <c r="AK46" s="328"/>
      <c r="AL46" s="38"/>
      <c r="AM46" s="38"/>
      <c r="AN46" s="38"/>
      <c r="AO46" s="301"/>
      <c r="AP46" s="300"/>
      <c r="AQ46" s="37"/>
      <c r="AR46" s="254">
        <f t="shared" si="2"/>
        <v>0</v>
      </c>
      <c r="AS46" s="254"/>
      <c r="AT46" s="314"/>
      <c r="AU46" s="314"/>
      <c r="AV46" s="254" t="str">
        <f>'Žádost o valuty'!Y46</f>
        <v>Etiopie </v>
      </c>
      <c r="AW46" s="254" t="str">
        <f>'Žádost o valuty'!Z46</f>
        <v>EUR</v>
      </c>
      <c r="AX46" s="254">
        <f>'Žádost o valuty'!AA46</f>
        <v>45</v>
      </c>
      <c r="AY46" s="254">
        <v>44</v>
      </c>
      <c r="AZ46" s="255"/>
      <c r="BA46" s="10"/>
      <c r="BC46" s="355"/>
      <c r="BD46" s="355"/>
    </row>
    <row r="47" spans="1:56" ht="11.25" customHeight="1">
      <c r="A47" s="10"/>
      <c r="B47" s="1110"/>
      <c r="C47" s="797"/>
      <c r="D47" s="798"/>
      <c r="E47" s="799"/>
      <c r="F47" s="789"/>
      <c r="G47" s="790"/>
      <c r="H47" s="792">
        <f>INT($AS47)</f>
        <v>0</v>
      </c>
      <c r="I47" s="811">
        <f>IF((AS47-INT(AS47))=0,"",AS47)</f>
      </c>
      <c r="J47" s="841">
        <f>IF(ISNA(VLOOKUP(L47,'Žádost o valuty'!$Y$3:$AA$200,2,FALSE)),"",VLOOKUP(L47,'Žádost o valuty'!$Y$3:$AA$200,2,FALSE))</f>
      </c>
      <c r="K47" s="841"/>
      <c r="L47" s="842"/>
      <c r="M47" s="843"/>
      <c r="N47" s="843"/>
      <c r="O47" s="843"/>
      <c r="P47" s="843"/>
      <c r="Q47" s="843"/>
      <c r="R47" s="843"/>
      <c r="S47" s="843"/>
      <c r="T47" s="791">
        <f>IF(ISNA(VLOOKUP(L47,'Žádost o valuty'!$Y$3:$AA$200,3,FALSE)),0,VLOOKUP(L47,'Žádost o valuty'!$Y$3:$AA$200,3,FALSE))</f>
        <v>0</v>
      </c>
      <c r="U47" s="791"/>
      <c r="V47" s="791"/>
      <c r="W47" s="767">
        <f>IF(OR(AND(I47=0,H47=0),AND(AC47="*",AG47&lt;5)),0,IF(AG47,HLOOKUP(CEILING(AG47,6),AL$124:AP$129,6),AG48))*T47*kapesne</f>
        <v>0</v>
      </c>
      <c r="X47" s="768"/>
      <c r="Y47" s="855"/>
      <c r="Z47" s="889">
        <f>IF($AN$130=TRUE,0,IF(AND(H47=0,AC47="*",AG47&lt;5),0,T47*IF(AG47,AO47,AP47*AG48)))</f>
        <v>0</v>
      </c>
      <c r="AA47" s="890"/>
      <c r="AB47" s="890"/>
      <c r="AC47" s="764">
        <f>IF(AND(NOT(I47=""),OR(AND(C47=C$6,AM$6&gt;=5),AND(C47=C$8,AM$8&gt;=5),AND(C47=C$10,AM$10&gt;=5),AND(C47=C$12,AM$12&gt;=5))),"*","")</f>
      </c>
      <c r="AD47" s="917"/>
      <c r="AE47" s="1118"/>
      <c r="AF47" s="914"/>
      <c r="AG47" s="384">
        <v>0</v>
      </c>
      <c r="AH47" s="385">
        <v>1</v>
      </c>
      <c r="AI47" s="386">
        <f>IF(AND(C47&lt;&gt;"",AC47="*",AG47&gt;0,AG47&lt;5),MATCH(C47,C$6:C$13,0),"")</f>
      </c>
      <c r="AJ47" s="328"/>
      <c r="AK47" s="328"/>
      <c r="AL47" s="38" t="b">
        <v>0</v>
      </c>
      <c r="AM47" s="38" t="b">
        <v>0</v>
      </c>
      <c r="AN47" s="38" t="b">
        <v>0</v>
      </c>
      <c r="AO47" s="357">
        <f>IF(AG47&lt;1,0,HLOOKUP(CEILING(AG47,6),AL$124:AP$129,6)*(VLOOKUP(AQ47,AL$125:AP$128,MATCH(CEILING(AG47,6),AL$124:AP$124,1))))</f>
        <v>0</v>
      </c>
      <c r="AP47" s="300">
        <f>VLOOKUP(AQ47,AL$125:AP$128,5,TRUE)*AP$125</f>
        <v>1</v>
      </c>
      <c r="AQ47" s="37">
        <f>COUNTIF(AL47:AN47,TRUE)</f>
        <v>0</v>
      </c>
      <c r="AR47" s="254">
        <f t="shared" si="2"/>
        <v>0</v>
      </c>
      <c r="AS47" s="1">
        <f>(C48+AR48-C47-AR47)+IF(F48="24:00",1,0)</f>
        <v>0</v>
      </c>
      <c r="AT47" s="351"/>
      <c r="AU47" s="351"/>
      <c r="AV47" s="254" t="str">
        <f>'Žádost o valuty'!Y47</f>
        <v>Filipiny </v>
      </c>
      <c r="AW47" s="254" t="str">
        <f>'Žádost o valuty'!Z47</f>
        <v>EUR</v>
      </c>
      <c r="AX47" s="254">
        <f>'Žádost o valuty'!AA47</f>
        <v>35</v>
      </c>
      <c r="AY47" s="254">
        <v>45</v>
      </c>
      <c r="AZ47" s="255"/>
      <c r="BA47" s="10"/>
      <c r="BC47" s="355"/>
      <c r="BD47" s="355"/>
    </row>
    <row r="48" spans="1:56" ht="11.25" customHeight="1" thickBot="1">
      <c r="A48" s="10"/>
      <c r="B48" s="1110"/>
      <c r="C48" s="794"/>
      <c r="D48" s="795"/>
      <c r="E48" s="796"/>
      <c r="F48" s="813"/>
      <c r="G48" s="814"/>
      <c r="H48" s="793"/>
      <c r="I48" s="812"/>
      <c r="J48" s="841"/>
      <c r="K48" s="841"/>
      <c r="L48" s="842"/>
      <c r="M48" s="843"/>
      <c r="N48" s="843"/>
      <c r="O48" s="843"/>
      <c r="P48" s="843"/>
      <c r="Q48" s="843"/>
      <c r="R48" s="843"/>
      <c r="S48" s="843"/>
      <c r="T48" s="791"/>
      <c r="U48" s="791"/>
      <c r="V48" s="791"/>
      <c r="W48" s="771"/>
      <c r="X48" s="772"/>
      <c r="Y48" s="856"/>
      <c r="Z48" s="889"/>
      <c r="AA48" s="890"/>
      <c r="AB48" s="890"/>
      <c r="AC48" s="764"/>
      <c r="AD48" s="918"/>
      <c r="AE48" s="911"/>
      <c r="AF48" s="913"/>
      <c r="AG48" s="387">
        <v>0</v>
      </c>
      <c r="AH48" s="385"/>
      <c r="AI48" s="388"/>
      <c r="AJ48" s="328"/>
      <c r="AK48" s="328"/>
      <c r="AL48" s="38"/>
      <c r="AM48" s="38"/>
      <c r="AN48" s="38"/>
      <c r="AO48" s="301"/>
      <c r="AP48" s="300"/>
      <c r="AQ48" s="37"/>
      <c r="AR48" s="254">
        <f t="shared" si="2"/>
        <v>0</v>
      </c>
      <c r="AS48" s="254"/>
      <c r="AT48" s="314"/>
      <c r="AU48" s="314"/>
      <c r="AV48" s="254" t="str">
        <f>'Žádost o valuty'!Y48</f>
        <v>Finsko </v>
      </c>
      <c r="AW48" s="254" t="str">
        <f>'Žádost o valuty'!Z48</f>
        <v>EUR</v>
      </c>
      <c r="AX48" s="254">
        <f>'Žádost o valuty'!AA48</f>
        <v>45</v>
      </c>
      <c r="AY48" s="254">
        <v>46</v>
      </c>
      <c r="AZ48" s="255"/>
      <c r="BA48" s="10"/>
      <c r="BC48" s="355"/>
      <c r="BD48" s="355"/>
    </row>
    <row r="49" spans="1:56" ht="11.25" customHeight="1">
      <c r="A49" s="10"/>
      <c r="B49" s="1109"/>
      <c r="C49" s="797"/>
      <c r="D49" s="798"/>
      <c r="E49" s="799"/>
      <c r="F49" s="789"/>
      <c r="G49" s="790"/>
      <c r="H49" s="792">
        <f>INT($AS49)</f>
        <v>0</v>
      </c>
      <c r="I49" s="811">
        <f>IF((AS49-INT(AS49))=0,"",AS49)</f>
      </c>
      <c r="J49" s="841">
        <f>IF(ISNA(VLOOKUP(L49,'Žádost o valuty'!$Y$3:$AA$200,2,FALSE)),"",VLOOKUP(L49,'Žádost o valuty'!$Y$3:$AA$200,2,FALSE))</f>
      </c>
      <c r="K49" s="841"/>
      <c r="L49" s="842"/>
      <c r="M49" s="843"/>
      <c r="N49" s="843"/>
      <c r="O49" s="843"/>
      <c r="P49" s="843"/>
      <c r="Q49" s="843"/>
      <c r="R49" s="843"/>
      <c r="S49" s="843"/>
      <c r="T49" s="791">
        <f>IF(ISNA(VLOOKUP(L49,'Žádost o valuty'!$Y$3:$AA$200,3,FALSE)),0,VLOOKUP(L49,'Žádost o valuty'!$Y$3:$AA$200,3,FALSE))</f>
        <v>0</v>
      </c>
      <c r="U49" s="791"/>
      <c r="V49" s="791"/>
      <c r="W49" s="767">
        <f>IF(OR(AND(I49=0,H49=0),AND(AC49="*",AG49&lt;5)),0,IF(AG49,HLOOKUP(CEILING(AG49,6),AL$124:AP$129,6),AG50))*T49*kapesne</f>
        <v>0</v>
      </c>
      <c r="X49" s="768"/>
      <c r="Y49" s="855"/>
      <c r="Z49" s="889">
        <f>IF($AN$130=TRUE,0,IF(AND(H49=0,AC49="*",AG49&lt;5),0,T49*IF(AG49,AO49,AP49*AG50)))</f>
        <v>0</v>
      </c>
      <c r="AA49" s="890"/>
      <c r="AB49" s="890"/>
      <c r="AC49" s="764">
        <f>IF(AND(NOT(I49=""),OR(AND(C49=C$6,AM$6&gt;=5),AND(C49=C$8,AM$8&gt;=5),AND(C49=C$10,AM$10&gt;=5),AND(C49=C$12,AM$12&gt;=5))),"*","")</f>
      </c>
      <c r="AD49" s="917"/>
      <c r="AE49" s="1118"/>
      <c r="AF49" s="914"/>
      <c r="AG49" s="384">
        <v>0</v>
      </c>
      <c r="AH49" s="385">
        <v>1</v>
      </c>
      <c r="AI49" s="386">
        <f>IF(AND(C49&lt;&gt;"",AC49="*",AG49&gt;0,AG49&lt;5),MATCH(C49,C$6:C$13,0),"")</f>
      </c>
      <c r="AJ49" s="328"/>
      <c r="AK49" s="328"/>
      <c r="AL49" s="38" t="b">
        <v>0</v>
      </c>
      <c r="AM49" s="38" t="b">
        <v>0</v>
      </c>
      <c r="AN49" s="38" t="b">
        <v>0</v>
      </c>
      <c r="AO49" s="357">
        <f>IF(AG49&lt;1,0,HLOOKUP(CEILING(AG49,6),AL$124:AP$129,6)*(VLOOKUP(AQ49,AL$125:AP$128,MATCH(CEILING(AG49,6),AL$124:AP$124,1))))</f>
        <v>0</v>
      </c>
      <c r="AP49" s="300">
        <f>VLOOKUP(AQ49,AL$125:AP$128,5,TRUE)*AP$125</f>
        <v>1</v>
      </c>
      <c r="AQ49" s="37">
        <f>COUNTIF(AL49:AN49,TRUE)</f>
        <v>0</v>
      </c>
      <c r="AR49" s="254">
        <f t="shared" si="2"/>
        <v>0</v>
      </c>
      <c r="AS49" s="1">
        <f>(C50+AR50-C49-AR49)+IF(F50="24:00",1,0)</f>
        <v>0</v>
      </c>
      <c r="AT49" s="351"/>
      <c r="AU49" s="351"/>
      <c r="AV49" s="254" t="str">
        <f>'Žádost o valuty'!Y49</f>
        <v>Francie </v>
      </c>
      <c r="AW49" s="254" t="str">
        <f>'Žádost o valuty'!Z49</f>
        <v>EUR</v>
      </c>
      <c r="AX49" s="254">
        <f>'Žádost o valuty'!AA49</f>
        <v>45</v>
      </c>
      <c r="AY49" s="254">
        <v>47</v>
      </c>
      <c r="AZ49" s="255"/>
      <c r="BA49" s="10"/>
      <c r="BC49" s="355"/>
      <c r="BD49" s="355"/>
    </row>
    <row r="50" spans="1:53" ht="11.25" customHeight="1" thickBot="1">
      <c r="A50" s="10"/>
      <c r="B50" s="1110"/>
      <c r="C50" s="794"/>
      <c r="D50" s="795"/>
      <c r="E50" s="796"/>
      <c r="F50" s="813"/>
      <c r="G50" s="814"/>
      <c r="H50" s="793"/>
      <c r="I50" s="812"/>
      <c r="J50" s="841"/>
      <c r="K50" s="841"/>
      <c r="L50" s="842"/>
      <c r="M50" s="843"/>
      <c r="N50" s="843"/>
      <c r="O50" s="843"/>
      <c r="P50" s="843"/>
      <c r="Q50" s="843"/>
      <c r="R50" s="843"/>
      <c r="S50" s="843"/>
      <c r="T50" s="791"/>
      <c r="U50" s="791"/>
      <c r="V50" s="791"/>
      <c r="W50" s="771"/>
      <c r="X50" s="772"/>
      <c r="Y50" s="856"/>
      <c r="Z50" s="889"/>
      <c r="AA50" s="890"/>
      <c r="AB50" s="890"/>
      <c r="AC50" s="764"/>
      <c r="AD50" s="918"/>
      <c r="AE50" s="911"/>
      <c r="AF50" s="913"/>
      <c r="AG50" s="387">
        <v>0</v>
      </c>
      <c r="AH50" s="385"/>
      <c r="AI50" s="388"/>
      <c r="AJ50" s="328"/>
      <c r="AK50" s="328"/>
      <c r="AL50" s="38"/>
      <c r="AM50" s="38"/>
      <c r="AN50" s="38"/>
      <c r="AO50" s="301"/>
      <c r="AP50" s="300"/>
      <c r="AQ50" s="37"/>
      <c r="AR50" s="254">
        <f t="shared" si="2"/>
        <v>0</v>
      </c>
      <c r="AS50" s="254"/>
      <c r="AT50" s="314"/>
      <c r="AU50" s="314"/>
      <c r="AV50" s="254" t="str">
        <f>'Žádost o valuty'!Y50</f>
        <v>Fr.Guayana</v>
      </c>
      <c r="AW50" s="254" t="str">
        <f>'Žádost o valuty'!Z50</f>
        <v>EUR</v>
      </c>
      <c r="AX50" s="254">
        <f>'Žádost o valuty'!AA50</f>
        <v>45</v>
      </c>
      <c r="AY50" s="254">
        <v>48</v>
      </c>
      <c r="AZ50" s="255"/>
      <c r="BA50" s="10"/>
    </row>
    <row r="51" spans="1:53" ht="11.25" customHeight="1">
      <c r="A51" s="10"/>
      <c r="B51" s="109"/>
      <c r="C51" s="797"/>
      <c r="D51" s="798"/>
      <c r="E51" s="799"/>
      <c r="F51" s="1121"/>
      <c r="G51" s="1122"/>
      <c r="H51" s="792">
        <f>INT($AS51)</f>
        <v>0</v>
      </c>
      <c r="I51" s="811">
        <f>IF((AS51-INT(AS51))=0,"",AS51)</f>
      </c>
      <c r="J51" s="958">
        <f>IF(ISNA(VLOOKUP(L51,'Žádost o valuty'!$Y$3:$AA$200,2,FALSE)),"",VLOOKUP(L51,'Žádost o valuty'!$Y$3:$AA$200,2,FALSE))</f>
      </c>
      <c r="K51" s="958"/>
      <c r="L51" s="803"/>
      <c r="M51" s="804"/>
      <c r="N51" s="804"/>
      <c r="O51" s="804"/>
      <c r="P51" s="804"/>
      <c r="Q51" s="804"/>
      <c r="R51" s="804"/>
      <c r="S51" s="804"/>
      <c r="T51" s="791">
        <f>IF(ISNA(VLOOKUP(L51,'Žádost o valuty'!$Y$3:$AA$200,3,FALSE)),0,VLOOKUP(L51,'Žádost o valuty'!$Y$3:$AA$200,3,FALSE))</f>
        <v>0</v>
      </c>
      <c r="U51" s="791"/>
      <c r="V51" s="791"/>
      <c r="W51" s="767">
        <f>IF(OR(AND(I51=0,H51=0),AND(AC51="*",AG51&lt;5)),0,IF(AG51,HLOOKUP(CEILING(AG51,6),AL$124:AP$129,6),AG52))*T51*kapesne</f>
        <v>0</v>
      </c>
      <c r="X51" s="768"/>
      <c r="Y51" s="855"/>
      <c r="Z51" s="889">
        <f>IF($AN$130=TRUE,0,IF(AND(H51=0,AC51="*",AG51&lt;5),0,T51*IF(AG51,AO51,AP51*AG52)))</f>
        <v>0</v>
      </c>
      <c r="AA51" s="890"/>
      <c r="AB51" s="890"/>
      <c r="AC51" s="764">
        <f>IF(AND(NOT(I51=""),OR(AND(C51=C$6,AM$6&gt;=5),AND(C51=C$8,AM$8&gt;=5),AND(C51=C$10,AM$10&gt;=5),AND(C51=C$12,AM$12&gt;=5))),"*","")</f>
      </c>
      <c r="AD51" s="921"/>
      <c r="AE51" s="910"/>
      <c r="AF51" s="912"/>
      <c r="AG51" s="384">
        <v>0</v>
      </c>
      <c r="AH51" s="385">
        <v>1</v>
      </c>
      <c r="AI51" s="386">
        <f>IF(AND(C51&lt;&gt;"",AC51="*",AG51&gt;0,AG51&lt;5),MATCH(C51,C$6:C$13,0),"")</f>
      </c>
      <c r="AJ51" s="328"/>
      <c r="AK51" s="328"/>
      <c r="AL51" s="38" t="b">
        <v>0</v>
      </c>
      <c r="AM51" s="38" t="b">
        <v>0</v>
      </c>
      <c r="AN51" s="38" t="b">
        <v>0</v>
      </c>
      <c r="AO51" s="357">
        <f>IF(AG51&lt;1,0,HLOOKUP(CEILING(AG51,6),AL$124:AP$129,6)*(VLOOKUP(AQ51,AL$125:AP$128,MATCH(CEILING(AG51,6),AL$124:AP$124,1))))</f>
        <v>0</v>
      </c>
      <c r="AP51" s="300">
        <f>VLOOKUP(AQ51,AL$125:AP$128,5,TRUE)*AP$125</f>
        <v>1</v>
      </c>
      <c r="AQ51" s="37">
        <f>COUNTIF(AL51:AN51,TRUE)</f>
        <v>0</v>
      </c>
      <c r="AR51" s="254">
        <f>IF(F51="",0,TIMEVALUE(F51))</f>
        <v>0</v>
      </c>
      <c r="AS51" s="1">
        <f>(C52+AR52-C51-AR51)+IF(F52="24:00",1,0)</f>
        <v>0</v>
      </c>
      <c r="AT51" s="351"/>
      <c r="AU51" s="351"/>
      <c r="AV51" s="254" t="str">
        <f>'Žádost o valuty'!Y51</f>
        <v>Gabon </v>
      </c>
      <c r="AW51" s="254" t="str">
        <f>'Žádost o valuty'!Z51</f>
        <v>USD</v>
      </c>
      <c r="AX51" s="254">
        <f>'Žádost o valuty'!AA51</f>
        <v>45</v>
      </c>
      <c r="AY51" s="254">
        <v>49</v>
      </c>
      <c r="AZ51" s="255"/>
      <c r="BA51" s="10"/>
    </row>
    <row r="52" spans="1:53" ht="11.25" customHeight="1" thickBot="1">
      <c r="A52" s="10"/>
      <c r="B52" s="109"/>
      <c r="C52" s="794"/>
      <c r="D52" s="795"/>
      <c r="E52" s="796"/>
      <c r="F52" s="813"/>
      <c r="G52" s="814"/>
      <c r="H52" s="793"/>
      <c r="I52" s="812"/>
      <c r="J52" s="841"/>
      <c r="K52" s="841"/>
      <c r="L52" s="842"/>
      <c r="M52" s="843"/>
      <c r="N52" s="843"/>
      <c r="O52" s="843"/>
      <c r="P52" s="843"/>
      <c r="Q52" s="843"/>
      <c r="R52" s="843"/>
      <c r="S52" s="843"/>
      <c r="T52" s="791"/>
      <c r="U52" s="791"/>
      <c r="V52" s="791"/>
      <c r="W52" s="771"/>
      <c r="X52" s="772"/>
      <c r="Y52" s="856"/>
      <c r="Z52" s="889"/>
      <c r="AA52" s="890"/>
      <c r="AB52" s="890"/>
      <c r="AC52" s="764"/>
      <c r="AD52" s="918"/>
      <c r="AE52" s="911"/>
      <c r="AF52" s="913"/>
      <c r="AG52" s="387">
        <v>0</v>
      </c>
      <c r="AH52" s="385"/>
      <c r="AI52" s="388"/>
      <c r="AJ52" s="328"/>
      <c r="AK52" s="328"/>
      <c r="AL52" s="38"/>
      <c r="AM52" s="38"/>
      <c r="AN52" s="38"/>
      <c r="AO52" s="301"/>
      <c r="AP52" s="300"/>
      <c r="AQ52" s="37"/>
      <c r="AR52" s="254">
        <f>IF(F52="",0,TIMEVALUE(F52))</f>
        <v>0</v>
      </c>
      <c r="AS52" s="254"/>
      <c r="AT52" s="314"/>
      <c r="AU52" s="314"/>
      <c r="AV52" s="254" t="str">
        <f>'Žádost o valuty'!Y52</f>
        <v>Gambie </v>
      </c>
      <c r="AW52" s="254" t="str">
        <f>'Žádost o valuty'!Z52</f>
        <v>EUR</v>
      </c>
      <c r="AX52" s="254">
        <f>'Žádost o valuty'!AA52</f>
        <v>45</v>
      </c>
      <c r="AY52" s="254">
        <v>50</v>
      </c>
      <c r="AZ52" s="255"/>
      <c r="BA52" s="10"/>
    </row>
    <row r="53" spans="1:53" ht="11.25" customHeight="1">
      <c r="A53" s="10"/>
      <c r="B53" s="109"/>
      <c r="C53" s="797"/>
      <c r="D53" s="798"/>
      <c r="E53" s="799"/>
      <c r="F53" s="789"/>
      <c r="G53" s="790"/>
      <c r="H53" s="792">
        <f>INT($AS53)</f>
        <v>0</v>
      </c>
      <c r="I53" s="811">
        <f>IF((AS53-INT(AS53))=0,"",AS53)</f>
      </c>
      <c r="J53" s="841">
        <f>IF(ISNA(VLOOKUP(L53,'Žádost o valuty'!$Y$3:$AA$200,2,FALSE)),"",VLOOKUP(L53,'Žádost o valuty'!$Y$3:$AA$200,2,FALSE))</f>
      </c>
      <c r="K53" s="841"/>
      <c r="L53" s="842"/>
      <c r="M53" s="843"/>
      <c r="N53" s="843"/>
      <c r="O53" s="843"/>
      <c r="P53" s="843"/>
      <c r="Q53" s="843"/>
      <c r="R53" s="843"/>
      <c r="S53" s="843"/>
      <c r="T53" s="791">
        <f>IF(ISNA(VLOOKUP(L53,'Žádost o valuty'!$Y$3:$AA$200,3,FALSE)),0,VLOOKUP(L53,'Žádost o valuty'!$Y$3:$AA$200,3,FALSE))</f>
        <v>0</v>
      </c>
      <c r="U53" s="791"/>
      <c r="V53" s="791"/>
      <c r="W53" s="767">
        <f>IF(OR(AND(I53=0,H53=0),AND(AC53="*",AG53&lt;5)),0,IF(AG53,HLOOKUP(CEILING(AG53,6),AL$124:AP$129,6),AG54))*T53*kapesne</f>
        <v>0</v>
      </c>
      <c r="X53" s="768"/>
      <c r="Y53" s="855"/>
      <c r="Z53" s="889">
        <f>IF($AN$130=TRUE,0,IF(AND(H53=0,AC53="*",AG53&lt;5),0,T53*IF(AG53,AO53,AP53*AG54)))</f>
        <v>0</v>
      </c>
      <c r="AA53" s="890"/>
      <c r="AB53" s="890"/>
      <c r="AC53" s="764">
        <f>IF(AND(NOT(I53=""),OR(AND(C53=C$6,AM$6&gt;=5),AND(C53=C$8,AM$8&gt;=5),AND(C53=C$10,AM$10&gt;=5),AND(C53=C$12,AM$12&gt;=5))),"*","")</f>
      </c>
      <c r="AD53" s="917"/>
      <c r="AE53" s="1118"/>
      <c r="AF53" s="914"/>
      <c r="AG53" s="384">
        <v>0</v>
      </c>
      <c r="AH53" s="385">
        <v>1</v>
      </c>
      <c r="AI53" s="386">
        <f>IF(AND(C53&lt;&gt;"",AC53="*",AG53&gt;0,AG53&lt;5),MATCH(C53,C$6:C$13,0),"")</f>
      </c>
      <c r="AJ53" s="328"/>
      <c r="AK53" s="328"/>
      <c r="AL53" s="38" t="b">
        <v>0</v>
      </c>
      <c r="AM53" s="38" t="b">
        <v>0</v>
      </c>
      <c r="AN53" s="38" t="b">
        <v>0</v>
      </c>
      <c r="AO53" s="357">
        <f>IF(AG53&lt;1,0,HLOOKUP(CEILING(AG53,6),AL$124:AP$129,6)*(VLOOKUP(AQ53,AL$125:AP$128,MATCH(CEILING(AG53,6),AL$124:AP$124,1))))</f>
        <v>0</v>
      </c>
      <c r="AP53" s="300">
        <f>VLOOKUP(AQ53,AL$125:AP$128,5,TRUE)*AP$125</f>
        <v>1</v>
      </c>
      <c r="AQ53" s="37">
        <f>COUNTIF(AL53:AN53,TRUE)</f>
        <v>0</v>
      </c>
      <c r="AR53" s="254">
        <f>IF(F53="",0,TIMEVALUE(F53))</f>
        <v>0</v>
      </c>
      <c r="AS53" s="1">
        <f>(C54+AR54-C53-AR53)+IF(F54="24:00",1,0)</f>
        <v>0</v>
      </c>
      <c r="AT53" s="351"/>
      <c r="AU53" s="351"/>
      <c r="AV53" s="254" t="str">
        <f>'Žádost o valuty'!Y53</f>
        <v>Ghana </v>
      </c>
      <c r="AW53" s="254" t="str">
        <f>'Žádost o valuty'!Z53</f>
        <v>eur</v>
      </c>
      <c r="AX53" s="254">
        <f>'Žádost o valuty'!AA53</f>
        <v>45</v>
      </c>
      <c r="AY53" s="254">
        <v>51</v>
      </c>
      <c r="AZ53" s="255"/>
      <c r="BA53" s="10"/>
    </row>
    <row r="54" spans="1:53" ht="11.25" customHeight="1" thickBot="1">
      <c r="A54" s="10"/>
      <c r="B54" s="109"/>
      <c r="C54" s="1106"/>
      <c r="D54" s="1107"/>
      <c r="E54" s="1108"/>
      <c r="F54" s="1112"/>
      <c r="G54" s="1113"/>
      <c r="H54" s="969"/>
      <c r="I54" s="957"/>
      <c r="J54" s="1114"/>
      <c r="K54" s="1114"/>
      <c r="L54" s="1102"/>
      <c r="M54" s="1103"/>
      <c r="N54" s="1103"/>
      <c r="O54" s="1103"/>
      <c r="P54" s="1103"/>
      <c r="Q54" s="1103"/>
      <c r="R54" s="1103"/>
      <c r="S54" s="1103"/>
      <c r="T54" s="1104"/>
      <c r="U54" s="1104"/>
      <c r="V54" s="1104"/>
      <c r="W54" s="769"/>
      <c r="X54" s="770"/>
      <c r="Y54" s="1105"/>
      <c r="Z54" s="1115"/>
      <c r="AA54" s="1116"/>
      <c r="AB54" s="1116"/>
      <c r="AC54" s="765"/>
      <c r="AD54" s="1126"/>
      <c r="AE54" s="1119"/>
      <c r="AF54" s="1120"/>
      <c r="AG54" s="387">
        <v>0</v>
      </c>
      <c r="AH54" s="385"/>
      <c r="AI54" s="388"/>
      <c r="AJ54" s="328"/>
      <c r="AK54" s="328"/>
      <c r="AL54" s="38"/>
      <c r="AM54" s="38"/>
      <c r="AN54" s="38"/>
      <c r="AO54" s="301"/>
      <c r="AP54" s="300"/>
      <c r="AQ54" s="37"/>
      <c r="AR54" s="254">
        <f>IF(F54="",0,TIMEVALUE(F54))</f>
        <v>0</v>
      </c>
      <c r="AS54" s="254"/>
      <c r="AT54" s="314"/>
      <c r="AU54" s="314"/>
      <c r="AV54" s="254" t="str">
        <f>'Žádost o valuty'!Y54</f>
        <v>Gibraltar </v>
      </c>
      <c r="AW54" s="254" t="str">
        <f>'Žádost o valuty'!Z54</f>
        <v>EUR</v>
      </c>
      <c r="AX54" s="254">
        <f>'Žádost o valuty'!AA54</f>
        <v>40</v>
      </c>
      <c r="AY54" s="254">
        <v>52</v>
      </c>
      <c r="AZ54" s="255"/>
      <c r="BA54" s="10"/>
    </row>
    <row r="55" spans="1:53" ht="21.75" customHeight="1" hidden="1">
      <c r="A55" s="10"/>
      <c r="B55" s="109"/>
      <c r="C55" s="895" t="s">
        <v>39</v>
      </c>
      <c r="D55" s="896"/>
      <c r="E55" s="897"/>
      <c r="F55" s="1073" t="s">
        <v>463</v>
      </c>
      <c r="G55" s="897"/>
      <c r="H55" s="901" t="s">
        <v>458</v>
      </c>
      <c r="I55" s="901" t="s">
        <v>459</v>
      </c>
      <c r="J55" s="879" t="s">
        <v>40</v>
      </c>
      <c r="K55" s="879"/>
      <c r="L55" s="879" t="s">
        <v>41</v>
      </c>
      <c r="M55" s="879"/>
      <c r="N55" s="879"/>
      <c r="O55" s="879"/>
      <c r="P55" s="879"/>
      <c r="Q55" s="879"/>
      <c r="R55" s="879"/>
      <c r="S55" s="879"/>
      <c r="T55" s="1087" t="s">
        <v>390</v>
      </c>
      <c r="U55" s="1088"/>
      <c r="V55" s="1088"/>
      <c r="W55" s="1085" t="s">
        <v>42</v>
      </c>
      <c r="X55" s="1085"/>
      <c r="Y55" s="1085"/>
      <c r="Z55" s="943" t="s">
        <v>391</v>
      </c>
      <c r="AA55" s="944"/>
      <c r="AB55" s="944"/>
      <c r="AC55" s="945"/>
      <c r="AD55" s="1037" t="s">
        <v>260</v>
      </c>
      <c r="AE55" s="1038"/>
      <c r="AF55" s="1039"/>
      <c r="AG55" s="389"/>
      <c r="AH55" s="385"/>
      <c r="AI55" s="386"/>
      <c r="AJ55" s="328"/>
      <c r="AK55" s="328"/>
      <c r="AL55" s="38"/>
      <c r="AM55" s="38"/>
      <c r="AN55" s="38"/>
      <c r="AO55" s="301"/>
      <c r="AP55" s="300"/>
      <c r="AQ55" s="37"/>
      <c r="AR55" s="254"/>
      <c r="AS55" s="254"/>
      <c r="AT55" s="314"/>
      <c r="AU55" s="314"/>
      <c r="AV55" s="254" t="str">
        <f>'Žádost o valuty'!Y55</f>
        <v>Guadeloupe </v>
      </c>
      <c r="AW55" s="254" t="str">
        <f>'Žádost o valuty'!Z55</f>
        <v>USD</v>
      </c>
      <c r="AX55" s="254">
        <f>'Žádost o valuty'!AA55</f>
        <v>40</v>
      </c>
      <c r="AY55" s="254">
        <v>53</v>
      </c>
      <c r="AZ55" s="255"/>
      <c r="BA55" s="10"/>
    </row>
    <row r="56" spans="1:53" ht="35.25" customHeight="1" hidden="1" thickBot="1">
      <c r="A56" s="10"/>
      <c r="B56" s="109"/>
      <c r="C56" s="898"/>
      <c r="D56" s="899"/>
      <c r="E56" s="900"/>
      <c r="F56" s="1074"/>
      <c r="G56" s="900"/>
      <c r="H56" s="902"/>
      <c r="I56" s="902"/>
      <c r="J56" s="880"/>
      <c r="K56" s="880"/>
      <c r="L56" s="880"/>
      <c r="M56" s="880"/>
      <c r="N56" s="880"/>
      <c r="O56" s="880"/>
      <c r="P56" s="880"/>
      <c r="Q56" s="880"/>
      <c r="R56" s="880"/>
      <c r="S56" s="880"/>
      <c r="T56" s="1089"/>
      <c r="U56" s="1089"/>
      <c r="V56" s="1089"/>
      <c r="W56" s="1086"/>
      <c r="X56" s="1086"/>
      <c r="Y56" s="1086"/>
      <c r="Z56" s="946"/>
      <c r="AA56" s="947"/>
      <c r="AB56" s="947"/>
      <c r="AC56" s="948"/>
      <c r="AD56" s="102" t="s">
        <v>58</v>
      </c>
      <c r="AE56" s="103" t="s">
        <v>59</v>
      </c>
      <c r="AF56" s="104" t="s">
        <v>60</v>
      </c>
      <c r="AG56" s="389"/>
      <c r="AH56" s="385"/>
      <c r="AI56" s="388"/>
      <c r="AJ56" s="328"/>
      <c r="AK56" s="328"/>
      <c r="AL56" s="38"/>
      <c r="AM56" s="38"/>
      <c r="AN56" s="38"/>
      <c r="AO56" s="301"/>
      <c r="AP56" s="300"/>
      <c r="AQ56" s="37"/>
      <c r="AR56" s="254"/>
      <c r="AS56" s="254"/>
      <c r="AT56" s="314"/>
      <c r="AU56" s="314"/>
      <c r="AV56" s="254" t="str">
        <f>'Žádost o valuty'!Y56</f>
        <v>Grenada </v>
      </c>
      <c r="AW56" s="254" t="str">
        <f>'Žádost o valuty'!Z56</f>
        <v>USD</v>
      </c>
      <c r="AX56" s="254">
        <f>'Žádost o valuty'!AA56</f>
        <v>55</v>
      </c>
      <c r="AY56" s="254">
        <v>54</v>
      </c>
      <c r="AZ56" s="255"/>
      <c r="BA56" s="10"/>
    </row>
    <row r="57" spans="1:53" ht="11.25" customHeight="1" hidden="1" thickTop="1">
      <c r="A57" s="10"/>
      <c r="B57" s="109"/>
      <c r="C57" s="794"/>
      <c r="D57" s="795"/>
      <c r="E57" s="796"/>
      <c r="F57" s="1121"/>
      <c r="G57" s="1122"/>
      <c r="H57" s="1123">
        <f>INT($AS57)</f>
        <v>0</v>
      </c>
      <c r="I57" s="1157">
        <f aca="true" t="shared" si="3" ref="I57:I117">IF((AS57-INT(AS57))=0,"",AS57)</f>
      </c>
      <c r="J57" s="919">
        <f>IF(ISNA(VLOOKUP(L57,'Žádost o valuty'!$Y$3:$AA$200,2,FALSE)),"",VLOOKUP(L57,'Žádost o valuty'!$Y$3:$AA$200,2,FALSE))</f>
      </c>
      <c r="K57" s="919"/>
      <c r="L57" s="803"/>
      <c r="M57" s="804"/>
      <c r="N57" s="804"/>
      <c r="O57" s="804"/>
      <c r="P57" s="804"/>
      <c r="Q57" s="804"/>
      <c r="R57" s="804"/>
      <c r="S57" s="804"/>
      <c r="T57" s="1161">
        <f>IF(ISNA(VLOOKUP(L57,'Žádost o valuty'!$Y$3:$AA$200,3,FALSE)),0,VLOOKUP(L57,'Žádost o valuty'!$Y$3:$AA$200,3,FALSE))</f>
        <v>0</v>
      </c>
      <c r="U57" s="1161"/>
      <c r="V57" s="1161"/>
      <c r="W57" s="1163">
        <f>IF(OR(AND(I57=0,H57=0),AND(AC57="*",AG57&lt;5)),0,IF(AG57,HLOOKUP(CEILING(AG57,6),AL$124:AP$129,6),AG58))*T57*kapesne</f>
        <v>0</v>
      </c>
      <c r="X57" s="1163"/>
      <c r="Y57" s="1163"/>
      <c r="Z57" s="1164">
        <f>IF($AN$130=TRUE,0,IF(AND(H57=0,AC57="*",AG57&lt;5),0,T57*IF(AG57,AO57,AP57*AG58)))</f>
        <v>0</v>
      </c>
      <c r="AA57" s="1165"/>
      <c r="AB57" s="1165"/>
      <c r="AC57" s="949">
        <f>IF(AND(NOT(I57=""),OR(AND(C57=C$6,AM$6&gt;=5),AND(C57=C$8,AM$8&gt;=5),AND(C57=C$10,AM$10&gt;=5),AND(C57=C$12,AM$12&gt;=5))),"*","")</f>
      </c>
      <c r="AD57" s="921"/>
      <c r="AE57" s="910"/>
      <c r="AF57" s="912"/>
      <c r="AG57" s="384">
        <v>0</v>
      </c>
      <c r="AH57" s="385">
        <v>1</v>
      </c>
      <c r="AI57" s="386">
        <f>IF(AND(C57&lt;&gt;"",AC57="*",AG57&gt;0,AG57&lt;5),MATCH(C57,C$6:C$13,0),"")</f>
      </c>
      <c r="AJ57" s="328"/>
      <c r="AK57" s="328"/>
      <c r="AL57" s="38" t="b">
        <v>0</v>
      </c>
      <c r="AM57" s="38" t="b">
        <v>0</v>
      </c>
      <c r="AN57" s="38" t="b">
        <v>0</v>
      </c>
      <c r="AO57" s="357">
        <f aca="true" t="shared" si="4" ref="AO57:AO117">IF(AG57&lt;1,0,HLOOKUP(CEILING(AG57,6),AL$124:AP$129,6)*(VLOOKUP(AQ57,AL$125:AP$128,MATCH(CEILING(AG57,6),AL$124:AP$124,1))))</f>
        <v>0</v>
      </c>
      <c r="AP57" s="300">
        <f>VLOOKUP(AQ57,AL$125:AP$128,5,TRUE)*AP$125</f>
        <v>1</v>
      </c>
      <c r="AQ57" s="37">
        <f>COUNTIF(AL57:AN57,TRUE)</f>
        <v>0</v>
      </c>
      <c r="AR57" s="254">
        <f aca="true" t="shared" si="5" ref="AR57:AR86">IF(F57="",0,TIMEVALUE(F57))</f>
        <v>0</v>
      </c>
      <c r="AS57" s="1">
        <f aca="true" t="shared" si="6" ref="AS57:AS117">(C58+AR58-C57-AR57)+IF(F58="24:00",1,0)</f>
        <v>0</v>
      </c>
      <c r="AT57" s="351"/>
      <c r="AU57" s="351"/>
      <c r="AV57" s="254" t="str">
        <f>'Žádost o valuty'!Y57</f>
        <v>Gruzie </v>
      </c>
      <c r="AW57" s="254" t="str">
        <f>'Žádost o valuty'!Z57</f>
        <v>EUR</v>
      </c>
      <c r="AX57" s="254">
        <f>'Žádost o valuty'!AA57</f>
        <v>35</v>
      </c>
      <c r="AY57" s="254">
        <v>55</v>
      </c>
      <c r="AZ57" s="255"/>
      <c r="BA57" s="10"/>
    </row>
    <row r="58" spans="1:53" ht="11.25" customHeight="1" hidden="1" thickBot="1">
      <c r="A58" s="10"/>
      <c r="B58" s="109"/>
      <c r="C58" s="794"/>
      <c r="D58" s="795"/>
      <c r="E58" s="796"/>
      <c r="F58" s="813"/>
      <c r="G58" s="814"/>
      <c r="H58" s="793"/>
      <c r="I58" s="812"/>
      <c r="J58" s="920"/>
      <c r="K58" s="920"/>
      <c r="L58" s="842"/>
      <c r="M58" s="843"/>
      <c r="N58" s="843"/>
      <c r="O58" s="843"/>
      <c r="P58" s="843"/>
      <c r="Q58" s="843"/>
      <c r="R58" s="843"/>
      <c r="S58" s="843"/>
      <c r="T58" s="1162"/>
      <c r="U58" s="1162"/>
      <c r="V58" s="1162"/>
      <c r="W58" s="878"/>
      <c r="X58" s="878"/>
      <c r="Y58" s="878"/>
      <c r="Z58" s="1166"/>
      <c r="AA58" s="1167"/>
      <c r="AB58" s="1167"/>
      <c r="AC58" s="764"/>
      <c r="AD58" s="918"/>
      <c r="AE58" s="911"/>
      <c r="AF58" s="913"/>
      <c r="AG58" s="387">
        <v>0</v>
      </c>
      <c r="AH58" s="385"/>
      <c r="AI58" s="388"/>
      <c r="AJ58" s="328"/>
      <c r="AK58" s="328"/>
      <c r="AL58" s="38"/>
      <c r="AM58" s="38"/>
      <c r="AN58" s="38"/>
      <c r="AO58" s="301"/>
      <c r="AP58" s="300"/>
      <c r="AQ58" s="37"/>
      <c r="AR58" s="254">
        <f t="shared" si="5"/>
        <v>0</v>
      </c>
      <c r="AS58" s="254"/>
      <c r="AT58" s="254"/>
      <c r="AU58" s="314"/>
      <c r="AV58" s="254" t="str">
        <f>'Žádost o valuty'!Y58</f>
        <v>Guatemala</v>
      </c>
      <c r="AW58" s="254" t="str">
        <f>'Žádost o valuty'!Z58</f>
        <v>USD</v>
      </c>
      <c r="AX58" s="254">
        <f>'Žádost o valuty'!AA58</f>
        <v>45</v>
      </c>
      <c r="AY58" s="254">
        <v>56</v>
      </c>
      <c r="AZ58" s="255"/>
      <c r="BA58" s="10"/>
    </row>
    <row r="59" spans="1:53" ht="11.25" customHeight="1" hidden="1">
      <c r="A59" s="10"/>
      <c r="B59" s="109"/>
      <c r="C59" s="797"/>
      <c r="D59" s="798"/>
      <c r="E59" s="799"/>
      <c r="F59" s="789"/>
      <c r="G59" s="790"/>
      <c r="H59" s="792">
        <f>INT($AS59)</f>
        <v>0</v>
      </c>
      <c r="I59" s="811">
        <f t="shared" si="3"/>
      </c>
      <c r="J59" s="920">
        <f>IF(ISNA(VLOOKUP(L59,'Žádost o valuty'!$Y$3:$AA$200,2,FALSE)),"",VLOOKUP(L59,'Žádost o valuty'!$Y$3:$AA$200,2,FALSE))</f>
      </c>
      <c r="K59" s="920"/>
      <c r="L59" s="842"/>
      <c r="M59" s="843"/>
      <c r="N59" s="843"/>
      <c r="O59" s="843"/>
      <c r="P59" s="843"/>
      <c r="Q59" s="843"/>
      <c r="R59" s="843"/>
      <c r="S59" s="843"/>
      <c r="T59" s="1162">
        <f>IF(ISNA(VLOOKUP(L59,'Žádost o valuty'!$Y$3:$AA$200,3,FALSE)),0,VLOOKUP(L59,'Žádost o valuty'!$Y$3:$AA$200,3,FALSE))</f>
        <v>0</v>
      </c>
      <c r="U59" s="1162"/>
      <c r="V59" s="1162"/>
      <c r="W59" s="878">
        <f>IF(OR(AND(I59=0,H59=0),AND(AC59="*",AG59&lt;5)),0,IF(AG59,HLOOKUP(CEILING(AG59,6),AL$124:AP$129,6),AG60))*T59*kapesne</f>
        <v>0</v>
      </c>
      <c r="X59" s="878"/>
      <c r="Y59" s="878"/>
      <c r="Z59" s="767">
        <f>IF($AN$130=TRUE,0,IF(AND(H59=0,AC59="*",AG59&lt;5),0,T59*IF(AG59,AO59,AP59*AG60)))</f>
        <v>0</v>
      </c>
      <c r="AA59" s="768"/>
      <c r="AB59" s="768"/>
      <c r="AC59" s="764">
        <f>IF(AND(NOT(I59=""),OR(AND(C59=C$6,AM$6&gt;=5),AND(C59=C$8,AM$8&gt;=5),AND(C59=C$10,AM$10&gt;=5),AND(C59=C$12,AM$12&gt;=5))),"*","")</f>
      </c>
      <c r="AD59" s="917"/>
      <c r="AE59" s="1118"/>
      <c r="AF59" s="914"/>
      <c r="AG59" s="384">
        <v>0</v>
      </c>
      <c r="AH59" s="385">
        <v>1</v>
      </c>
      <c r="AI59" s="386">
        <f>IF(AND(C59&lt;&gt;"",AC59="*",AG59&gt;0,AG59&lt;5),MATCH(C59,C$6:C$13,0),"")</f>
      </c>
      <c r="AJ59" s="328"/>
      <c r="AK59" s="328"/>
      <c r="AL59" s="38" t="b">
        <v>0</v>
      </c>
      <c r="AM59" s="38" t="b">
        <v>0</v>
      </c>
      <c r="AN59" s="38" t="b">
        <v>0</v>
      </c>
      <c r="AO59" s="357">
        <f t="shared" si="4"/>
        <v>0</v>
      </c>
      <c r="AP59" s="300">
        <f>VLOOKUP(AQ59,AL$125:AP$128,5,TRUE)*AP$125</f>
        <v>1</v>
      </c>
      <c r="AQ59" s="37">
        <f>COUNTIF(AL59:AN59,TRUE)</f>
        <v>0</v>
      </c>
      <c r="AR59" s="254">
        <f t="shared" si="5"/>
        <v>0</v>
      </c>
      <c r="AS59" s="1">
        <f t="shared" si="6"/>
        <v>0</v>
      </c>
      <c r="AT59" s="351"/>
      <c r="AU59" s="351"/>
      <c r="AV59" s="254" t="str">
        <f>'Žádost o valuty'!Y59</f>
        <v>Guinea </v>
      </c>
      <c r="AW59" s="254" t="str">
        <f>'Žádost o valuty'!Z59</f>
        <v>EUR</v>
      </c>
      <c r="AX59" s="254">
        <f>'Žádost o valuty'!AA59</f>
        <v>45</v>
      </c>
      <c r="AY59" s="254">
        <v>57</v>
      </c>
      <c r="AZ59" s="255"/>
      <c r="BA59" s="10"/>
    </row>
    <row r="60" spans="1:53" ht="11.25" customHeight="1" hidden="1" thickBot="1">
      <c r="A60" s="10"/>
      <c r="B60" s="109"/>
      <c r="C60" s="808"/>
      <c r="D60" s="809"/>
      <c r="E60" s="810"/>
      <c r="F60" s="813"/>
      <c r="G60" s="814"/>
      <c r="H60" s="793"/>
      <c r="I60" s="812"/>
      <c r="J60" s="920"/>
      <c r="K60" s="920"/>
      <c r="L60" s="842"/>
      <c r="M60" s="843"/>
      <c r="N60" s="843"/>
      <c r="O60" s="843"/>
      <c r="P60" s="843"/>
      <c r="Q60" s="843"/>
      <c r="R60" s="843"/>
      <c r="S60" s="843"/>
      <c r="T60" s="1162"/>
      <c r="U60" s="1162"/>
      <c r="V60" s="1162"/>
      <c r="W60" s="878"/>
      <c r="X60" s="878"/>
      <c r="Y60" s="878"/>
      <c r="Z60" s="771"/>
      <c r="AA60" s="772"/>
      <c r="AB60" s="772"/>
      <c r="AC60" s="764"/>
      <c r="AD60" s="918"/>
      <c r="AE60" s="911"/>
      <c r="AF60" s="913"/>
      <c r="AG60" s="387">
        <v>0</v>
      </c>
      <c r="AH60" s="385"/>
      <c r="AI60" s="388"/>
      <c r="AJ60" s="328"/>
      <c r="AK60" s="328"/>
      <c r="AL60" s="38"/>
      <c r="AM60" s="38"/>
      <c r="AN60" s="38"/>
      <c r="AO60" s="301"/>
      <c r="AP60" s="300"/>
      <c r="AQ60" s="37"/>
      <c r="AR60" s="254">
        <f t="shared" si="5"/>
        <v>0</v>
      </c>
      <c r="AS60" s="254"/>
      <c r="AT60" s="254"/>
      <c r="AU60" s="314"/>
      <c r="AV60" s="254" t="str">
        <f>'Žádost o valuty'!Y60</f>
        <v>Guniea-Bissau </v>
      </c>
      <c r="AW60" s="254" t="str">
        <f>'Žádost o valuty'!Z60</f>
        <v>EUR</v>
      </c>
      <c r="AX60" s="254">
        <f>'Žádost o valuty'!AA60</f>
        <v>45</v>
      </c>
      <c r="AY60" s="254">
        <v>58</v>
      </c>
      <c r="AZ60" s="255"/>
      <c r="BA60" s="10"/>
    </row>
    <row r="61" spans="1:53" ht="11.25" customHeight="1" hidden="1">
      <c r="A61" s="10"/>
      <c r="B61" s="109"/>
      <c r="C61" s="797"/>
      <c r="D61" s="798"/>
      <c r="E61" s="799"/>
      <c r="F61" s="789"/>
      <c r="G61" s="790"/>
      <c r="H61" s="792">
        <f>INT($AS61)</f>
        <v>0</v>
      </c>
      <c r="I61" s="811">
        <f t="shared" si="3"/>
      </c>
      <c r="J61" s="920">
        <f>IF(ISNA(VLOOKUP(L61,'Žádost o valuty'!$Y$3:$AA$200,2,FALSE)),"",VLOOKUP(L61,'Žádost o valuty'!$Y$3:$AA$200,2,FALSE))</f>
      </c>
      <c r="K61" s="920"/>
      <c r="L61" s="842"/>
      <c r="M61" s="843"/>
      <c r="N61" s="843"/>
      <c r="O61" s="843"/>
      <c r="P61" s="843"/>
      <c r="Q61" s="843"/>
      <c r="R61" s="843"/>
      <c r="S61" s="843"/>
      <c r="T61" s="1162">
        <f>IF(ISNA(VLOOKUP(L61,'Žádost o valuty'!$Y$3:$AA$200,3,FALSE)),0,VLOOKUP(L61,'Žádost o valuty'!$Y$3:$AA$200,3,FALSE))</f>
        <v>0</v>
      </c>
      <c r="U61" s="1162"/>
      <c r="V61" s="1162"/>
      <c r="W61" s="878">
        <f>IF(OR(AND(I61=0,H61=0),AND(AC61="*",AG61&lt;5)),0,IF(AG61,HLOOKUP(CEILING(AG61,6),AL$124:AP$129,6),AG62))*T61*kapesne</f>
        <v>0</v>
      </c>
      <c r="X61" s="878"/>
      <c r="Y61" s="878"/>
      <c r="Z61" s="767">
        <f>IF($AN$130=TRUE,0,IF(AND(H61=0,AC61="*",AG61&lt;5),0,T61*IF(AG61,AO61,AP61*AG62)))</f>
        <v>0</v>
      </c>
      <c r="AA61" s="768"/>
      <c r="AB61" s="768"/>
      <c r="AC61" s="764">
        <f>IF(AND(NOT(I61=""),OR(AND(C61=C$6,AM$6&gt;=5),AND(C61=C$8,AM$8&gt;=5),AND(C61=C$10,AM$10&gt;=5),AND(C61=C$12,AM$12&gt;=5))),"*","")</f>
      </c>
      <c r="AD61" s="917"/>
      <c r="AE61" s="1118"/>
      <c r="AF61" s="914"/>
      <c r="AG61" s="384">
        <v>0</v>
      </c>
      <c r="AH61" s="385">
        <v>1</v>
      </c>
      <c r="AI61" s="386">
        <f>IF(AND(C61&lt;&gt;"",AC61="*",AG61&gt;0,AG61&lt;5),MATCH(C61,C$6:C$13,0),"")</f>
      </c>
      <c r="AJ61" s="328"/>
      <c r="AK61" s="328"/>
      <c r="AL61" s="38" t="b">
        <v>0</v>
      </c>
      <c r="AM61" s="38" t="b">
        <v>0</v>
      </c>
      <c r="AN61" s="38" t="b">
        <v>0</v>
      </c>
      <c r="AO61" s="357">
        <f t="shared" si="4"/>
        <v>0</v>
      </c>
      <c r="AP61" s="300">
        <f>VLOOKUP(AQ61,AL$125:AP$128,5,TRUE)*AP$125</f>
        <v>1</v>
      </c>
      <c r="AQ61" s="37">
        <f>COUNTIF(AL61:AN61,TRUE)</f>
        <v>0</v>
      </c>
      <c r="AR61" s="254">
        <f t="shared" si="5"/>
        <v>0</v>
      </c>
      <c r="AS61" s="1">
        <f t="shared" si="6"/>
        <v>0</v>
      </c>
      <c r="AT61" s="351"/>
      <c r="AU61" s="351"/>
      <c r="AV61" s="254" t="str">
        <f>'Žádost o valuty'!Y61</f>
        <v>Guayana </v>
      </c>
      <c r="AW61" s="254" t="str">
        <f>'Žádost o valuty'!Z61</f>
        <v>USD</v>
      </c>
      <c r="AX61" s="254">
        <f>'Žádost o valuty'!AA61</f>
        <v>50</v>
      </c>
      <c r="AY61" s="254">
        <v>59</v>
      </c>
      <c r="AZ61" s="255"/>
      <c r="BA61" s="10"/>
    </row>
    <row r="62" spans="1:53" ht="11.25" customHeight="1" hidden="1" thickBot="1">
      <c r="A62" s="10"/>
      <c r="B62" s="109"/>
      <c r="C62" s="808"/>
      <c r="D62" s="809"/>
      <c r="E62" s="810"/>
      <c r="F62" s="813"/>
      <c r="G62" s="814"/>
      <c r="H62" s="793"/>
      <c r="I62" s="812"/>
      <c r="J62" s="920"/>
      <c r="K62" s="920"/>
      <c r="L62" s="842"/>
      <c r="M62" s="843"/>
      <c r="N62" s="843"/>
      <c r="O62" s="843"/>
      <c r="P62" s="843"/>
      <c r="Q62" s="843"/>
      <c r="R62" s="843"/>
      <c r="S62" s="843"/>
      <c r="T62" s="1162"/>
      <c r="U62" s="1162"/>
      <c r="V62" s="1162"/>
      <c r="W62" s="878"/>
      <c r="X62" s="878"/>
      <c r="Y62" s="878"/>
      <c r="Z62" s="771"/>
      <c r="AA62" s="772"/>
      <c r="AB62" s="772"/>
      <c r="AC62" s="764"/>
      <c r="AD62" s="918"/>
      <c r="AE62" s="911"/>
      <c r="AF62" s="913"/>
      <c r="AG62" s="387">
        <v>0</v>
      </c>
      <c r="AH62" s="385"/>
      <c r="AI62" s="388"/>
      <c r="AJ62" s="328"/>
      <c r="AK62" s="328"/>
      <c r="AL62" s="38"/>
      <c r="AM62" s="38"/>
      <c r="AN62" s="38"/>
      <c r="AO62" s="301"/>
      <c r="AP62" s="300"/>
      <c r="AQ62" s="37"/>
      <c r="AR62" s="254">
        <f t="shared" si="5"/>
        <v>0</v>
      </c>
      <c r="AS62" s="254"/>
      <c r="AT62" s="254"/>
      <c r="AU62" s="314"/>
      <c r="AV62" s="254" t="str">
        <f>'Žádost o valuty'!Y62</f>
        <v>Haiti </v>
      </c>
      <c r="AW62" s="254" t="str">
        <f>'Žádost o valuty'!Z62</f>
        <v>USD</v>
      </c>
      <c r="AX62" s="254">
        <f>'Žádost o valuty'!AA62</f>
        <v>55</v>
      </c>
      <c r="AY62" s="254">
        <v>60</v>
      </c>
      <c r="AZ62" s="255"/>
      <c r="BA62" s="10"/>
    </row>
    <row r="63" spans="1:53" ht="11.25" customHeight="1" hidden="1">
      <c r="A63" s="10"/>
      <c r="B63" s="109"/>
      <c r="C63" s="794"/>
      <c r="D63" s="795"/>
      <c r="E63" s="796"/>
      <c r="F63" s="1121"/>
      <c r="G63" s="1122"/>
      <c r="H63" s="792">
        <f>INT($AS63)</f>
        <v>0</v>
      </c>
      <c r="I63" s="811">
        <f t="shared" si="3"/>
      </c>
      <c r="J63" s="919">
        <f>IF(ISNA(VLOOKUP(L63,'Žádost o valuty'!$Y$3:$AA$200,2,FALSE)),"",VLOOKUP(L63,'Žádost o valuty'!$Y$3:$AA$200,2,FALSE))</f>
      </c>
      <c r="K63" s="919"/>
      <c r="L63" s="803"/>
      <c r="M63" s="804"/>
      <c r="N63" s="804"/>
      <c r="O63" s="804"/>
      <c r="P63" s="804"/>
      <c r="Q63" s="804"/>
      <c r="R63" s="804"/>
      <c r="S63" s="804"/>
      <c r="T63" s="1161">
        <f>IF(ISNA(VLOOKUP(L63,'Žádost o valuty'!$Y$3:$AA$200,3,FALSE)),0,VLOOKUP(L63,'Žádost o valuty'!$Y$3:$AA$200,3,FALSE))</f>
        <v>0</v>
      </c>
      <c r="U63" s="1161"/>
      <c r="V63" s="1161"/>
      <c r="W63" s="878">
        <f>IF(OR(AND(I63=0,H63=0),AND(AC63="*",AG63&lt;5)),0,IF(AG63,HLOOKUP(CEILING(AG63,6),AL$124:AP$129,6),AG64))*T63*kapesne</f>
        <v>0</v>
      </c>
      <c r="X63" s="878"/>
      <c r="Y63" s="878"/>
      <c r="Z63" s="767">
        <f>IF($AN$130=TRUE,0,IF(AND(H63=0,AC63="*",AG63&lt;5),0,T63*IF(AG63,AO63,AP63*AG64)))</f>
        <v>0</v>
      </c>
      <c r="AA63" s="768"/>
      <c r="AB63" s="768"/>
      <c r="AC63" s="764">
        <f>IF(AND(NOT(I63=""),OR(AND(C63=C$6,AM$6&gt;=5),AND(C63=C$8,AM$8&gt;=5),AND(C63=C$10,AM$10&gt;=5),AND(C63=C$12,AM$12&gt;=5))),"*","")</f>
      </c>
      <c r="AD63" s="921"/>
      <c r="AE63" s="910"/>
      <c r="AF63" s="912"/>
      <c r="AG63" s="384">
        <v>0</v>
      </c>
      <c r="AH63" s="385">
        <v>1</v>
      </c>
      <c r="AI63" s="386">
        <f>IF(AND(C63&lt;&gt;"",AC63="*",AG63&gt;0,AG63&lt;5),MATCH(C63,C$6:C$13,0),"")</f>
      </c>
      <c r="AJ63" s="328"/>
      <c r="AK63" s="328"/>
      <c r="AL63" s="38" t="b">
        <v>0</v>
      </c>
      <c r="AM63" s="38" t="b">
        <v>0</v>
      </c>
      <c r="AN63" s="38" t="b">
        <v>0</v>
      </c>
      <c r="AO63" s="357">
        <f t="shared" si="4"/>
        <v>0</v>
      </c>
      <c r="AP63" s="300">
        <f>VLOOKUP(AQ63,AL$125:AP$128,5,TRUE)*AP$125</f>
        <v>1</v>
      </c>
      <c r="AQ63" s="37">
        <f>COUNTIF(AL63:AN63,TRUE)</f>
        <v>0</v>
      </c>
      <c r="AR63" s="254">
        <f t="shared" si="5"/>
        <v>0</v>
      </c>
      <c r="AS63" s="1">
        <f t="shared" si="6"/>
        <v>0</v>
      </c>
      <c r="AT63" s="351"/>
      <c r="AU63" s="351"/>
      <c r="AV63" s="254" t="str">
        <f>'Žádost o valuty'!Y63</f>
        <v>Holandsko </v>
      </c>
      <c r="AW63" s="254" t="str">
        <f>'Žádost o valuty'!Z63</f>
        <v>EUR</v>
      </c>
      <c r="AX63" s="254">
        <f>'Žádost o valuty'!AA63</f>
        <v>45</v>
      </c>
      <c r="AY63" s="254">
        <v>61</v>
      </c>
      <c r="AZ63" s="255"/>
      <c r="BA63" s="10"/>
    </row>
    <row r="64" spans="1:53" ht="11.25" customHeight="1" hidden="1" thickBot="1">
      <c r="A64" s="10"/>
      <c r="B64" s="109"/>
      <c r="C64" s="808"/>
      <c r="D64" s="809"/>
      <c r="E64" s="810"/>
      <c r="F64" s="813"/>
      <c r="G64" s="814"/>
      <c r="H64" s="793"/>
      <c r="I64" s="812"/>
      <c r="J64" s="920"/>
      <c r="K64" s="920"/>
      <c r="L64" s="842"/>
      <c r="M64" s="843"/>
      <c r="N64" s="843"/>
      <c r="O64" s="843"/>
      <c r="P64" s="843"/>
      <c r="Q64" s="843"/>
      <c r="R64" s="843"/>
      <c r="S64" s="843"/>
      <c r="T64" s="1162"/>
      <c r="U64" s="1162"/>
      <c r="V64" s="1162"/>
      <c r="W64" s="878"/>
      <c r="X64" s="878"/>
      <c r="Y64" s="878"/>
      <c r="Z64" s="771"/>
      <c r="AA64" s="772"/>
      <c r="AB64" s="772"/>
      <c r="AC64" s="764"/>
      <c r="AD64" s="918"/>
      <c r="AE64" s="911"/>
      <c r="AF64" s="913"/>
      <c r="AG64" s="387">
        <v>0</v>
      </c>
      <c r="AH64" s="385"/>
      <c r="AI64" s="388"/>
      <c r="AJ64" s="328"/>
      <c r="AK64" s="328"/>
      <c r="AL64" s="38"/>
      <c r="AM64" s="38"/>
      <c r="AN64" s="38"/>
      <c r="AO64" s="301"/>
      <c r="AP64" s="300"/>
      <c r="AQ64" s="37"/>
      <c r="AR64" s="254">
        <f t="shared" si="5"/>
        <v>0</v>
      </c>
      <c r="AS64" s="254"/>
      <c r="AT64" s="254"/>
      <c r="AU64" s="314"/>
      <c r="AV64" s="254" t="str">
        <f>'Žádost o valuty'!Y64</f>
        <v>Honduras </v>
      </c>
      <c r="AW64" s="254" t="str">
        <f>'Žádost o valuty'!Z64</f>
        <v>USD</v>
      </c>
      <c r="AX64" s="254">
        <f>'Žádost o valuty'!AA64</f>
        <v>40</v>
      </c>
      <c r="AY64" s="254">
        <v>62</v>
      </c>
      <c r="AZ64" s="255"/>
      <c r="BA64" s="10"/>
    </row>
    <row r="65" spans="1:53" ht="11.25" customHeight="1" hidden="1">
      <c r="A65" s="10"/>
      <c r="B65" s="109"/>
      <c r="C65" s="797"/>
      <c r="D65" s="798"/>
      <c r="E65" s="799"/>
      <c r="F65" s="789"/>
      <c r="G65" s="790"/>
      <c r="H65" s="792">
        <f>INT($AS65)</f>
        <v>0</v>
      </c>
      <c r="I65" s="811">
        <f t="shared" si="3"/>
      </c>
      <c r="J65" s="920">
        <f>IF(ISNA(VLOOKUP(L65,'Žádost o valuty'!$Y$3:$AA$200,2,FALSE)),"",VLOOKUP(L65,'Žádost o valuty'!$Y$3:$AA$200,2,FALSE))</f>
      </c>
      <c r="K65" s="920"/>
      <c r="L65" s="842"/>
      <c r="M65" s="843"/>
      <c r="N65" s="843"/>
      <c r="O65" s="843"/>
      <c r="P65" s="843"/>
      <c r="Q65" s="843"/>
      <c r="R65" s="843"/>
      <c r="S65" s="843"/>
      <c r="T65" s="1162">
        <f>IF(ISNA(VLOOKUP(L65,'Žádost o valuty'!$Y$3:$AA$200,3,FALSE)),0,VLOOKUP(L65,'Žádost o valuty'!$Y$3:$AA$200,3,FALSE))</f>
        <v>0</v>
      </c>
      <c r="U65" s="1162"/>
      <c r="V65" s="1162"/>
      <c r="W65" s="878">
        <f>IF(OR(AND(I65=0,H65=0),AND(AC65="*",AG65&lt;5)),0,IF(AG65,HLOOKUP(CEILING(AG65,6),AL$124:AP$129,6),AG66))*T65*kapesne</f>
        <v>0</v>
      </c>
      <c r="X65" s="878"/>
      <c r="Y65" s="878"/>
      <c r="Z65" s="767">
        <f>IF($AN$130=TRUE,0,IF(AND(H65=0,AC65="*",AG65&lt;5),0,T65*IF(AG65,AO65,AP65*AG66)))</f>
        <v>0</v>
      </c>
      <c r="AA65" s="768"/>
      <c r="AB65" s="768"/>
      <c r="AC65" s="764">
        <f>IF(AND(NOT(I65=""),OR(AND(C65=C$6,AM$6&gt;=5),AND(C65=C$8,AM$8&gt;=5),AND(C65=C$10,AM$10&gt;=5),AND(C65=C$12,AM$12&gt;=5))),"*","")</f>
      </c>
      <c r="AD65" s="917"/>
      <c r="AE65" s="1118"/>
      <c r="AF65" s="914"/>
      <c r="AG65" s="384">
        <v>0</v>
      </c>
      <c r="AH65" s="385">
        <v>1</v>
      </c>
      <c r="AI65" s="386">
        <f>IF(AND(C65&lt;&gt;"",AC65="*",AG65&gt;0,AG65&lt;5),MATCH(C65,C$6:C$13,0),"")</f>
      </c>
      <c r="AJ65" s="328"/>
      <c r="AK65" s="328"/>
      <c r="AL65" s="38" t="b">
        <v>0</v>
      </c>
      <c r="AM65" s="38" t="b">
        <v>0</v>
      </c>
      <c r="AN65" s="38" t="b">
        <v>0</v>
      </c>
      <c r="AO65" s="357">
        <f t="shared" si="4"/>
        <v>0</v>
      </c>
      <c r="AP65" s="300">
        <f>VLOOKUP(AQ65,AL$125:AP$128,5,TRUE)*AP$125</f>
        <v>1</v>
      </c>
      <c r="AQ65" s="37">
        <f>COUNTIF(AL65:AN65,TRUE)</f>
        <v>0</v>
      </c>
      <c r="AR65" s="254">
        <f t="shared" si="5"/>
        <v>0</v>
      </c>
      <c r="AS65" s="1">
        <f t="shared" si="6"/>
        <v>0</v>
      </c>
      <c r="AT65" s="351"/>
      <c r="AU65" s="351"/>
      <c r="AV65" s="254" t="str">
        <f>'Žádost o valuty'!Y65</f>
        <v>Hongkong</v>
      </c>
      <c r="AW65" s="254" t="str">
        <f>'Žádost o valuty'!Z65</f>
        <v>EUR</v>
      </c>
      <c r="AX65" s="254">
        <f>'Žádost o valuty'!AA65</f>
        <v>45</v>
      </c>
      <c r="AY65" s="254">
        <v>63</v>
      </c>
      <c r="AZ65" s="255"/>
      <c r="BA65" s="10"/>
    </row>
    <row r="66" spans="1:53" ht="11.25" customHeight="1" hidden="1" thickBot="1">
      <c r="A66" s="10"/>
      <c r="B66" s="109"/>
      <c r="C66" s="808"/>
      <c r="D66" s="809"/>
      <c r="E66" s="810"/>
      <c r="F66" s="813"/>
      <c r="G66" s="814"/>
      <c r="H66" s="793"/>
      <c r="I66" s="812"/>
      <c r="J66" s="920"/>
      <c r="K66" s="920"/>
      <c r="L66" s="842"/>
      <c r="M66" s="843"/>
      <c r="N66" s="843"/>
      <c r="O66" s="843"/>
      <c r="P66" s="843"/>
      <c r="Q66" s="843"/>
      <c r="R66" s="843"/>
      <c r="S66" s="843"/>
      <c r="T66" s="1162"/>
      <c r="U66" s="1162"/>
      <c r="V66" s="1162"/>
      <c r="W66" s="878"/>
      <c r="X66" s="878"/>
      <c r="Y66" s="878"/>
      <c r="Z66" s="771"/>
      <c r="AA66" s="772"/>
      <c r="AB66" s="772"/>
      <c r="AC66" s="764"/>
      <c r="AD66" s="918"/>
      <c r="AE66" s="911"/>
      <c r="AF66" s="913"/>
      <c r="AG66" s="387">
        <v>0</v>
      </c>
      <c r="AH66" s="385"/>
      <c r="AI66" s="388"/>
      <c r="AJ66" s="328"/>
      <c r="AK66" s="328"/>
      <c r="AL66" s="38"/>
      <c r="AM66" s="38"/>
      <c r="AN66" s="38"/>
      <c r="AO66" s="301"/>
      <c r="AP66" s="300"/>
      <c r="AQ66" s="37"/>
      <c r="AR66" s="254">
        <f t="shared" si="5"/>
        <v>0</v>
      </c>
      <c r="AS66" s="254"/>
      <c r="AT66" s="254"/>
      <c r="AU66" s="314"/>
      <c r="AV66" s="254" t="str">
        <f>'Žádost o valuty'!Y66</f>
        <v>Chile </v>
      </c>
      <c r="AW66" s="254" t="str">
        <f>'Žádost o valuty'!Z66</f>
        <v>USD</v>
      </c>
      <c r="AX66" s="254">
        <f>'Žádost o valuty'!AA66</f>
        <v>50</v>
      </c>
      <c r="AY66" s="254">
        <v>64</v>
      </c>
      <c r="AZ66" s="255"/>
      <c r="BA66" s="10"/>
    </row>
    <row r="67" spans="1:53" ht="11.25" customHeight="1" hidden="1">
      <c r="A67" s="10"/>
      <c r="B67" s="109"/>
      <c r="C67" s="797"/>
      <c r="D67" s="798"/>
      <c r="E67" s="799"/>
      <c r="F67" s="789"/>
      <c r="G67" s="790"/>
      <c r="H67" s="792">
        <f>INT($AS67)</f>
        <v>0</v>
      </c>
      <c r="I67" s="811">
        <f t="shared" si="3"/>
      </c>
      <c r="J67" s="920">
        <f>IF(ISNA(VLOOKUP(L67,'Žádost o valuty'!$Y$3:$AA$200,2,FALSE)),"",VLOOKUP(L67,'Žádost o valuty'!$Y$3:$AA$200,2,FALSE))</f>
      </c>
      <c r="K67" s="920"/>
      <c r="L67" s="842"/>
      <c r="M67" s="843"/>
      <c r="N67" s="843"/>
      <c r="O67" s="843"/>
      <c r="P67" s="843"/>
      <c r="Q67" s="843"/>
      <c r="R67" s="843"/>
      <c r="S67" s="843"/>
      <c r="T67" s="1162">
        <f>IF(ISNA(VLOOKUP(L67,'Žádost o valuty'!$Y$3:$AA$200,3,FALSE)),0,VLOOKUP(L67,'Žádost o valuty'!$Y$3:$AA$200,3,FALSE))</f>
        <v>0</v>
      </c>
      <c r="U67" s="1162"/>
      <c r="V67" s="1162"/>
      <c r="W67" s="878">
        <f>IF(OR(AND(I67=0,H67=0),AND(AC67="*",AG67&lt;5)),0,IF(AG67,HLOOKUP(CEILING(AG67,6),AL$124:AP$129,6),AG68))*T67*kapesne</f>
        <v>0</v>
      </c>
      <c r="X67" s="878"/>
      <c r="Y67" s="878"/>
      <c r="Z67" s="767">
        <f>IF($AN$130=TRUE,0,IF(AND(H67=0,AC67="*",AG67&lt;5),0,T67*IF(AG67,AO67,AP67*AG68)))</f>
        <v>0</v>
      </c>
      <c r="AA67" s="768"/>
      <c r="AB67" s="768"/>
      <c r="AC67" s="764">
        <f>IF(AND(NOT(I67=""),OR(AND(C67=C$6,AM$6&gt;=5),AND(C67=C$8,AM$8&gt;=5),AND(C67=C$10,AM$10&gt;=5),AND(C67=C$12,AM$12&gt;=5))),"*","")</f>
      </c>
      <c r="AD67" s="917"/>
      <c r="AE67" s="1118"/>
      <c r="AF67" s="914"/>
      <c r="AG67" s="384">
        <v>0</v>
      </c>
      <c r="AH67" s="385">
        <v>1</v>
      </c>
      <c r="AI67" s="386">
        <f>IF(AND(C67&lt;&gt;"",AC67="*",AG67&gt;0,AG67&lt;5),MATCH(C67,C$6:C$13,0),"")</f>
      </c>
      <c r="AJ67" s="328"/>
      <c r="AK67" s="328"/>
      <c r="AL67" s="38" t="b">
        <v>0</v>
      </c>
      <c r="AM67" s="38" t="b">
        <v>0</v>
      </c>
      <c r="AN67" s="38" t="b">
        <v>0</v>
      </c>
      <c r="AO67" s="357">
        <f t="shared" si="4"/>
        <v>0</v>
      </c>
      <c r="AP67" s="300">
        <f>VLOOKUP(AQ67,AL$125:AP$128,5,TRUE)*AP$125</f>
        <v>1</v>
      </c>
      <c r="AQ67" s="37">
        <f>COUNTIF(AL67:AN67,TRUE)</f>
        <v>0</v>
      </c>
      <c r="AR67" s="254">
        <f t="shared" si="5"/>
        <v>0</v>
      </c>
      <c r="AS67" s="1">
        <f t="shared" si="6"/>
        <v>0</v>
      </c>
      <c r="AT67" s="351"/>
      <c r="AU67" s="351"/>
      <c r="AV67" s="254" t="str">
        <f>'Žádost o valuty'!Y67</f>
        <v>Chorvatsko </v>
      </c>
      <c r="AW67" s="254" t="str">
        <f>'Žádost o valuty'!Z67</f>
        <v>EUR</v>
      </c>
      <c r="AX67" s="254">
        <f>'Žádost o valuty'!AA67</f>
        <v>35</v>
      </c>
      <c r="AY67" s="254">
        <v>65</v>
      </c>
      <c r="AZ67" s="255"/>
      <c r="BA67" s="10"/>
    </row>
    <row r="68" spans="1:53" ht="11.25" customHeight="1" hidden="1" thickBot="1">
      <c r="A68" s="10"/>
      <c r="B68" s="109"/>
      <c r="C68" s="808"/>
      <c r="D68" s="809"/>
      <c r="E68" s="810"/>
      <c r="F68" s="813"/>
      <c r="G68" s="814"/>
      <c r="H68" s="793"/>
      <c r="I68" s="812"/>
      <c r="J68" s="920"/>
      <c r="K68" s="920"/>
      <c r="L68" s="842"/>
      <c r="M68" s="843"/>
      <c r="N68" s="843"/>
      <c r="O68" s="843"/>
      <c r="P68" s="843"/>
      <c r="Q68" s="843"/>
      <c r="R68" s="843"/>
      <c r="S68" s="843"/>
      <c r="T68" s="1162"/>
      <c r="U68" s="1162"/>
      <c r="V68" s="1162"/>
      <c r="W68" s="878"/>
      <c r="X68" s="878"/>
      <c r="Y68" s="878"/>
      <c r="Z68" s="771"/>
      <c r="AA68" s="772"/>
      <c r="AB68" s="772"/>
      <c r="AC68" s="764"/>
      <c r="AD68" s="918"/>
      <c r="AE68" s="911"/>
      <c r="AF68" s="913"/>
      <c r="AG68" s="387">
        <v>0</v>
      </c>
      <c r="AH68" s="385"/>
      <c r="AI68" s="388"/>
      <c r="AJ68" s="328"/>
      <c r="AK68" s="328"/>
      <c r="AL68" s="38"/>
      <c r="AM68" s="38"/>
      <c r="AN68" s="38"/>
      <c r="AO68" s="301"/>
      <c r="AP68" s="300"/>
      <c r="AQ68" s="37"/>
      <c r="AR68" s="254">
        <f t="shared" si="5"/>
        <v>0</v>
      </c>
      <c r="AS68" s="254"/>
      <c r="AT68" s="254"/>
      <c r="AU68" s="314"/>
      <c r="AV68" s="254" t="str">
        <f>'Žádost o valuty'!Y68</f>
        <v>Indie </v>
      </c>
      <c r="AW68" s="254" t="str">
        <f>'Žádost o valuty'!Z68</f>
        <v>EUR</v>
      </c>
      <c r="AX68" s="254">
        <f>'Žádost o valuty'!AA68</f>
        <v>40</v>
      </c>
      <c r="AY68" s="254">
        <v>66</v>
      </c>
      <c r="AZ68" s="255"/>
      <c r="BA68" s="10"/>
    </row>
    <row r="69" spans="1:53" ht="11.25" customHeight="1" hidden="1">
      <c r="A69" s="10"/>
      <c r="B69" s="109"/>
      <c r="C69" s="794"/>
      <c r="D69" s="795"/>
      <c r="E69" s="796"/>
      <c r="F69" s="1121"/>
      <c r="G69" s="1122"/>
      <c r="H69" s="792">
        <f>INT($AS69)</f>
        <v>0</v>
      </c>
      <c r="I69" s="811">
        <f t="shared" si="3"/>
      </c>
      <c r="J69" s="919">
        <f>IF(ISNA(VLOOKUP(L69,'Žádost o valuty'!$Y$3:$AA$200,2,FALSE)),"",VLOOKUP(L69,'Žádost o valuty'!$Y$3:$AA$200,2,FALSE))</f>
      </c>
      <c r="K69" s="919"/>
      <c r="L69" s="803"/>
      <c r="M69" s="804"/>
      <c r="N69" s="804"/>
      <c r="O69" s="804"/>
      <c r="P69" s="804"/>
      <c r="Q69" s="804"/>
      <c r="R69" s="804"/>
      <c r="S69" s="804"/>
      <c r="T69" s="1161">
        <f>IF(ISNA(VLOOKUP(L69,'Žádost o valuty'!$Y$3:$AA$200,3,FALSE)),0,VLOOKUP(L69,'Žádost o valuty'!$Y$3:$AA$200,3,FALSE))</f>
        <v>0</v>
      </c>
      <c r="U69" s="1161"/>
      <c r="V69" s="1161"/>
      <c r="W69" s="878">
        <f>IF(OR(AND(I69=0,H69=0),AND(AC69="*",AG69&lt;5)),0,IF(AG69,HLOOKUP(CEILING(AG69,6),AL$124:AP$129,6),AG70))*T69*kapesne</f>
        <v>0</v>
      </c>
      <c r="X69" s="878"/>
      <c r="Y69" s="878"/>
      <c r="Z69" s="767">
        <f>IF($AN$130=TRUE,0,IF(AND(H69=0,AC69="*",AG69&lt;5),0,T69*IF(AG69,AO69,AP69*AG70)))</f>
        <v>0</v>
      </c>
      <c r="AA69" s="768"/>
      <c r="AB69" s="768"/>
      <c r="AC69" s="764">
        <f>IF(AND(NOT(I69=""),OR(AND(C69=C$6,AM$6&gt;=5),AND(C69=C$8,AM$8&gt;=5),AND(C69=C$10,AM$10&gt;=5),AND(C69=C$12,AM$12&gt;=5))),"*","")</f>
      </c>
      <c r="AD69" s="921"/>
      <c r="AE69" s="910"/>
      <c r="AF69" s="912"/>
      <c r="AG69" s="384">
        <v>0</v>
      </c>
      <c r="AH69" s="385">
        <v>1</v>
      </c>
      <c r="AI69" s="386">
        <f>IF(AND(C69&lt;&gt;"",AC69="*",AG69&gt;0,AG69&lt;5),MATCH(C69,C$6:C$13,0),"")</f>
      </c>
      <c r="AJ69" s="328"/>
      <c r="AK69" s="328"/>
      <c r="AL69" s="38" t="b">
        <v>0</v>
      </c>
      <c r="AM69" s="38" t="b">
        <v>0</v>
      </c>
      <c r="AN69" s="38" t="b">
        <v>0</v>
      </c>
      <c r="AO69" s="357">
        <f t="shared" si="4"/>
        <v>0</v>
      </c>
      <c r="AP69" s="300">
        <f>VLOOKUP(AQ69,AL$125:AP$128,5,TRUE)*AP$125</f>
        <v>1</v>
      </c>
      <c r="AQ69" s="37">
        <f>COUNTIF(AL69:AN69,TRUE)</f>
        <v>0</v>
      </c>
      <c r="AR69" s="254">
        <f t="shared" si="5"/>
        <v>0</v>
      </c>
      <c r="AS69" s="1">
        <f t="shared" si="6"/>
        <v>0</v>
      </c>
      <c r="AT69" s="351"/>
      <c r="AU69" s="351"/>
      <c r="AV69" s="254" t="str">
        <f>'Žádost o valuty'!Y69</f>
        <v>Indonésie </v>
      </c>
      <c r="AW69" s="254" t="str">
        <f>'Žádost o valuty'!Z69</f>
        <v>EUR</v>
      </c>
      <c r="AX69" s="254">
        <f>'Žádost o valuty'!AA69</f>
        <v>35</v>
      </c>
      <c r="AY69" s="254">
        <v>67</v>
      </c>
      <c r="AZ69" s="255"/>
      <c r="BA69" s="10"/>
    </row>
    <row r="70" spans="1:53" ht="11.25" customHeight="1" hidden="1" thickBot="1">
      <c r="A70" s="10"/>
      <c r="B70" s="109"/>
      <c r="C70" s="808"/>
      <c r="D70" s="809"/>
      <c r="E70" s="810"/>
      <c r="F70" s="813"/>
      <c r="G70" s="814"/>
      <c r="H70" s="793"/>
      <c r="I70" s="812"/>
      <c r="J70" s="920"/>
      <c r="K70" s="920"/>
      <c r="L70" s="842"/>
      <c r="M70" s="843"/>
      <c r="N70" s="843"/>
      <c r="O70" s="843"/>
      <c r="P70" s="843"/>
      <c r="Q70" s="843"/>
      <c r="R70" s="843"/>
      <c r="S70" s="843"/>
      <c r="T70" s="1162"/>
      <c r="U70" s="1162"/>
      <c r="V70" s="1162"/>
      <c r="W70" s="878"/>
      <c r="X70" s="878"/>
      <c r="Y70" s="878"/>
      <c r="Z70" s="771"/>
      <c r="AA70" s="772"/>
      <c r="AB70" s="772"/>
      <c r="AC70" s="764"/>
      <c r="AD70" s="918"/>
      <c r="AE70" s="911"/>
      <c r="AF70" s="913"/>
      <c r="AG70" s="387">
        <v>0</v>
      </c>
      <c r="AH70" s="385"/>
      <c r="AI70" s="388"/>
      <c r="AJ70" s="328"/>
      <c r="AK70" s="328"/>
      <c r="AL70" s="38"/>
      <c r="AM70" s="38"/>
      <c r="AN70" s="38"/>
      <c r="AO70" s="301"/>
      <c r="AP70" s="300"/>
      <c r="AQ70" s="37"/>
      <c r="AR70" s="254">
        <f t="shared" si="5"/>
        <v>0</v>
      </c>
      <c r="AS70" s="254"/>
      <c r="AT70" s="254"/>
      <c r="AU70" s="314"/>
      <c r="AV70" s="254" t="str">
        <f>'Žádost o valuty'!Y70</f>
        <v>Irák </v>
      </c>
      <c r="AW70" s="254" t="str">
        <f>'Žádost o valuty'!Z70</f>
        <v>EUR</v>
      </c>
      <c r="AX70" s="254">
        <f>'Žádost o valuty'!AA70</f>
        <v>40</v>
      </c>
      <c r="AY70" s="254">
        <v>68</v>
      </c>
      <c r="AZ70" s="255"/>
      <c r="BA70" s="10"/>
    </row>
    <row r="71" spans="1:53" ht="11.25" customHeight="1" hidden="1">
      <c r="A71" s="10"/>
      <c r="B71" s="109"/>
      <c r="C71" s="797"/>
      <c r="D71" s="798"/>
      <c r="E71" s="799"/>
      <c r="F71" s="789"/>
      <c r="G71" s="790"/>
      <c r="H71" s="792">
        <f>INT($AS71)</f>
        <v>0</v>
      </c>
      <c r="I71" s="811">
        <f t="shared" si="3"/>
      </c>
      <c r="J71" s="920">
        <f>IF(ISNA(VLOOKUP(L71,'Žádost o valuty'!$Y$3:$AA$200,2,FALSE)),"",VLOOKUP(L71,'Žádost o valuty'!$Y$3:$AA$200,2,FALSE))</f>
      </c>
      <c r="K71" s="920"/>
      <c r="L71" s="842"/>
      <c r="M71" s="843"/>
      <c r="N71" s="843"/>
      <c r="O71" s="843"/>
      <c r="P71" s="843"/>
      <c r="Q71" s="843"/>
      <c r="R71" s="843"/>
      <c r="S71" s="843"/>
      <c r="T71" s="1162">
        <f>IF(ISNA(VLOOKUP(L71,'Žádost o valuty'!$Y$3:$AA$200,3,FALSE)),0,VLOOKUP(L71,'Žádost o valuty'!$Y$3:$AA$200,3,FALSE))</f>
        <v>0</v>
      </c>
      <c r="U71" s="1162"/>
      <c r="V71" s="1162"/>
      <c r="W71" s="878">
        <f>IF(OR(AND(I71=0,H71=0),AND(AC71="*",AG71&lt;5)),0,IF(AG71,HLOOKUP(CEILING(AG71,6),AL$124:AP$129,6),AG72))*T71*kapesne</f>
        <v>0</v>
      </c>
      <c r="X71" s="878"/>
      <c r="Y71" s="878"/>
      <c r="Z71" s="767">
        <f>IF($AN$130=TRUE,0,IF(AND(H71=0,AC71="*",AG71&lt;5),0,T71*IF(AG71,AO71,AP71*AG72)))</f>
        <v>0</v>
      </c>
      <c r="AA71" s="768"/>
      <c r="AB71" s="768"/>
      <c r="AC71" s="764">
        <f>IF(AND(NOT(I71=""),OR(AND(C71=C$6,AM$6&gt;=5),AND(C71=C$8,AM$8&gt;=5),AND(C71=C$10,AM$10&gt;=5),AND(C71=C$12,AM$12&gt;=5))),"*","")</f>
      </c>
      <c r="AD71" s="917"/>
      <c r="AE71" s="1118"/>
      <c r="AF71" s="914"/>
      <c r="AG71" s="384">
        <v>0</v>
      </c>
      <c r="AH71" s="385">
        <v>1</v>
      </c>
      <c r="AI71" s="386">
        <f>IF(AND(C71&lt;&gt;"",AC71="*",AG71&gt;0,AG71&lt;5),MATCH(C71,C$6:C$13,0),"")</f>
      </c>
      <c r="AJ71" s="328"/>
      <c r="AK71" s="328"/>
      <c r="AL71" s="38" t="b">
        <v>0</v>
      </c>
      <c r="AM71" s="38" t="b">
        <v>0</v>
      </c>
      <c r="AN71" s="38" t="b">
        <v>0</v>
      </c>
      <c r="AO71" s="357">
        <f t="shared" si="4"/>
        <v>0</v>
      </c>
      <c r="AP71" s="300">
        <f>VLOOKUP(AQ71,AL$125:AP$128,5,TRUE)*AP$125</f>
        <v>1</v>
      </c>
      <c r="AQ71" s="37">
        <f>COUNTIF(AL71:AN71,TRUE)</f>
        <v>0</v>
      </c>
      <c r="AR71" s="254">
        <f t="shared" si="5"/>
        <v>0</v>
      </c>
      <c r="AS71" s="1">
        <f t="shared" si="6"/>
        <v>0</v>
      </c>
      <c r="AT71" s="351"/>
      <c r="AU71" s="351"/>
      <c r="AV71" s="254" t="str">
        <f>'Žádost o valuty'!Y71</f>
        <v>Írán </v>
      </c>
      <c r="AW71" s="254" t="str">
        <f>'Žádost o valuty'!Z71</f>
        <v>EUR</v>
      </c>
      <c r="AX71" s="254">
        <f>'Žádost o valuty'!AA71</f>
        <v>40</v>
      </c>
      <c r="AY71" s="254">
        <v>69</v>
      </c>
      <c r="AZ71" s="255"/>
      <c r="BA71" s="10"/>
    </row>
    <row r="72" spans="1:53" ht="11.25" customHeight="1" hidden="1" thickBot="1">
      <c r="A72" s="10"/>
      <c r="B72" s="109"/>
      <c r="C72" s="808"/>
      <c r="D72" s="809"/>
      <c r="E72" s="810"/>
      <c r="F72" s="813"/>
      <c r="G72" s="814"/>
      <c r="H72" s="793"/>
      <c r="I72" s="812"/>
      <c r="J72" s="920"/>
      <c r="K72" s="920"/>
      <c r="L72" s="842"/>
      <c r="M72" s="843"/>
      <c r="N72" s="843"/>
      <c r="O72" s="843"/>
      <c r="P72" s="843"/>
      <c r="Q72" s="843"/>
      <c r="R72" s="843"/>
      <c r="S72" s="843"/>
      <c r="T72" s="1162"/>
      <c r="U72" s="1162"/>
      <c r="V72" s="1162"/>
      <c r="W72" s="878"/>
      <c r="X72" s="878"/>
      <c r="Y72" s="878"/>
      <c r="Z72" s="771"/>
      <c r="AA72" s="772"/>
      <c r="AB72" s="772"/>
      <c r="AC72" s="764"/>
      <c r="AD72" s="918"/>
      <c r="AE72" s="911"/>
      <c r="AF72" s="913"/>
      <c r="AG72" s="387">
        <v>0</v>
      </c>
      <c r="AH72" s="385"/>
      <c r="AI72" s="388"/>
      <c r="AJ72" s="328"/>
      <c r="AK72" s="328"/>
      <c r="AL72" s="38"/>
      <c r="AM72" s="38"/>
      <c r="AN72" s="38"/>
      <c r="AO72" s="301"/>
      <c r="AP72" s="300"/>
      <c r="AQ72" s="37"/>
      <c r="AR72" s="254">
        <f t="shared" si="5"/>
        <v>0</v>
      </c>
      <c r="AS72" s="254"/>
      <c r="AT72" s="254"/>
      <c r="AU72" s="314"/>
      <c r="AV72" s="254" t="str">
        <f>'Žádost o valuty'!Y72</f>
        <v>Irsko </v>
      </c>
      <c r="AW72" s="254" t="str">
        <f>'Žádost o valuty'!Z72</f>
        <v>EUR</v>
      </c>
      <c r="AX72" s="254">
        <f>'Žádost o valuty'!AA72</f>
        <v>45</v>
      </c>
      <c r="AY72" s="254">
        <v>70</v>
      </c>
      <c r="AZ72" s="255"/>
      <c r="BA72" s="10"/>
    </row>
    <row r="73" spans="1:53" ht="11.25" customHeight="1" hidden="1">
      <c r="A73" s="10"/>
      <c r="B73" s="109"/>
      <c r="C73" s="797"/>
      <c r="D73" s="798"/>
      <c r="E73" s="799"/>
      <c r="F73" s="789"/>
      <c r="G73" s="790"/>
      <c r="H73" s="792">
        <f>INT($AS73)</f>
        <v>0</v>
      </c>
      <c r="I73" s="811">
        <f t="shared" si="3"/>
      </c>
      <c r="J73" s="920">
        <f>IF(ISNA(VLOOKUP(L73,'Žádost o valuty'!$Y$3:$AA$200,2,FALSE)),"",VLOOKUP(L73,'Žádost o valuty'!$Y$3:$AA$200,2,FALSE))</f>
      </c>
      <c r="K73" s="920"/>
      <c r="L73" s="842"/>
      <c r="M73" s="843"/>
      <c r="N73" s="843"/>
      <c r="O73" s="843"/>
      <c r="P73" s="843"/>
      <c r="Q73" s="843"/>
      <c r="R73" s="843"/>
      <c r="S73" s="843"/>
      <c r="T73" s="1162">
        <f>IF(ISNA(VLOOKUP(L73,'Žádost o valuty'!$Y$3:$AA$200,3,FALSE)),0,VLOOKUP(L73,'Žádost o valuty'!$Y$3:$AA$200,3,FALSE))</f>
        <v>0</v>
      </c>
      <c r="U73" s="1162"/>
      <c r="V73" s="1162"/>
      <c r="W73" s="878">
        <f>IF(OR(AND(I73=0,H73=0),AND(AC73="*",AG73&lt;5)),0,IF(AG73,HLOOKUP(CEILING(AG73,6),AL$124:AP$129,6),AG74))*T73*kapesne</f>
        <v>0</v>
      </c>
      <c r="X73" s="878"/>
      <c r="Y73" s="878"/>
      <c r="Z73" s="767">
        <f>IF($AN$130=TRUE,0,IF(AND(H73=0,AC73="*",AG73&lt;5),0,T73*IF(AG73,AO73,AP73*AG74)))</f>
        <v>0</v>
      </c>
      <c r="AA73" s="768"/>
      <c r="AB73" s="768"/>
      <c r="AC73" s="764">
        <f>IF(AND(NOT(I73=""),OR(AND(C73=C$6,AM$6&gt;=5),AND(C73=C$8,AM$8&gt;=5),AND(C73=C$10,AM$10&gt;=5),AND(C73=C$12,AM$12&gt;=5))),"*","")</f>
      </c>
      <c r="AD73" s="917"/>
      <c r="AE73" s="1118"/>
      <c r="AF73" s="914"/>
      <c r="AG73" s="384">
        <v>0</v>
      </c>
      <c r="AH73" s="385">
        <v>1</v>
      </c>
      <c r="AI73" s="386">
        <f>IF(AND(C73&lt;&gt;"",AC73="*",AG73&gt;0,AG73&lt;5),MATCH(C73,C$6:C$13,0),"")</f>
      </c>
      <c r="AJ73" s="328"/>
      <c r="AK73" s="328"/>
      <c r="AL73" s="38" t="b">
        <v>0</v>
      </c>
      <c r="AM73" s="38" t="b">
        <v>0</v>
      </c>
      <c r="AN73" s="38" t="b">
        <v>0</v>
      </c>
      <c r="AO73" s="357">
        <f t="shared" si="4"/>
        <v>0</v>
      </c>
      <c r="AP73" s="300">
        <f>VLOOKUP(AQ73,AL$125:AP$128,5,TRUE)*AP$125</f>
        <v>1</v>
      </c>
      <c r="AQ73" s="37">
        <f>COUNTIF(AL73:AN73,TRUE)</f>
        <v>0</v>
      </c>
      <c r="AR73" s="254">
        <f t="shared" si="5"/>
        <v>0</v>
      </c>
      <c r="AS73" s="1">
        <f t="shared" si="6"/>
        <v>0</v>
      </c>
      <c r="AT73" s="351"/>
      <c r="AU73" s="351"/>
      <c r="AV73" s="254" t="str">
        <f>'Žádost o valuty'!Y73</f>
        <v>Island </v>
      </c>
      <c r="AW73" s="254" t="str">
        <f>'Žádost o valuty'!Z73</f>
        <v>EUR</v>
      </c>
      <c r="AX73" s="254">
        <f>'Žádost o valuty'!AA73</f>
        <v>55</v>
      </c>
      <c r="AY73" s="254">
        <v>71</v>
      </c>
      <c r="AZ73" s="255"/>
      <c r="BA73" s="10"/>
    </row>
    <row r="74" spans="1:53" ht="11.25" customHeight="1" hidden="1" thickBot="1">
      <c r="A74" s="10"/>
      <c r="B74" s="109"/>
      <c r="C74" s="808"/>
      <c r="D74" s="809"/>
      <c r="E74" s="810"/>
      <c r="F74" s="813"/>
      <c r="G74" s="814"/>
      <c r="H74" s="793"/>
      <c r="I74" s="812"/>
      <c r="J74" s="920"/>
      <c r="K74" s="920"/>
      <c r="L74" s="842"/>
      <c r="M74" s="843"/>
      <c r="N74" s="843"/>
      <c r="O74" s="843"/>
      <c r="P74" s="843"/>
      <c r="Q74" s="843"/>
      <c r="R74" s="843"/>
      <c r="S74" s="843"/>
      <c r="T74" s="1162"/>
      <c r="U74" s="1162"/>
      <c r="V74" s="1162"/>
      <c r="W74" s="878"/>
      <c r="X74" s="878"/>
      <c r="Y74" s="878"/>
      <c r="Z74" s="771"/>
      <c r="AA74" s="772"/>
      <c r="AB74" s="772"/>
      <c r="AC74" s="764"/>
      <c r="AD74" s="918"/>
      <c r="AE74" s="911"/>
      <c r="AF74" s="913"/>
      <c r="AG74" s="387">
        <v>0</v>
      </c>
      <c r="AH74" s="385"/>
      <c r="AI74" s="388"/>
      <c r="AJ74" s="328"/>
      <c r="AK74" s="328"/>
      <c r="AL74" s="38"/>
      <c r="AM74" s="38"/>
      <c r="AN74" s="38"/>
      <c r="AO74" s="301"/>
      <c r="AP74" s="300"/>
      <c r="AQ74" s="37"/>
      <c r="AR74" s="254">
        <f t="shared" si="5"/>
        <v>0</v>
      </c>
      <c r="AS74" s="254"/>
      <c r="AT74" s="254"/>
      <c r="AU74" s="314"/>
      <c r="AV74" s="254" t="str">
        <f>'Žádost o valuty'!Y74</f>
        <v>Itálie</v>
      </c>
      <c r="AW74" s="254" t="str">
        <f>'Žádost o valuty'!Z74</f>
        <v>EUR</v>
      </c>
      <c r="AX74" s="254">
        <f>'Žádost o valuty'!AA74</f>
        <v>45</v>
      </c>
      <c r="AY74" s="254">
        <v>72</v>
      </c>
      <c r="AZ74" s="255"/>
      <c r="BA74" s="10"/>
    </row>
    <row r="75" spans="1:53" ht="11.25" customHeight="1" hidden="1">
      <c r="A75" s="10"/>
      <c r="B75" s="109"/>
      <c r="C75" s="794"/>
      <c r="D75" s="795"/>
      <c r="E75" s="796"/>
      <c r="F75" s="1121"/>
      <c r="G75" s="1122"/>
      <c r="H75" s="792">
        <f>INT($AS75)</f>
        <v>0</v>
      </c>
      <c r="I75" s="811">
        <f t="shared" si="3"/>
      </c>
      <c r="J75" s="919">
        <f>IF(ISNA(VLOOKUP(L75,'Žádost o valuty'!$Y$3:$AA$200,2,FALSE)),"",VLOOKUP(L75,'Žádost o valuty'!$Y$3:$AA$200,2,FALSE))</f>
      </c>
      <c r="K75" s="919"/>
      <c r="L75" s="803"/>
      <c r="M75" s="804"/>
      <c r="N75" s="804"/>
      <c r="O75" s="804"/>
      <c r="P75" s="804"/>
      <c r="Q75" s="804"/>
      <c r="R75" s="804"/>
      <c r="S75" s="804"/>
      <c r="T75" s="1161">
        <f>IF(ISNA(VLOOKUP(L75,'Žádost o valuty'!$Y$3:$AA$200,3,FALSE)),0,VLOOKUP(L75,'Žádost o valuty'!$Y$3:$AA$200,3,FALSE))</f>
        <v>0</v>
      </c>
      <c r="U75" s="1161"/>
      <c r="V75" s="1161"/>
      <c r="W75" s="878">
        <f>IF(OR(AND(I75=0,H75=0),AND(AC75="*",AG75&lt;5)),0,IF(AG75,HLOOKUP(CEILING(AG75,6),AL$124:AP$129,6),AG76))*T75*kapesne</f>
        <v>0</v>
      </c>
      <c r="X75" s="878"/>
      <c r="Y75" s="878"/>
      <c r="Z75" s="767">
        <f>IF($AN$130=TRUE,0,IF(AND(H75=0,AC75="*",AG75&lt;5),0,T75*IF(AG75,AO75,AP75*AG76)))</f>
        <v>0</v>
      </c>
      <c r="AA75" s="768"/>
      <c r="AB75" s="768"/>
      <c r="AC75" s="764">
        <f>IF(AND(NOT(I75=""),OR(AND(C75=C$6,AM$6&gt;=5),AND(C75=C$8,AM$8&gt;=5),AND(C75=C$10,AM$10&gt;=5),AND(C75=C$12,AM$12&gt;=5))),"*","")</f>
      </c>
      <c r="AD75" s="921"/>
      <c r="AE75" s="910"/>
      <c r="AF75" s="912"/>
      <c r="AG75" s="384">
        <v>0</v>
      </c>
      <c r="AH75" s="385">
        <v>1</v>
      </c>
      <c r="AI75" s="386">
        <f>IF(AND(C75&lt;&gt;"",AC75="*",AG75&gt;0,AG75&lt;5),MATCH(C75,C$6:C$13,0),"")</f>
      </c>
      <c r="AJ75" s="328"/>
      <c r="AK75" s="328"/>
      <c r="AL75" s="38" t="b">
        <v>0</v>
      </c>
      <c r="AM75" s="38" t="b">
        <v>0</v>
      </c>
      <c r="AN75" s="38" t="b">
        <v>0</v>
      </c>
      <c r="AO75" s="357">
        <f t="shared" si="4"/>
        <v>0</v>
      </c>
      <c r="AP75" s="300">
        <f>VLOOKUP(AQ75,AL$125:AP$128,5,TRUE)*AP$125</f>
        <v>1</v>
      </c>
      <c r="AQ75" s="37">
        <f>COUNTIF(AL75:AN75,TRUE)</f>
        <v>0</v>
      </c>
      <c r="AR75" s="254">
        <f t="shared" si="5"/>
        <v>0</v>
      </c>
      <c r="AS75" s="1">
        <f t="shared" si="6"/>
        <v>0</v>
      </c>
      <c r="AT75" s="351"/>
      <c r="AU75" s="351"/>
      <c r="AV75" s="254" t="str">
        <f>'Žádost o valuty'!Y75</f>
        <v>Izrael </v>
      </c>
      <c r="AW75" s="254" t="str">
        <f>'Žádost o valuty'!Z75</f>
        <v>USD</v>
      </c>
      <c r="AX75" s="254">
        <f>'Žádost o valuty'!AA75</f>
        <v>55</v>
      </c>
      <c r="AY75" s="254">
        <v>73</v>
      </c>
      <c r="AZ75" s="255"/>
      <c r="BA75" s="10"/>
    </row>
    <row r="76" spans="1:53" ht="11.25" customHeight="1" hidden="1" thickBot="1">
      <c r="A76" s="10"/>
      <c r="B76" s="109"/>
      <c r="C76" s="808"/>
      <c r="D76" s="809"/>
      <c r="E76" s="810"/>
      <c r="F76" s="813"/>
      <c r="G76" s="814"/>
      <c r="H76" s="793"/>
      <c r="I76" s="812"/>
      <c r="J76" s="920"/>
      <c r="K76" s="920"/>
      <c r="L76" s="842"/>
      <c r="M76" s="843"/>
      <c r="N76" s="843"/>
      <c r="O76" s="843"/>
      <c r="P76" s="843"/>
      <c r="Q76" s="843"/>
      <c r="R76" s="843"/>
      <c r="S76" s="843"/>
      <c r="T76" s="1162"/>
      <c r="U76" s="1162"/>
      <c r="V76" s="1162"/>
      <c r="W76" s="878"/>
      <c r="X76" s="878"/>
      <c r="Y76" s="878"/>
      <c r="Z76" s="771"/>
      <c r="AA76" s="772"/>
      <c r="AB76" s="772"/>
      <c r="AC76" s="764"/>
      <c r="AD76" s="918"/>
      <c r="AE76" s="911"/>
      <c r="AF76" s="913"/>
      <c r="AG76" s="387">
        <v>0</v>
      </c>
      <c r="AH76" s="385"/>
      <c r="AI76" s="388"/>
      <c r="AJ76" s="328"/>
      <c r="AK76" s="328"/>
      <c r="AL76" s="38"/>
      <c r="AM76" s="38"/>
      <c r="AN76" s="38"/>
      <c r="AO76" s="301"/>
      <c r="AP76" s="300"/>
      <c r="AQ76" s="37"/>
      <c r="AR76" s="254">
        <f t="shared" si="5"/>
        <v>0</v>
      </c>
      <c r="AS76" s="254"/>
      <c r="AT76" s="254"/>
      <c r="AU76" s="314"/>
      <c r="AV76" s="254" t="str">
        <f>'Žádost o valuty'!Y76</f>
        <v>Jamajka </v>
      </c>
      <c r="AW76" s="254" t="str">
        <f>'Žádost o valuty'!Z76</f>
        <v>USD</v>
      </c>
      <c r="AX76" s="254">
        <f>'Žádost o valuty'!AA76</f>
        <v>55</v>
      </c>
      <c r="AY76" s="254">
        <v>74</v>
      </c>
      <c r="AZ76" s="255"/>
      <c r="BA76" s="10"/>
    </row>
    <row r="77" spans="1:53" ht="11.25" customHeight="1" hidden="1">
      <c r="A77" s="10"/>
      <c r="B77" s="109"/>
      <c r="C77" s="797"/>
      <c r="D77" s="798"/>
      <c r="E77" s="799"/>
      <c r="F77" s="789"/>
      <c r="G77" s="790"/>
      <c r="H77" s="792">
        <f>INT($AS77)</f>
        <v>0</v>
      </c>
      <c r="I77" s="811">
        <f t="shared" si="3"/>
      </c>
      <c r="J77" s="920">
        <f>IF(ISNA(VLOOKUP(L77,'Žádost o valuty'!$Y$3:$AA$200,2,FALSE)),"",VLOOKUP(L77,'Žádost o valuty'!$Y$3:$AA$200,2,FALSE))</f>
      </c>
      <c r="K77" s="920"/>
      <c r="L77" s="842"/>
      <c r="M77" s="843"/>
      <c r="N77" s="843"/>
      <c r="O77" s="843"/>
      <c r="P77" s="843"/>
      <c r="Q77" s="843"/>
      <c r="R77" s="843"/>
      <c r="S77" s="843"/>
      <c r="T77" s="1162">
        <f>IF(ISNA(VLOOKUP(L77,'Žádost o valuty'!$Y$3:$AA$200,3,FALSE)),0,VLOOKUP(L77,'Žádost o valuty'!$Y$3:$AA$200,3,FALSE))</f>
        <v>0</v>
      </c>
      <c r="U77" s="1162"/>
      <c r="V77" s="1162"/>
      <c r="W77" s="878">
        <f>IF(OR(AND(I77=0,H77=0),AND(AC77="*",AG77&lt;5)),0,IF(AG77,HLOOKUP(CEILING(AG77,6),AL$124:AP$129,6),AG78))*T77*kapesne</f>
        <v>0</v>
      </c>
      <c r="X77" s="878"/>
      <c r="Y77" s="878"/>
      <c r="Z77" s="767">
        <f>IF($AN$130=TRUE,0,IF(AND(H77=0,AC77="*",AG77&lt;5),0,T77*IF(AG77,AO77,AP77*AG78)))</f>
        <v>0</v>
      </c>
      <c r="AA77" s="768"/>
      <c r="AB77" s="768"/>
      <c r="AC77" s="764">
        <f>IF(AND(NOT(I77=""),OR(AND(C77=C$6,AM$6&gt;=5),AND(C77=C$8,AM$8&gt;=5),AND(C77=C$10,AM$10&gt;=5),AND(C77=C$12,AM$12&gt;=5))),"*","")</f>
      </c>
      <c r="AD77" s="917"/>
      <c r="AE77" s="1118"/>
      <c r="AF77" s="914"/>
      <c r="AG77" s="384">
        <v>0</v>
      </c>
      <c r="AH77" s="385">
        <v>1</v>
      </c>
      <c r="AI77" s="386">
        <f>IF(AND(C77&lt;&gt;"",AC77="*",AG77&gt;0,AG77&lt;5),MATCH(C77,C$6:C$13,0),"")</f>
      </c>
      <c r="AJ77" s="328"/>
      <c r="AK77" s="328"/>
      <c r="AL77" s="38" t="b">
        <v>0</v>
      </c>
      <c r="AM77" s="38" t="b">
        <v>0</v>
      </c>
      <c r="AN77" s="38" t="b">
        <v>0</v>
      </c>
      <c r="AO77" s="357">
        <f t="shared" si="4"/>
        <v>0</v>
      </c>
      <c r="AP77" s="300">
        <f>VLOOKUP(AQ77,AL$125:AP$128,5,TRUE)*AP$125</f>
        <v>1</v>
      </c>
      <c r="AQ77" s="37">
        <f>COUNTIF(AL77:AN77,TRUE)</f>
        <v>0</v>
      </c>
      <c r="AR77" s="254">
        <f t="shared" si="5"/>
        <v>0</v>
      </c>
      <c r="AS77" s="1">
        <f t="shared" si="6"/>
        <v>0</v>
      </c>
      <c r="AT77" s="351"/>
      <c r="AU77" s="351"/>
      <c r="AV77" s="254" t="str">
        <f>'Žádost o valuty'!Y77</f>
        <v>Japonsko </v>
      </c>
      <c r="AW77" s="254" t="str">
        <f>'Žádost o valuty'!Z77</f>
        <v>USD</v>
      </c>
      <c r="AX77" s="254">
        <f>'Žádost o valuty'!AA77</f>
        <v>65</v>
      </c>
      <c r="AY77" s="254">
        <v>75</v>
      </c>
      <c r="AZ77" s="255"/>
      <c r="BA77" s="10"/>
    </row>
    <row r="78" spans="1:53" ht="11.25" customHeight="1" hidden="1" thickBot="1">
      <c r="A78" s="10"/>
      <c r="B78" s="109"/>
      <c r="C78" s="808"/>
      <c r="D78" s="809"/>
      <c r="E78" s="810"/>
      <c r="F78" s="813"/>
      <c r="G78" s="814"/>
      <c r="H78" s="793"/>
      <c r="I78" s="812"/>
      <c r="J78" s="920"/>
      <c r="K78" s="920"/>
      <c r="L78" s="842"/>
      <c r="M78" s="843"/>
      <c r="N78" s="843"/>
      <c r="O78" s="843"/>
      <c r="P78" s="843"/>
      <c r="Q78" s="843"/>
      <c r="R78" s="843"/>
      <c r="S78" s="843"/>
      <c r="T78" s="1162"/>
      <c r="U78" s="1162"/>
      <c r="V78" s="1162"/>
      <c r="W78" s="878"/>
      <c r="X78" s="878"/>
      <c r="Y78" s="878"/>
      <c r="Z78" s="771"/>
      <c r="AA78" s="772"/>
      <c r="AB78" s="772"/>
      <c r="AC78" s="764"/>
      <c r="AD78" s="918"/>
      <c r="AE78" s="911"/>
      <c r="AF78" s="913"/>
      <c r="AG78" s="387">
        <v>0</v>
      </c>
      <c r="AH78" s="385"/>
      <c r="AI78" s="388"/>
      <c r="AJ78" s="328"/>
      <c r="AK78" s="328"/>
      <c r="AL78" s="38"/>
      <c r="AM78" s="38"/>
      <c r="AN78" s="38"/>
      <c r="AO78" s="301"/>
      <c r="AP78" s="300"/>
      <c r="AQ78" s="37"/>
      <c r="AR78" s="254">
        <f t="shared" si="5"/>
        <v>0</v>
      </c>
      <c r="AS78" s="254"/>
      <c r="AT78" s="254"/>
      <c r="AU78" s="314"/>
      <c r="AV78" s="254" t="str">
        <f>'Žádost o valuty'!Y78</f>
        <v>Jemenská rep. </v>
      </c>
      <c r="AW78" s="254" t="str">
        <f>'Žádost o valuty'!Z78</f>
        <v>EUR</v>
      </c>
      <c r="AX78" s="254">
        <f>'Žádost o valuty'!AA78</f>
        <v>35</v>
      </c>
      <c r="AY78" s="254">
        <v>76</v>
      </c>
      <c r="AZ78" s="255"/>
      <c r="BA78" s="10"/>
    </row>
    <row r="79" spans="1:53" ht="11.25" customHeight="1" hidden="1">
      <c r="A79" s="10"/>
      <c r="B79" s="109"/>
      <c r="C79" s="797"/>
      <c r="D79" s="798"/>
      <c r="E79" s="799"/>
      <c r="F79" s="789"/>
      <c r="G79" s="790"/>
      <c r="H79" s="792">
        <f>INT($AS79)</f>
        <v>0</v>
      </c>
      <c r="I79" s="811">
        <f t="shared" si="3"/>
      </c>
      <c r="J79" s="920">
        <f>IF(ISNA(VLOOKUP(L79,'Žádost o valuty'!$Y$3:$AA$200,2,FALSE)),"",VLOOKUP(L79,'Žádost o valuty'!$Y$3:$AA$200,2,FALSE))</f>
      </c>
      <c r="K79" s="920"/>
      <c r="L79" s="842"/>
      <c r="M79" s="843"/>
      <c r="N79" s="843"/>
      <c r="O79" s="843"/>
      <c r="P79" s="843"/>
      <c r="Q79" s="843"/>
      <c r="R79" s="843"/>
      <c r="S79" s="843"/>
      <c r="T79" s="1162">
        <f>IF(ISNA(VLOOKUP(L79,'Žádost o valuty'!$Y$3:$AA$200,3,FALSE)),0,VLOOKUP(L79,'Žádost o valuty'!$Y$3:$AA$200,3,FALSE))</f>
        <v>0</v>
      </c>
      <c r="U79" s="1162"/>
      <c r="V79" s="1162"/>
      <c r="W79" s="878">
        <f>IF(OR(AND(I79=0,H79=0),AND(AC79="*",AG79&lt;5)),0,IF(AG79,HLOOKUP(CEILING(AG79,6),AL$124:AP$129,6),AG80))*T79*kapesne</f>
        <v>0</v>
      </c>
      <c r="X79" s="878"/>
      <c r="Y79" s="878"/>
      <c r="Z79" s="767">
        <f>IF($AN$130=TRUE,0,IF(AND(H79=0,AC79="*",AG79&lt;5),0,T79*IF(AG79,AO79,AP79*AG80)))</f>
        <v>0</v>
      </c>
      <c r="AA79" s="768"/>
      <c r="AB79" s="768"/>
      <c r="AC79" s="764">
        <f>IF(AND(NOT(I79=""),OR(AND(C79=C$6,AM$6&gt;=5),AND(C79=C$8,AM$8&gt;=5),AND(C79=C$10,AM$10&gt;=5),AND(C79=C$12,AM$12&gt;=5))),"*","")</f>
      </c>
      <c r="AD79" s="917"/>
      <c r="AE79" s="1118"/>
      <c r="AF79" s="914"/>
      <c r="AG79" s="384">
        <v>0</v>
      </c>
      <c r="AH79" s="385">
        <v>1</v>
      </c>
      <c r="AI79" s="386">
        <f>IF(AND(C79&lt;&gt;"",AC79="*",AG79&gt;0,AG79&lt;5),MATCH(C79,C$6:C$13,0),"")</f>
      </c>
      <c r="AJ79" s="328"/>
      <c r="AK79" s="328"/>
      <c r="AL79" s="38" t="b">
        <v>0</v>
      </c>
      <c r="AM79" s="38" t="b">
        <v>0</v>
      </c>
      <c r="AN79" s="38" t="b">
        <v>0</v>
      </c>
      <c r="AO79" s="357">
        <f t="shared" si="4"/>
        <v>0</v>
      </c>
      <c r="AP79" s="300">
        <f>VLOOKUP(AQ79,AL$125:AP$128,5,TRUE)*AP$125</f>
        <v>1</v>
      </c>
      <c r="AQ79" s="37">
        <f>COUNTIF(AL79:AN79,TRUE)</f>
        <v>0</v>
      </c>
      <c r="AR79" s="254">
        <f t="shared" si="5"/>
        <v>0</v>
      </c>
      <c r="AS79" s="1">
        <f t="shared" si="6"/>
        <v>0</v>
      </c>
      <c r="AT79" s="351"/>
      <c r="AU79" s="351"/>
      <c r="AV79" s="254" t="str">
        <f>'Žádost o valuty'!Y79</f>
        <v>Jihoafrická rep. </v>
      </c>
      <c r="AW79" s="254" t="str">
        <f>'Žádost o valuty'!Z79</f>
        <v>EUR</v>
      </c>
      <c r="AX79" s="254">
        <f>'Žádost o valuty'!AA79</f>
        <v>40</v>
      </c>
      <c r="AY79" s="254">
        <v>77</v>
      </c>
      <c r="AZ79" s="255"/>
      <c r="BA79" s="10"/>
    </row>
    <row r="80" spans="1:53" ht="11.25" customHeight="1" hidden="1" thickBot="1">
      <c r="A80" s="10"/>
      <c r="B80" s="109"/>
      <c r="C80" s="808"/>
      <c r="D80" s="809"/>
      <c r="E80" s="810"/>
      <c r="F80" s="813"/>
      <c r="G80" s="814"/>
      <c r="H80" s="793"/>
      <c r="I80" s="812"/>
      <c r="J80" s="920"/>
      <c r="K80" s="920"/>
      <c r="L80" s="842"/>
      <c r="M80" s="843"/>
      <c r="N80" s="843"/>
      <c r="O80" s="843"/>
      <c r="P80" s="843"/>
      <c r="Q80" s="843"/>
      <c r="R80" s="843"/>
      <c r="S80" s="843"/>
      <c r="T80" s="1162"/>
      <c r="U80" s="1162"/>
      <c r="V80" s="1162"/>
      <c r="W80" s="878"/>
      <c r="X80" s="878"/>
      <c r="Y80" s="878"/>
      <c r="Z80" s="771"/>
      <c r="AA80" s="772"/>
      <c r="AB80" s="772"/>
      <c r="AC80" s="764"/>
      <c r="AD80" s="918"/>
      <c r="AE80" s="911"/>
      <c r="AF80" s="913"/>
      <c r="AG80" s="387">
        <v>0</v>
      </c>
      <c r="AH80" s="385"/>
      <c r="AI80" s="388"/>
      <c r="AJ80" s="328"/>
      <c r="AK80" s="328"/>
      <c r="AL80" s="38"/>
      <c r="AM80" s="38"/>
      <c r="AN80" s="38"/>
      <c r="AO80" s="301"/>
      <c r="AP80" s="300"/>
      <c r="AQ80" s="37"/>
      <c r="AR80" s="254">
        <f t="shared" si="5"/>
        <v>0</v>
      </c>
      <c r="AS80" s="254"/>
      <c r="AT80" s="254"/>
      <c r="AU80" s="314"/>
      <c r="AV80" s="254" t="str">
        <f>'Žádost o valuty'!Y80</f>
        <v>Jordánsko </v>
      </c>
      <c r="AW80" s="254" t="str">
        <f>'Žádost o valuty'!Z80</f>
        <v>EUR</v>
      </c>
      <c r="AX80" s="254">
        <f>'Žádost o valuty'!AA80</f>
        <v>40</v>
      </c>
      <c r="AY80" s="254">
        <v>78</v>
      </c>
      <c r="AZ80" s="255"/>
      <c r="BA80" s="10"/>
    </row>
    <row r="81" spans="1:53" ht="11.25" customHeight="1" hidden="1">
      <c r="A81" s="10"/>
      <c r="B81" s="109"/>
      <c r="C81" s="794"/>
      <c r="D81" s="795"/>
      <c r="E81" s="796"/>
      <c r="F81" s="1121"/>
      <c r="G81" s="1122"/>
      <c r="H81" s="792">
        <f>INT($AS81)</f>
        <v>0</v>
      </c>
      <c r="I81" s="811">
        <f t="shared" si="3"/>
      </c>
      <c r="J81" s="919">
        <f>IF(ISNA(VLOOKUP(L81,'Žádost o valuty'!$Y$3:$AA$200,2,FALSE)),"",VLOOKUP(L81,'Žádost o valuty'!$Y$3:$AA$200,2,FALSE))</f>
      </c>
      <c r="K81" s="919"/>
      <c r="L81" s="803"/>
      <c r="M81" s="804"/>
      <c r="N81" s="804"/>
      <c r="O81" s="804"/>
      <c r="P81" s="804"/>
      <c r="Q81" s="804"/>
      <c r="R81" s="804"/>
      <c r="S81" s="804"/>
      <c r="T81" s="1161">
        <f>IF(ISNA(VLOOKUP(L81,'Žádost o valuty'!$Y$3:$AA$200,3,FALSE)),0,VLOOKUP(L81,'Žádost o valuty'!$Y$3:$AA$200,3,FALSE))</f>
        <v>0</v>
      </c>
      <c r="U81" s="1161"/>
      <c r="V81" s="1161"/>
      <c r="W81" s="878">
        <f>IF(OR(AND(I81=0,H81=0),AND(AC81="*",AG81&lt;5)),0,IF(AG81,HLOOKUP(CEILING(AG81,6),AL$124:AP$129,6),AG82))*T81*kapesne</f>
        <v>0</v>
      </c>
      <c r="X81" s="878"/>
      <c r="Y81" s="878"/>
      <c r="Z81" s="767">
        <f>IF($AN$130=TRUE,0,IF(AND(H81=0,AC81="*",AG81&lt;5),0,T81*IF(AG81,AO81,AP81*AG82)))</f>
        <v>0</v>
      </c>
      <c r="AA81" s="768"/>
      <c r="AB81" s="768"/>
      <c r="AC81" s="764">
        <f>IF(AND(NOT(I81=""),OR(AND(C81=C$6,AM$6&gt;=5),AND(C81=C$8,AM$8&gt;=5),AND(C81=C$10,AM$10&gt;=5),AND(C81=C$12,AM$12&gt;=5))),"*","")</f>
      </c>
      <c r="AD81" s="921"/>
      <c r="AE81" s="910"/>
      <c r="AF81" s="912"/>
      <c r="AG81" s="384">
        <v>0</v>
      </c>
      <c r="AH81" s="385">
        <v>1</v>
      </c>
      <c r="AI81" s="386">
        <f>IF(AND(C81&lt;&gt;"",AC81="*",AG81&gt;0,AG81&lt;5),MATCH(C81,C$6:C$13,0),"")</f>
      </c>
      <c r="AJ81" s="328"/>
      <c r="AK81" s="328"/>
      <c r="AL81" s="38" t="b">
        <v>0</v>
      </c>
      <c r="AM81" s="38" t="b">
        <v>0</v>
      </c>
      <c r="AN81" s="38" t="b">
        <v>0</v>
      </c>
      <c r="AO81" s="357">
        <f t="shared" si="4"/>
        <v>0</v>
      </c>
      <c r="AP81" s="300">
        <f>VLOOKUP(AQ81,AL$125:AP$128,5,TRUE)*AP$125</f>
        <v>1</v>
      </c>
      <c r="AQ81" s="37">
        <f>COUNTIF(AL81:AN81,TRUE)</f>
        <v>0</v>
      </c>
      <c r="AR81" s="254">
        <f t="shared" si="5"/>
        <v>0</v>
      </c>
      <c r="AS81" s="1">
        <f t="shared" si="6"/>
        <v>0</v>
      </c>
      <c r="AT81" s="351"/>
      <c r="AU81" s="351"/>
      <c r="AV81" s="254" t="str">
        <f>'Žádost o valuty'!Y81</f>
        <v>Kajmanské ostr.</v>
      </c>
      <c r="AW81" s="254" t="str">
        <f>'Žádost o valuty'!Z81</f>
        <v>USD</v>
      </c>
      <c r="AX81" s="254">
        <f>'Žádost o valuty'!AA81</f>
        <v>55</v>
      </c>
      <c r="AY81" s="254">
        <v>79</v>
      </c>
      <c r="AZ81" s="255"/>
      <c r="BA81" s="10"/>
    </row>
    <row r="82" spans="1:53" ht="11.25" customHeight="1" hidden="1" thickBot="1">
      <c r="A82" s="10"/>
      <c r="B82" s="109"/>
      <c r="C82" s="808"/>
      <c r="D82" s="809"/>
      <c r="E82" s="810"/>
      <c r="F82" s="813"/>
      <c r="G82" s="814"/>
      <c r="H82" s="793"/>
      <c r="I82" s="812"/>
      <c r="J82" s="920"/>
      <c r="K82" s="920"/>
      <c r="L82" s="842"/>
      <c r="M82" s="843"/>
      <c r="N82" s="843"/>
      <c r="O82" s="843"/>
      <c r="P82" s="843"/>
      <c r="Q82" s="843"/>
      <c r="R82" s="843"/>
      <c r="S82" s="843"/>
      <c r="T82" s="1162"/>
      <c r="U82" s="1162"/>
      <c r="V82" s="1162"/>
      <c r="W82" s="878"/>
      <c r="X82" s="878"/>
      <c r="Y82" s="878"/>
      <c r="Z82" s="771"/>
      <c r="AA82" s="772"/>
      <c r="AB82" s="772"/>
      <c r="AC82" s="764"/>
      <c r="AD82" s="918"/>
      <c r="AE82" s="911"/>
      <c r="AF82" s="913"/>
      <c r="AG82" s="387">
        <v>0</v>
      </c>
      <c r="AH82" s="385"/>
      <c r="AI82" s="388"/>
      <c r="AJ82" s="328"/>
      <c r="AK82" s="328"/>
      <c r="AL82" s="38"/>
      <c r="AM82" s="38"/>
      <c r="AN82" s="38"/>
      <c r="AO82" s="301"/>
      <c r="AP82" s="300"/>
      <c r="AQ82" s="37"/>
      <c r="AR82" s="254">
        <f t="shared" si="5"/>
        <v>0</v>
      </c>
      <c r="AS82" s="254"/>
      <c r="AT82" s="254"/>
      <c r="AU82" s="314"/>
      <c r="AV82" s="254" t="str">
        <f>'Žádost o valuty'!Y82</f>
        <v>Kambodža </v>
      </c>
      <c r="AW82" s="254" t="str">
        <f>'Žádost o valuty'!Z82</f>
        <v>USD</v>
      </c>
      <c r="AX82" s="254">
        <f>'Žádost o valuty'!AA82</f>
        <v>40</v>
      </c>
      <c r="AY82" s="254">
        <v>80</v>
      </c>
      <c r="AZ82" s="255"/>
      <c r="BA82" s="10"/>
    </row>
    <row r="83" spans="1:53" ht="11.25" customHeight="1" hidden="1">
      <c r="A83" s="10"/>
      <c r="B83" s="109"/>
      <c r="C83" s="797"/>
      <c r="D83" s="798"/>
      <c r="E83" s="799"/>
      <c r="F83" s="789"/>
      <c r="G83" s="790"/>
      <c r="H83" s="792">
        <f>INT($AS83)</f>
        <v>0</v>
      </c>
      <c r="I83" s="811">
        <f t="shared" si="3"/>
      </c>
      <c r="J83" s="920">
        <f>IF(ISNA(VLOOKUP(L83,'Žádost o valuty'!$Y$3:$AA$200,2,FALSE)),"",VLOOKUP(L83,'Žádost o valuty'!$Y$3:$AA$200,2,FALSE))</f>
      </c>
      <c r="K83" s="920"/>
      <c r="L83" s="842"/>
      <c r="M83" s="843"/>
      <c r="N83" s="843"/>
      <c r="O83" s="843"/>
      <c r="P83" s="843"/>
      <c r="Q83" s="843"/>
      <c r="R83" s="843"/>
      <c r="S83" s="843"/>
      <c r="T83" s="1162">
        <f>IF(ISNA(VLOOKUP(L83,'Žádost o valuty'!$Y$3:$AA$200,3,FALSE)),0,VLOOKUP(L83,'Žádost o valuty'!$Y$3:$AA$200,3,FALSE))</f>
        <v>0</v>
      </c>
      <c r="U83" s="1162"/>
      <c r="V83" s="1162"/>
      <c r="W83" s="878">
        <f>IF(OR(AND(I83=0,H83=0),AND(AC83="*",AG83&lt;5)),0,IF(AG83,HLOOKUP(CEILING(AG83,6),AL$124:AP$129,6),AG84))*T83*kapesne</f>
        <v>0</v>
      </c>
      <c r="X83" s="878"/>
      <c r="Y83" s="878"/>
      <c r="Z83" s="767">
        <f>IF($AN$130=TRUE,0,IF(AND(H83=0,AC83="*",AG83&lt;5),0,T83*IF(AG83,AO83,AP83*AG84)))</f>
        <v>0</v>
      </c>
      <c r="AA83" s="768"/>
      <c r="AB83" s="768"/>
      <c r="AC83" s="764">
        <f>IF(AND(NOT(I83=""),OR(AND(C83=C$6,AM$6&gt;=5),AND(C83=C$8,AM$8&gt;=5),AND(C83=C$10,AM$10&gt;=5),AND(C83=C$12,AM$12&gt;=5))),"*","")</f>
      </c>
      <c r="AD83" s="917"/>
      <c r="AE83" s="1118"/>
      <c r="AF83" s="914"/>
      <c r="AG83" s="384">
        <v>0</v>
      </c>
      <c r="AH83" s="385">
        <v>1</v>
      </c>
      <c r="AI83" s="386">
        <f>IF(AND(C83&lt;&gt;"",AC83="*",AG83&gt;0,AG83&lt;5),MATCH(C83,C$6:C$13,0),"")</f>
      </c>
      <c r="AJ83" s="328"/>
      <c r="AK83" s="328"/>
      <c r="AL83" s="38" t="b">
        <v>0</v>
      </c>
      <c r="AM83" s="38" t="b">
        <v>0</v>
      </c>
      <c r="AN83" s="38" t="b">
        <v>0</v>
      </c>
      <c r="AO83" s="357">
        <f t="shared" si="4"/>
        <v>0</v>
      </c>
      <c r="AP83" s="300">
        <f>VLOOKUP(AQ83,AL$125:AP$128,5,TRUE)*AP$125</f>
        <v>1</v>
      </c>
      <c r="AQ83" s="37">
        <f>COUNTIF(AL83:AN83,TRUE)</f>
        <v>0</v>
      </c>
      <c r="AR83" s="254">
        <f t="shared" si="5"/>
        <v>0</v>
      </c>
      <c r="AS83" s="1">
        <f t="shared" si="6"/>
        <v>0</v>
      </c>
      <c r="AT83" s="351"/>
      <c r="AU83" s="351"/>
      <c r="AV83" s="254" t="str">
        <f>'Žádost o valuty'!Y83</f>
        <v>Kamerun </v>
      </c>
      <c r="AW83" s="254" t="str">
        <f>'Žádost o valuty'!Z83</f>
        <v>EUR</v>
      </c>
      <c r="AX83" s="254">
        <f>'Žádost o valuty'!AA83</f>
        <v>40</v>
      </c>
      <c r="AY83" s="254">
        <v>81</v>
      </c>
      <c r="AZ83" s="255"/>
      <c r="BA83" s="10"/>
    </row>
    <row r="84" spans="1:53" ht="11.25" customHeight="1" hidden="1" thickBot="1">
      <c r="A84" s="10"/>
      <c r="B84" s="109"/>
      <c r="C84" s="808"/>
      <c r="D84" s="809"/>
      <c r="E84" s="810"/>
      <c r="F84" s="813"/>
      <c r="G84" s="814"/>
      <c r="H84" s="793"/>
      <c r="I84" s="812"/>
      <c r="J84" s="920"/>
      <c r="K84" s="920"/>
      <c r="L84" s="842"/>
      <c r="M84" s="843"/>
      <c r="N84" s="843"/>
      <c r="O84" s="843"/>
      <c r="P84" s="843"/>
      <c r="Q84" s="843"/>
      <c r="R84" s="843"/>
      <c r="S84" s="843"/>
      <c r="T84" s="1162"/>
      <c r="U84" s="1162"/>
      <c r="V84" s="1162"/>
      <c r="W84" s="878"/>
      <c r="X84" s="878"/>
      <c r="Y84" s="878"/>
      <c r="Z84" s="771"/>
      <c r="AA84" s="772"/>
      <c r="AB84" s="772"/>
      <c r="AC84" s="764"/>
      <c r="AD84" s="918"/>
      <c r="AE84" s="911"/>
      <c r="AF84" s="913"/>
      <c r="AG84" s="387">
        <v>0</v>
      </c>
      <c r="AH84" s="385"/>
      <c r="AI84" s="388"/>
      <c r="AJ84" s="328"/>
      <c r="AK84" s="328"/>
      <c r="AL84" s="38"/>
      <c r="AM84" s="38"/>
      <c r="AN84" s="38"/>
      <c r="AO84" s="301"/>
      <c r="AP84" s="300"/>
      <c r="AQ84" s="37"/>
      <c r="AR84" s="254">
        <f t="shared" si="5"/>
        <v>0</v>
      </c>
      <c r="AS84" s="254"/>
      <c r="AT84" s="254"/>
      <c r="AU84" s="314"/>
      <c r="AV84" s="254" t="str">
        <f>'Žádost o valuty'!Y84</f>
        <v>Kanada </v>
      </c>
      <c r="AW84" s="254" t="str">
        <f>'Žádost o valuty'!Z84</f>
        <v>USD</v>
      </c>
      <c r="AX84" s="254">
        <f>'Žádost o valuty'!AA84</f>
        <v>50</v>
      </c>
      <c r="AY84" s="254">
        <v>82</v>
      </c>
      <c r="AZ84" s="255"/>
      <c r="BA84" s="10"/>
    </row>
    <row r="85" spans="1:53" ht="11.25" customHeight="1" hidden="1">
      <c r="A85" s="10"/>
      <c r="B85" s="109"/>
      <c r="C85" s="797"/>
      <c r="D85" s="798"/>
      <c r="E85" s="799"/>
      <c r="F85" s="789"/>
      <c r="G85" s="790"/>
      <c r="H85" s="792">
        <f>INT($AS85)</f>
        <v>0</v>
      </c>
      <c r="I85" s="811">
        <f t="shared" si="3"/>
      </c>
      <c r="J85" s="920">
        <f>IF(ISNA(VLOOKUP(L85,'Žádost o valuty'!$Y$3:$AA$200,2,FALSE)),"",VLOOKUP(L85,'Žádost o valuty'!$Y$3:$AA$200,2,FALSE))</f>
      </c>
      <c r="K85" s="920"/>
      <c r="L85" s="842"/>
      <c r="M85" s="843"/>
      <c r="N85" s="843"/>
      <c r="O85" s="843"/>
      <c r="P85" s="843"/>
      <c r="Q85" s="843"/>
      <c r="R85" s="843"/>
      <c r="S85" s="843"/>
      <c r="T85" s="1162">
        <f>IF(ISNA(VLOOKUP(L85,'Žádost o valuty'!$Y$3:$AA$200,3,FALSE)),0,VLOOKUP(L85,'Žádost o valuty'!$Y$3:$AA$200,3,FALSE))</f>
        <v>0</v>
      </c>
      <c r="U85" s="1162"/>
      <c r="V85" s="1162"/>
      <c r="W85" s="878">
        <f>IF(OR(AND(I85=0,H85=0),AND(AC85="*",AG85&lt;5)),0,IF(AG85,HLOOKUP(CEILING(AG85,6),AL$124:AP$129,6),AG86))*T85*kapesne</f>
        <v>0</v>
      </c>
      <c r="X85" s="878"/>
      <c r="Y85" s="878"/>
      <c r="Z85" s="767">
        <f>IF($AN$130=TRUE,0,IF(AND(H85=0,AC85="*",AG85&lt;5),0,T85*IF(AG85,AO85,AP85*AG86)))</f>
        <v>0</v>
      </c>
      <c r="AA85" s="768"/>
      <c r="AB85" s="768"/>
      <c r="AC85" s="764">
        <f>IF(AND(NOT(I85=""),OR(AND(C85=C$6,AM$6&gt;=5),AND(C85=C$8,AM$8&gt;=5),AND(C85=C$10,AM$10&gt;=5),AND(C85=C$12,AM$12&gt;=5))),"*","")</f>
      </c>
      <c r="AD85" s="917"/>
      <c r="AE85" s="1118"/>
      <c r="AF85" s="914"/>
      <c r="AG85" s="384">
        <v>0</v>
      </c>
      <c r="AH85" s="385">
        <v>1</v>
      </c>
      <c r="AI85" s="386">
        <f>IF(AND(C85&lt;&gt;"",AC85="*",AG85&gt;0,AG85&lt;5),MATCH(C85,C$6:C$13,0),"")</f>
      </c>
      <c r="AJ85" s="328"/>
      <c r="AK85" s="328"/>
      <c r="AL85" s="38" t="b">
        <v>0</v>
      </c>
      <c r="AM85" s="38" t="b">
        <v>0</v>
      </c>
      <c r="AN85" s="38" t="b">
        <v>0</v>
      </c>
      <c r="AO85" s="357">
        <f t="shared" si="4"/>
        <v>0</v>
      </c>
      <c r="AP85" s="300">
        <f>VLOOKUP(AQ85,AL$125:AP$128,5,TRUE)*AP$125</f>
        <v>1</v>
      </c>
      <c r="AQ85" s="37">
        <f>COUNTIF(AL85:AN85,TRUE)</f>
        <v>0</v>
      </c>
      <c r="AR85" s="254">
        <f t="shared" si="5"/>
        <v>0</v>
      </c>
      <c r="AS85" s="1">
        <f t="shared" si="6"/>
        <v>0</v>
      </c>
      <c r="AT85" s="351"/>
      <c r="AU85" s="351"/>
      <c r="AV85" s="254" t="str">
        <f>'Žádost o valuty'!Y85</f>
        <v>Kapverdy</v>
      </c>
      <c r="AW85" s="254" t="str">
        <f>'Žádost o valuty'!Z85</f>
        <v>EUR</v>
      </c>
      <c r="AX85" s="254">
        <f>'Žádost o valuty'!AA85</f>
        <v>40</v>
      </c>
      <c r="AY85" s="254">
        <v>83</v>
      </c>
      <c r="AZ85" s="255"/>
      <c r="BA85" s="10"/>
    </row>
    <row r="86" spans="1:53" ht="11.25" customHeight="1" hidden="1" thickBot="1">
      <c r="A86" s="10"/>
      <c r="B86" s="109"/>
      <c r="C86" s="808"/>
      <c r="D86" s="809"/>
      <c r="E86" s="810"/>
      <c r="F86" s="813"/>
      <c r="G86" s="814"/>
      <c r="H86" s="793"/>
      <c r="I86" s="812"/>
      <c r="J86" s="920"/>
      <c r="K86" s="920"/>
      <c r="L86" s="842"/>
      <c r="M86" s="843"/>
      <c r="N86" s="843"/>
      <c r="O86" s="843"/>
      <c r="P86" s="843"/>
      <c r="Q86" s="843"/>
      <c r="R86" s="843"/>
      <c r="S86" s="843"/>
      <c r="T86" s="1162"/>
      <c r="U86" s="1162"/>
      <c r="V86" s="1162"/>
      <c r="W86" s="878"/>
      <c r="X86" s="878"/>
      <c r="Y86" s="878"/>
      <c r="Z86" s="771"/>
      <c r="AA86" s="772"/>
      <c r="AB86" s="772"/>
      <c r="AC86" s="764"/>
      <c r="AD86" s="918"/>
      <c r="AE86" s="911"/>
      <c r="AF86" s="913"/>
      <c r="AG86" s="387">
        <v>0</v>
      </c>
      <c r="AH86" s="385"/>
      <c r="AI86" s="388"/>
      <c r="AJ86" s="328"/>
      <c r="AK86" s="328"/>
      <c r="AL86" s="38"/>
      <c r="AM86" s="38"/>
      <c r="AN86" s="38"/>
      <c r="AO86" s="301"/>
      <c r="AP86" s="300"/>
      <c r="AQ86" s="37"/>
      <c r="AR86" s="254">
        <f t="shared" si="5"/>
        <v>0</v>
      </c>
      <c r="AS86" s="254"/>
      <c r="AT86" s="254"/>
      <c r="AU86" s="314"/>
      <c r="AV86" s="254" t="str">
        <f>'Žádost o valuty'!Y86</f>
        <v>Karibik-ostrovní státy</v>
      </c>
      <c r="AW86" s="254" t="str">
        <f>'Žádost o valuty'!Z86</f>
        <v>USD</v>
      </c>
      <c r="AX86" s="254">
        <f>'Žádost o valuty'!AA86</f>
        <v>55</v>
      </c>
      <c r="AY86" s="254">
        <v>84</v>
      </c>
      <c r="AZ86" s="255"/>
      <c r="BA86" s="10"/>
    </row>
    <row r="87" spans="1:53" ht="11.25" customHeight="1" hidden="1">
      <c r="A87" s="10"/>
      <c r="B87" s="109"/>
      <c r="C87" s="797"/>
      <c r="D87" s="798"/>
      <c r="E87" s="799"/>
      <c r="F87" s="789"/>
      <c r="G87" s="790"/>
      <c r="H87" s="792">
        <f>INT($AS87)</f>
        <v>0</v>
      </c>
      <c r="I87" s="811">
        <f t="shared" si="3"/>
      </c>
      <c r="J87" s="920">
        <f>IF(ISNA(VLOOKUP(L87,'Žádost o valuty'!$Y$3:$AA$200,2,FALSE)),"",VLOOKUP(L87,'Žádost o valuty'!$Y$3:$AA$200,2,FALSE))</f>
      </c>
      <c r="K87" s="920"/>
      <c r="L87" s="842"/>
      <c r="M87" s="843"/>
      <c r="N87" s="843"/>
      <c r="O87" s="843"/>
      <c r="P87" s="843"/>
      <c r="Q87" s="843"/>
      <c r="R87" s="843"/>
      <c r="S87" s="843"/>
      <c r="T87" s="1162">
        <f>IF(ISNA(VLOOKUP(L87,'Žádost o valuty'!$Y$3:$AA$200,3,FALSE)),0,VLOOKUP(L87,'Žádost o valuty'!$Y$3:$AA$200,3,FALSE))</f>
        <v>0</v>
      </c>
      <c r="U87" s="1162"/>
      <c r="V87" s="1162"/>
      <c r="W87" s="878">
        <f>IF(OR(AND(I87=0,H87=0),AND(AC87="*",AG87&lt;5)),0,IF(AG87,HLOOKUP(CEILING(AG87,6),AL$124:AP$129,6),AG88))*T87*kapesne</f>
        <v>0</v>
      </c>
      <c r="X87" s="878"/>
      <c r="Y87" s="878"/>
      <c r="Z87" s="767">
        <f>IF($AN$130=TRUE,0,IF(AND(H87=0,AC87="*",AG87&lt;5),0,T87*IF(AG87,AO87,AP87*AG88)))</f>
        <v>0</v>
      </c>
      <c r="AA87" s="768"/>
      <c r="AB87" s="768"/>
      <c r="AC87" s="764">
        <f>IF(AND(NOT(I87=""),OR(AND(C87=C$6,AM$6&gt;=5),AND(C87=C$8,AM$8&gt;=5),AND(C87=C$10,AM$10&gt;=5),AND(C87=C$12,AM$12&gt;=5))),"*","")</f>
      </c>
      <c r="AD87" s="917"/>
      <c r="AE87" s="1118"/>
      <c r="AF87" s="914"/>
      <c r="AG87" s="384">
        <v>0</v>
      </c>
      <c r="AH87" s="385">
        <v>1</v>
      </c>
      <c r="AI87" s="386">
        <f>IF(AND(C87&lt;&gt;"",AC87="*",AG87&gt;0,AG87&lt;5),MATCH(C87,C$6:C$13,0),"")</f>
      </c>
      <c r="AJ87" s="328"/>
      <c r="AK87" s="328"/>
      <c r="AL87" s="38" t="b">
        <v>0</v>
      </c>
      <c r="AM87" s="38" t="b">
        <v>0</v>
      </c>
      <c r="AN87" s="38" t="b">
        <v>0</v>
      </c>
      <c r="AO87" s="357">
        <f t="shared" si="4"/>
        <v>0</v>
      </c>
      <c r="AP87" s="300">
        <f>VLOOKUP(AQ87,AL$125:AP$128,5,TRUE)*AP$125</f>
        <v>1</v>
      </c>
      <c r="AQ87" s="37">
        <f>COUNTIF(AL87:AN87,TRUE)</f>
        <v>0</v>
      </c>
      <c r="AR87" s="254">
        <f aca="true" t="shared" si="7" ref="AR87:AR108">IF(F87="",0,TIMEVALUE(F87))</f>
        <v>0</v>
      </c>
      <c r="AS87" s="1">
        <f t="shared" si="6"/>
        <v>0</v>
      </c>
      <c r="AT87" s="351"/>
      <c r="AU87" s="351"/>
      <c r="AV87" s="254" t="str">
        <f>'Žádost o valuty'!Y87</f>
        <v>Katar </v>
      </c>
      <c r="AW87" s="254" t="str">
        <f>'Žádost o valuty'!Z87</f>
        <v>USD</v>
      </c>
      <c r="AX87" s="254">
        <f>'Žádost o valuty'!AA87</f>
        <v>50</v>
      </c>
      <c r="AY87" s="254">
        <v>85</v>
      </c>
      <c r="AZ87" s="255"/>
      <c r="BA87" s="10"/>
    </row>
    <row r="88" spans="1:53" ht="11.25" customHeight="1" hidden="1" thickBot="1">
      <c r="A88" s="10"/>
      <c r="B88" s="109"/>
      <c r="C88" s="808"/>
      <c r="D88" s="809"/>
      <c r="E88" s="810"/>
      <c r="F88" s="813"/>
      <c r="G88" s="814"/>
      <c r="H88" s="793"/>
      <c r="I88" s="812"/>
      <c r="J88" s="920"/>
      <c r="K88" s="920"/>
      <c r="L88" s="842"/>
      <c r="M88" s="843"/>
      <c r="N88" s="843"/>
      <c r="O88" s="843"/>
      <c r="P88" s="843"/>
      <c r="Q88" s="843"/>
      <c r="R88" s="843"/>
      <c r="S88" s="843"/>
      <c r="T88" s="1162"/>
      <c r="U88" s="1162"/>
      <c r="V88" s="1162"/>
      <c r="W88" s="878"/>
      <c r="X88" s="878"/>
      <c r="Y88" s="878"/>
      <c r="Z88" s="771"/>
      <c r="AA88" s="772"/>
      <c r="AB88" s="772"/>
      <c r="AC88" s="764"/>
      <c r="AD88" s="918"/>
      <c r="AE88" s="911"/>
      <c r="AF88" s="913"/>
      <c r="AG88" s="387">
        <v>0</v>
      </c>
      <c r="AH88" s="385"/>
      <c r="AI88" s="388"/>
      <c r="AJ88" s="328"/>
      <c r="AK88" s="328"/>
      <c r="AL88" s="38"/>
      <c r="AM88" s="38"/>
      <c r="AN88" s="38"/>
      <c r="AO88" s="301"/>
      <c r="AP88" s="300"/>
      <c r="AQ88" s="37"/>
      <c r="AR88" s="254">
        <f t="shared" si="7"/>
        <v>0</v>
      </c>
      <c r="AS88" s="254"/>
      <c r="AT88" s="254"/>
      <c r="AU88" s="314"/>
      <c r="AV88" s="254" t="str">
        <f>'Žádost o valuty'!Y88</f>
        <v>Kazachstán </v>
      </c>
      <c r="AW88" s="254" t="str">
        <f>'Žádost o valuty'!Z88</f>
        <v>EUR</v>
      </c>
      <c r="AX88" s="254">
        <f>'Žádost o valuty'!AA88</f>
        <v>45</v>
      </c>
      <c r="AY88" s="254">
        <v>86</v>
      </c>
      <c r="AZ88" s="255"/>
      <c r="BA88" s="10"/>
    </row>
    <row r="89" spans="1:53" ht="11.25" customHeight="1" hidden="1">
      <c r="A89" s="10"/>
      <c r="B89" s="109"/>
      <c r="C89" s="797"/>
      <c r="D89" s="798"/>
      <c r="E89" s="799"/>
      <c r="F89" s="789"/>
      <c r="G89" s="790"/>
      <c r="H89" s="792">
        <f>INT($AS89)</f>
        <v>0</v>
      </c>
      <c r="I89" s="811">
        <f t="shared" si="3"/>
      </c>
      <c r="J89" s="920">
        <f>IF(ISNA(VLOOKUP(L89,'Žádost o valuty'!$Y$3:$AA$200,2,FALSE)),"",VLOOKUP(L89,'Žádost o valuty'!$Y$3:$AA$200,2,FALSE))</f>
      </c>
      <c r="K89" s="920"/>
      <c r="L89" s="842"/>
      <c r="M89" s="843"/>
      <c r="N89" s="843"/>
      <c r="O89" s="843"/>
      <c r="P89" s="843"/>
      <c r="Q89" s="843"/>
      <c r="R89" s="843"/>
      <c r="S89" s="843"/>
      <c r="T89" s="1162">
        <f>IF(ISNA(VLOOKUP(L89,'Žádost o valuty'!$Y$3:$AA$200,3,FALSE)),0,VLOOKUP(L89,'Žádost o valuty'!$Y$3:$AA$200,3,FALSE))</f>
        <v>0</v>
      </c>
      <c r="U89" s="1162"/>
      <c r="V89" s="1162"/>
      <c r="W89" s="878">
        <f>IF(OR(AND(I89=0,H89=0),AND(AC89="*",AG89&lt;5)),0,IF(AG89,HLOOKUP(CEILING(AG89,6),AL$124:AP$129,6),AG90))*T89*kapesne</f>
        <v>0</v>
      </c>
      <c r="X89" s="878"/>
      <c r="Y89" s="878"/>
      <c r="Z89" s="767">
        <f>IF($AN$130=TRUE,0,IF(AND(H89=0,AC89="*",AG89&lt;5),0,T89*IF(AG89,AO89,AP89*AG90)))</f>
        <v>0</v>
      </c>
      <c r="AA89" s="768"/>
      <c r="AB89" s="768"/>
      <c r="AC89" s="764">
        <f>IF(AND(NOT(I89=""),OR(AND(C89=C$6,AM$6&gt;=5),AND(C89=C$8,AM$8&gt;=5),AND(C89=C$10,AM$10&gt;=5),AND(C89=C$12,AM$12&gt;=5))),"*","")</f>
      </c>
      <c r="AD89" s="917"/>
      <c r="AE89" s="1118"/>
      <c r="AF89" s="914"/>
      <c r="AG89" s="384">
        <v>0</v>
      </c>
      <c r="AH89" s="385">
        <v>1</v>
      </c>
      <c r="AI89" s="386">
        <f>IF(AND(C89&lt;&gt;"",AC89="*",AG89&gt;0,AG89&lt;5),MATCH(C89,C$6:C$13,0),"")</f>
      </c>
      <c r="AJ89" s="328"/>
      <c r="AK89" s="328"/>
      <c r="AL89" s="38" t="b">
        <v>0</v>
      </c>
      <c r="AM89" s="38" t="b">
        <v>0</v>
      </c>
      <c r="AN89" s="38" t="b">
        <v>0</v>
      </c>
      <c r="AO89" s="357">
        <f t="shared" si="4"/>
        <v>0</v>
      </c>
      <c r="AP89" s="300">
        <f>VLOOKUP(AQ89,AL$125:AP$128,5,TRUE)*AP$125</f>
        <v>1</v>
      </c>
      <c r="AQ89" s="37">
        <f>COUNTIF(AL89:AN89,TRUE)</f>
        <v>0</v>
      </c>
      <c r="AR89" s="254">
        <f t="shared" si="7"/>
        <v>0</v>
      </c>
      <c r="AS89" s="1">
        <f t="shared" si="6"/>
        <v>0</v>
      </c>
      <c r="AT89" s="351"/>
      <c r="AU89" s="351"/>
      <c r="AV89" s="254" t="str">
        <f>'Žádost o valuty'!Y89</f>
        <v>Keňa </v>
      </c>
      <c r="AW89" s="254" t="str">
        <f>'Žádost o valuty'!Z89</f>
        <v>EUR</v>
      </c>
      <c r="AX89" s="254">
        <f>'Žádost o valuty'!AA89</f>
        <v>45</v>
      </c>
      <c r="AY89" s="254">
        <v>87</v>
      </c>
      <c r="AZ89" s="255"/>
      <c r="BA89" s="10"/>
    </row>
    <row r="90" spans="1:53" ht="11.25" customHeight="1" hidden="1" thickBot="1">
      <c r="A90" s="10"/>
      <c r="B90" s="109"/>
      <c r="C90" s="808"/>
      <c r="D90" s="809"/>
      <c r="E90" s="810"/>
      <c r="F90" s="813"/>
      <c r="G90" s="814"/>
      <c r="H90" s="793"/>
      <c r="I90" s="812"/>
      <c r="J90" s="920"/>
      <c r="K90" s="920"/>
      <c r="L90" s="842"/>
      <c r="M90" s="843"/>
      <c r="N90" s="843"/>
      <c r="O90" s="843"/>
      <c r="P90" s="843"/>
      <c r="Q90" s="843"/>
      <c r="R90" s="843"/>
      <c r="S90" s="843"/>
      <c r="T90" s="1162"/>
      <c r="U90" s="1162"/>
      <c r="V90" s="1162"/>
      <c r="W90" s="878"/>
      <c r="X90" s="878"/>
      <c r="Y90" s="878"/>
      <c r="Z90" s="771"/>
      <c r="AA90" s="772"/>
      <c r="AB90" s="772"/>
      <c r="AC90" s="764"/>
      <c r="AD90" s="918"/>
      <c r="AE90" s="911"/>
      <c r="AF90" s="913"/>
      <c r="AG90" s="387">
        <v>0</v>
      </c>
      <c r="AH90" s="385"/>
      <c r="AI90" s="388"/>
      <c r="AJ90" s="328"/>
      <c r="AK90" s="328"/>
      <c r="AL90" s="38"/>
      <c r="AM90" s="38"/>
      <c r="AN90" s="38"/>
      <c r="AO90" s="301"/>
      <c r="AP90" s="300"/>
      <c r="AQ90" s="37"/>
      <c r="AR90" s="254">
        <f t="shared" si="7"/>
        <v>0</v>
      </c>
      <c r="AS90" s="254"/>
      <c r="AT90" s="254"/>
      <c r="AU90" s="314"/>
      <c r="AV90" s="254" t="str">
        <f>'Žádost o valuty'!Y90</f>
        <v>Kolumbie </v>
      </c>
      <c r="AW90" s="254" t="str">
        <f>'Žádost o valuty'!Z90</f>
        <v>USD</v>
      </c>
      <c r="AX90" s="254">
        <f>'Žádost o valuty'!AA90</f>
        <v>45</v>
      </c>
      <c r="AY90" s="254">
        <v>88</v>
      </c>
      <c r="AZ90" s="255"/>
      <c r="BA90" s="10"/>
    </row>
    <row r="91" spans="1:53" ht="11.25" customHeight="1" hidden="1">
      <c r="A91" s="10"/>
      <c r="B91" s="109"/>
      <c r="C91" s="794"/>
      <c r="D91" s="795"/>
      <c r="E91" s="796"/>
      <c r="F91" s="1121"/>
      <c r="G91" s="1122"/>
      <c r="H91" s="792">
        <f>INT($AS91)</f>
        <v>0</v>
      </c>
      <c r="I91" s="811">
        <f t="shared" si="3"/>
      </c>
      <c r="J91" s="919">
        <f>IF(ISNA(VLOOKUP(L91,'Žádost o valuty'!$Y$3:$AA$200,2,FALSE)),"",VLOOKUP(L91,'Žádost o valuty'!$Y$3:$AA$200,2,FALSE))</f>
      </c>
      <c r="K91" s="919"/>
      <c r="L91" s="803"/>
      <c r="M91" s="804"/>
      <c r="N91" s="804"/>
      <c r="O91" s="804"/>
      <c r="P91" s="804"/>
      <c r="Q91" s="804"/>
      <c r="R91" s="804"/>
      <c r="S91" s="804"/>
      <c r="T91" s="1161">
        <f>IF(ISNA(VLOOKUP(L91,'Žádost o valuty'!$Y$3:$AA$200,3,FALSE)),0,VLOOKUP(L91,'Žádost o valuty'!$Y$3:$AA$200,3,FALSE))</f>
        <v>0</v>
      </c>
      <c r="U91" s="1161"/>
      <c r="V91" s="1161"/>
      <c r="W91" s="878">
        <f>IF(OR(AND(I91=0,H91=0),AND(AC91="*",AG91&lt;5)),0,IF(AG91,HLOOKUP(CEILING(AG91,6),AL$124:AP$129,6),AG92))*T91*kapesne</f>
        <v>0</v>
      </c>
      <c r="X91" s="878"/>
      <c r="Y91" s="878"/>
      <c r="Z91" s="767">
        <f>IF($AN$130=TRUE,0,IF(AND(H91=0,AC91="*",AG91&lt;5),0,T91*IF(AG91,AO91,AP91*AG92)))</f>
        <v>0</v>
      </c>
      <c r="AA91" s="768"/>
      <c r="AB91" s="768"/>
      <c r="AC91" s="764">
        <f>IF(AND(NOT(I91=""),OR(AND(C91=C$6,AM$6&gt;=5),AND(C91=C$8,AM$8&gt;=5),AND(C91=C$10,AM$10&gt;=5),AND(C91=C$12,AM$12&gt;=5))),"*","")</f>
      </c>
      <c r="AD91" s="921"/>
      <c r="AE91" s="910"/>
      <c r="AF91" s="912"/>
      <c r="AG91" s="384">
        <v>0</v>
      </c>
      <c r="AH91" s="385">
        <v>1</v>
      </c>
      <c r="AI91" s="386">
        <f>IF(AND(C91&lt;&gt;"",AC91="*",AG91&gt;0,AG91&lt;5),MATCH(C91,C$6:C$13,0),"")</f>
      </c>
      <c r="AJ91" s="328"/>
      <c r="AK91" s="328"/>
      <c r="AL91" s="38" t="b">
        <v>0</v>
      </c>
      <c r="AM91" s="38" t="b">
        <v>0</v>
      </c>
      <c r="AN91" s="38" t="b">
        <v>0</v>
      </c>
      <c r="AO91" s="357">
        <f t="shared" si="4"/>
        <v>0</v>
      </c>
      <c r="AP91" s="300">
        <f>VLOOKUP(AQ91,AL$125:AP$128,5,TRUE)*AP$125</f>
        <v>1</v>
      </c>
      <c r="AQ91" s="37">
        <f>COUNTIF(AL91:AN91,TRUE)</f>
        <v>0</v>
      </c>
      <c r="AR91" s="254">
        <f t="shared" si="7"/>
        <v>0</v>
      </c>
      <c r="AS91" s="1">
        <f t="shared" si="6"/>
        <v>0</v>
      </c>
      <c r="AT91" s="351"/>
      <c r="AU91" s="351"/>
      <c r="AV91" s="254" t="str">
        <f>'Žádost o valuty'!Y91</f>
        <v>Komory </v>
      </c>
      <c r="AW91" s="254" t="str">
        <f>'Žádost o valuty'!Z91</f>
        <v>USD</v>
      </c>
      <c r="AX91" s="254">
        <f>'Žádost o valuty'!AA91</f>
        <v>55</v>
      </c>
      <c r="AY91" s="254">
        <v>89</v>
      </c>
      <c r="AZ91" s="255"/>
      <c r="BA91" s="10"/>
    </row>
    <row r="92" spans="1:53" ht="11.25" customHeight="1" hidden="1" thickBot="1">
      <c r="A92" s="10"/>
      <c r="B92" s="109"/>
      <c r="C92" s="808"/>
      <c r="D92" s="809"/>
      <c r="E92" s="810"/>
      <c r="F92" s="813"/>
      <c r="G92" s="814"/>
      <c r="H92" s="793"/>
      <c r="I92" s="812"/>
      <c r="J92" s="920"/>
      <c r="K92" s="920"/>
      <c r="L92" s="842"/>
      <c r="M92" s="843"/>
      <c r="N92" s="843"/>
      <c r="O92" s="843"/>
      <c r="P92" s="843"/>
      <c r="Q92" s="843"/>
      <c r="R92" s="843"/>
      <c r="S92" s="843"/>
      <c r="T92" s="1162"/>
      <c r="U92" s="1162"/>
      <c r="V92" s="1162"/>
      <c r="W92" s="878"/>
      <c r="X92" s="878"/>
      <c r="Y92" s="878"/>
      <c r="Z92" s="771"/>
      <c r="AA92" s="772"/>
      <c r="AB92" s="772"/>
      <c r="AC92" s="764"/>
      <c r="AD92" s="918"/>
      <c r="AE92" s="911"/>
      <c r="AF92" s="913"/>
      <c r="AG92" s="387">
        <v>0</v>
      </c>
      <c r="AH92" s="385"/>
      <c r="AI92" s="388"/>
      <c r="AJ92" s="328"/>
      <c r="AK92" s="328"/>
      <c r="AL92" s="38"/>
      <c r="AM92" s="38"/>
      <c r="AN92" s="38"/>
      <c r="AO92" s="301"/>
      <c r="AP92" s="300"/>
      <c r="AQ92" s="37"/>
      <c r="AR92" s="254">
        <f t="shared" si="7"/>
        <v>0</v>
      </c>
      <c r="AS92" s="254"/>
      <c r="AT92" s="254"/>
      <c r="AU92" s="314"/>
      <c r="AV92" s="254" t="str">
        <f>'Žádost o valuty'!Y92</f>
        <v>Konž. republika (Brazzavile) </v>
      </c>
      <c r="AW92" s="254" t="str">
        <f>'Žádost o valuty'!Z92</f>
        <v>USD</v>
      </c>
      <c r="AX92" s="254">
        <f>'Žádost o valuty'!AA92</f>
        <v>60</v>
      </c>
      <c r="AY92" s="254">
        <v>90</v>
      </c>
      <c r="AZ92" s="255"/>
      <c r="BA92" s="10"/>
    </row>
    <row r="93" spans="1:53" ht="11.25" customHeight="1" hidden="1">
      <c r="A93" s="10"/>
      <c r="B93" s="109"/>
      <c r="C93" s="797"/>
      <c r="D93" s="798"/>
      <c r="E93" s="799"/>
      <c r="F93" s="789"/>
      <c r="G93" s="790"/>
      <c r="H93" s="792">
        <f>INT($AS93)</f>
        <v>0</v>
      </c>
      <c r="I93" s="811">
        <f t="shared" si="3"/>
      </c>
      <c r="J93" s="920">
        <f>IF(ISNA(VLOOKUP(L93,'Žádost o valuty'!$Y$3:$AA$200,2,FALSE)),"",VLOOKUP(L93,'Žádost o valuty'!$Y$3:$AA$200,2,FALSE))</f>
      </c>
      <c r="K93" s="920"/>
      <c r="L93" s="842"/>
      <c r="M93" s="843"/>
      <c r="N93" s="843"/>
      <c r="O93" s="843"/>
      <c r="P93" s="843"/>
      <c r="Q93" s="843"/>
      <c r="R93" s="843"/>
      <c r="S93" s="843"/>
      <c r="T93" s="1162">
        <f>IF(ISNA(VLOOKUP(L93,'Žádost o valuty'!$Y$3:$AA$200,3,FALSE)),0,VLOOKUP(L93,'Žádost o valuty'!$Y$3:$AA$200,3,FALSE))</f>
        <v>0</v>
      </c>
      <c r="U93" s="1162"/>
      <c r="V93" s="1162"/>
      <c r="W93" s="878">
        <f>IF(OR(AND(I93=0,H93=0),AND(AC93="*",AG93&lt;5)),0,IF(AG93,HLOOKUP(CEILING(AG93,6),AL$124:AP$129,6),AG94))*T93*kapesne</f>
        <v>0</v>
      </c>
      <c r="X93" s="878"/>
      <c r="Y93" s="878"/>
      <c r="Z93" s="767">
        <f>IF($AN$130=TRUE,0,IF(AND(H93=0,AC93="*",AG93&lt;5),0,T93*IF(AG93,AO93,AP93*AG94)))</f>
        <v>0</v>
      </c>
      <c r="AA93" s="768"/>
      <c r="AB93" s="768"/>
      <c r="AC93" s="764">
        <f>IF(AND(NOT(I93=""),OR(AND(C93=C$6,AM$6&gt;=5),AND(C93=C$8,AM$8&gt;=5),AND(C93=C$10,AM$10&gt;=5),AND(C93=C$12,AM$12&gt;=5))),"*","")</f>
      </c>
      <c r="AD93" s="917"/>
      <c r="AE93" s="1118"/>
      <c r="AF93" s="914"/>
      <c r="AG93" s="384">
        <v>0</v>
      </c>
      <c r="AH93" s="385">
        <v>1</v>
      </c>
      <c r="AI93" s="386">
        <f>IF(AND(C93&lt;&gt;"",AC93="*",AG93&gt;0,AG93&lt;5),MATCH(C93,C$6:C$13,0),"")</f>
      </c>
      <c r="AJ93" s="328"/>
      <c r="AK93" s="328"/>
      <c r="AL93" s="38" t="b">
        <v>0</v>
      </c>
      <c r="AM93" s="38" t="b">
        <v>0</v>
      </c>
      <c r="AN93" s="38" t="b">
        <v>0</v>
      </c>
      <c r="AO93" s="357">
        <f t="shared" si="4"/>
        <v>0</v>
      </c>
      <c r="AP93" s="300">
        <f>VLOOKUP(AQ93,AL$125:AP$128,5,TRUE)*AP$125</f>
        <v>1</v>
      </c>
      <c r="AQ93" s="37">
        <f>COUNTIF(AL93:AN93,TRUE)</f>
        <v>0</v>
      </c>
      <c r="AR93" s="254">
        <f t="shared" si="7"/>
        <v>0</v>
      </c>
      <c r="AS93" s="1">
        <f t="shared" si="6"/>
        <v>0</v>
      </c>
      <c r="AT93" s="351"/>
      <c r="AU93" s="351"/>
      <c r="AV93" s="254" t="str">
        <f>'Žádost o valuty'!Y93</f>
        <v>Konž. dem. rep.  (Kinshasa)</v>
      </c>
      <c r="AW93" s="254" t="str">
        <f>'Žádost o valuty'!Z93</f>
        <v>USD</v>
      </c>
      <c r="AX93" s="254">
        <f>'Žádost o valuty'!AA93</f>
        <v>60</v>
      </c>
      <c r="AY93" s="254">
        <v>91</v>
      </c>
      <c r="AZ93" s="255"/>
      <c r="BA93" s="10"/>
    </row>
    <row r="94" spans="1:53" ht="11.25" customHeight="1" hidden="1" thickBot="1">
      <c r="A94" s="10"/>
      <c r="B94" s="109"/>
      <c r="C94" s="808"/>
      <c r="D94" s="809"/>
      <c r="E94" s="810"/>
      <c r="F94" s="813"/>
      <c r="G94" s="814"/>
      <c r="H94" s="793"/>
      <c r="I94" s="812"/>
      <c r="J94" s="920"/>
      <c r="K94" s="920"/>
      <c r="L94" s="842"/>
      <c r="M94" s="843"/>
      <c r="N94" s="843"/>
      <c r="O94" s="843"/>
      <c r="P94" s="843"/>
      <c r="Q94" s="843"/>
      <c r="R94" s="843"/>
      <c r="S94" s="843"/>
      <c r="T94" s="1162"/>
      <c r="U94" s="1162"/>
      <c r="V94" s="1162"/>
      <c r="W94" s="878"/>
      <c r="X94" s="878"/>
      <c r="Y94" s="878"/>
      <c r="Z94" s="771"/>
      <c r="AA94" s="772"/>
      <c r="AB94" s="772"/>
      <c r="AC94" s="764"/>
      <c r="AD94" s="918"/>
      <c r="AE94" s="911"/>
      <c r="AF94" s="913"/>
      <c r="AG94" s="387">
        <v>0</v>
      </c>
      <c r="AH94" s="385"/>
      <c r="AI94" s="388"/>
      <c r="AJ94" s="328"/>
      <c r="AK94" s="328"/>
      <c r="AL94" s="38"/>
      <c r="AM94" s="38"/>
      <c r="AN94" s="38"/>
      <c r="AO94" s="301"/>
      <c r="AP94" s="300"/>
      <c r="AQ94" s="37"/>
      <c r="AR94" s="254">
        <f t="shared" si="7"/>
        <v>0</v>
      </c>
      <c r="AS94" s="254"/>
      <c r="AT94" s="254"/>
      <c r="AU94" s="314"/>
      <c r="AV94" s="254" t="str">
        <f>'Žádost o valuty'!Y94</f>
        <v>Korea (KLDR)</v>
      </c>
      <c r="AW94" s="254" t="str">
        <f>'Žádost o valuty'!Z94</f>
        <v>EUR</v>
      </c>
      <c r="AX94" s="254">
        <f>'Žádost o valuty'!AA94</f>
        <v>40</v>
      </c>
      <c r="AY94" s="254">
        <v>92</v>
      </c>
      <c r="AZ94" s="255"/>
      <c r="BA94" s="10"/>
    </row>
    <row r="95" spans="1:53" ht="11.25" customHeight="1" hidden="1">
      <c r="A95" s="10"/>
      <c r="B95" s="109"/>
      <c r="C95" s="797"/>
      <c r="D95" s="798"/>
      <c r="E95" s="799"/>
      <c r="F95" s="789"/>
      <c r="G95" s="790"/>
      <c r="H95" s="792">
        <f>INT($AS95)</f>
        <v>0</v>
      </c>
      <c r="I95" s="811">
        <f t="shared" si="3"/>
      </c>
      <c r="J95" s="920">
        <f>IF(ISNA(VLOOKUP(L95,'Žádost o valuty'!$Y$3:$AA$200,2,FALSE)),"",VLOOKUP(L95,'Žádost o valuty'!$Y$3:$AA$200,2,FALSE))</f>
      </c>
      <c r="K95" s="920"/>
      <c r="L95" s="842"/>
      <c r="M95" s="843"/>
      <c r="N95" s="843"/>
      <c r="O95" s="843"/>
      <c r="P95" s="843"/>
      <c r="Q95" s="843"/>
      <c r="R95" s="843"/>
      <c r="S95" s="843"/>
      <c r="T95" s="1162">
        <f>IF(ISNA(VLOOKUP(L95,'Žádost o valuty'!$Y$3:$AA$200,3,FALSE)),0,VLOOKUP(L95,'Žádost o valuty'!$Y$3:$AA$200,3,FALSE))</f>
        <v>0</v>
      </c>
      <c r="U95" s="1162"/>
      <c r="V95" s="1162"/>
      <c r="W95" s="878">
        <f>IF(OR(AND(I95=0,H95=0),AND(AC95="*",AG95&lt;5)),0,IF(AG95,HLOOKUP(CEILING(AG95,6),AL$124:AP$129,6),AG96))*T95*kapesne</f>
        <v>0</v>
      </c>
      <c r="X95" s="878"/>
      <c r="Y95" s="878"/>
      <c r="Z95" s="767">
        <f>IF($AN$130=TRUE,0,IF(AND(H95=0,AC95="*",AG95&lt;5),0,T95*IF(AG95,AO95,AP95*AG96)))</f>
        <v>0</v>
      </c>
      <c r="AA95" s="768"/>
      <c r="AB95" s="768"/>
      <c r="AC95" s="764">
        <f>IF(AND(NOT(I95=""),OR(AND(C95=C$6,AM$6&gt;=5),AND(C95=C$8,AM$8&gt;=5),AND(C95=C$10,AM$10&gt;=5),AND(C95=C$12,AM$12&gt;=5))),"*","")</f>
      </c>
      <c r="AD95" s="917"/>
      <c r="AE95" s="1118"/>
      <c r="AF95" s="914"/>
      <c r="AG95" s="384">
        <v>0</v>
      </c>
      <c r="AH95" s="385">
        <v>1</v>
      </c>
      <c r="AI95" s="386">
        <f>IF(AND(C95&lt;&gt;"",AC95="*",AG95&gt;0,AG95&lt;5),MATCH(C95,C$6:C$13,0),"")</f>
      </c>
      <c r="AJ95" s="328"/>
      <c r="AK95" s="328"/>
      <c r="AL95" s="38" t="b">
        <v>0</v>
      </c>
      <c r="AM95" s="38" t="b">
        <v>0</v>
      </c>
      <c r="AN95" s="38" t="b">
        <v>0</v>
      </c>
      <c r="AO95" s="357">
        <f t="shared" si="4"/>
        <v>0</v>
      </c>
      <c r="AP95" s="300">
        <f>VLOOKUP(AQ95,AL$125:AP$128,5,TRUE)*AP$125</f>
        <v>1</v>
      </c>
      <c r="AQ95" s="37">
        <f>COUNTIF(AL95:AN95,TRUE)</f>
        <v>0</v>
      </c>
      <c r="AR95" s="254">
        <f t="shared" si="7"/>
        <v>0</v>
      </c>
      <c r="AS95" s="1">
        <f t="shared" si="6"/>
        <v>0</v>
      </c>
      <c r="AT95" s="351"/>
      <c r="AU95" s="351"/>
      <c r="AV95" s="254" t="str">
        <f>'Žádost o valuty'!Y95</f>
        <v>Korea (Korejská republika)</v>
      </c>
      <c r="AW95" s="254" t="str">
        <f>'Žádost o valuty'!Z95</f>
        <v>EUR</v>
      </c>
      <c r="AX95" s="254">
        <f>'Žádost o valuty'!AA95</f>
        <v>45</v>
      </c>
      <c r="AY95" s="254">
        <v>93</v>
      </c>
      <c r="AZ95" s="255"/>
      <c r="BA95" s="10"/>
    </row>
    <row r="96" spans="1:53" ht="11.25" customHeight="1" hidden="1" thickBot="1">
      <c r="A96" s="10"/>
      <c r="B96" s="109"/>
      <c r="C96" s="808"/>
      <c r="D96" s="809"/>
      <c r="E96" s="810"/>
      <c r="F96" s="813"/>
      <c r="G96" s="814"/>
      <c r="H96" s="793"/>
      <c r="I96" s="812"/>
      <c r="J96" s="920"/>
      <c r="K96" s="920"/>
      <c r="L96" s="842"/>
      <c r="M96" s="843"/>
      <c r="N96" s="843"/>
      <c r="O96" s="843"/>
      <c r="P96" s="843"/>
      <c r="Q96" s="843"/>
      <c r="R96" s="843"/>
      <c r="S96" s="843"/>
      <c r="T96" s="1162"/>
      <c r="U96" s="1162"/>
      <c r="V96" s="1162"/>
      <c r="W96" s="878"/>
      <c r="X96" s="878"/>
      <c r="Y96" s="878"/>
      <c r="Z96" s="771"/>
      <c r="AA96" s="772"/>
      <c r="AB96" s="772"/>
      <c r="AC96" s="764"/>
      <c r="AD96" s="918"/>
      <c r="AE96" s="911"/>
      <c r="AF96" s="913"/>
      <c r="AG96" s="387">
        <v>0</v>
      </c>
      <c r="AH96" s="385"/>
      <c r="AI96" s="388"/>
      <c r="AJ96" s="328"/>
      <c r="AK96" s="328"/>
      <c r="AL96" s="38"/>
      <c r="AM96" s="38"/>
      <c r="AN96" s="38"/>
      <c r="AO96" s="301"/>
      <c r="AP96" s="300"/>
      <c r="AQ96" s="37"/>
      <c r="AR96" s="254">
        <f t="shared" si="7"/>
        <v>0</v>
      </c>
      <c r="AS96" s="254"/>
      <c r="AT96" s="254"/>
      <c r="AU96" s="314"/>
      <c r="AV96" s="254" t="str">
        <f>'Žádost o valuty'!Y96</f>
        <v>Kostarika </v>
      </c>
      <c r="AW96" s="254" t="str">
        <f>'Žádost o valuty'!Z96</f>
        <v>USD</v>
      </c>
      <c r="AX96" s="254">
        <f>'Žádost o valuty'!AA96</f>
        <v>50</v>
      </c>
      <c r="AY96" s="254">
        <v>94</v>
      </c>
      <c r="AZ96" s="255"/>
      <c r="BA96" s="10"/>
    </row>
    <row r="97" spans="1:53" ht="11.25" customHeight="1" hidden="1">
      <c r="A97" s="10"/>
      <c r="B97" s="109"/>
      <c r="C97" s="794"/>
      <c r="D97" s="795"/>
      <c r="E97" s="796"/>
      <c r="F97" s="1121"/>
      <c r="G97" s="1122"/>
      <c r="H97" s="792">
        <f>INT($AS97)</f>
        <v>0</v>
      </c>
      <c r="I97" s="811">
        <f t="shared" si="3"/>
      </c>
      <c r="J97" s="919">
        <f>IF(ISNA(VLOOKUP(L97,'Žádost o valuty'!$Y$3:$AA$200,2,FALSE)),"",VLOOKUP(L97,'Žádost o valuty'!$Y$3:$AA$200,2,FALSE))</f>
      </c>
      <c r="K97" s="919"/>
      <c r="L97" s="803"/>
      <c r="M97" s="804"/>
      <c r="N97" s="804"/>
      <c r="O97" s="804"/>
      <c r="P97" s="804"/>
      <c r="Q97" s="804"/>
      <c r="R97" s="804"/>
      <c r="S97" s="804"/>
      <c r="T97" s="1161">
        <f>IF(ISNA(VLOOKUP(L97,'Žádost o valuty'!$Y$3:$AA$200,3,FALSE)),0,VLOOKUP(L97,'Žádost o valuty'!$Y$3:$AA$200,3,FALSE))</f>
        <v>0</v>
      </c>
      <c r="U97" s="1161"/>
      <c r="V97" s="1161"/>
      <c r="W97" s="878">
        <f>IF(OR(AND(I97=0,H97=0),AND(AC97="*",AG97&lt;5)),0,IF(AG97,HLOOKUP(CEILING(AG97,6),AL$124:AP$129,6),AG98))*T97*kapesne</f>
        <v>0</v>
      </c>
      <c r="X97" s="878"/>
      <c r="Y97" s="878"/>
      <c r="Z97" s="767">
        <f>IF($AN$130=TRUE,0,IF(AND(H97=0,AC97="*",AG97&lt;5),0,T97*IF(AG97,AO97,AP97*AG98)))</f>
        <v>0</v>
      </c>
      <c r="AA97" s="768"/>
      <c r="AB97" s="768"/>
      <c r="AC97" s="764">
        <f>IF(AND(NOT(I97=""),OR(AND(C97=C$6,AM$6&gt;=5),AND(C97=C$8,AM$8&gt;=5),AND(C97=C$10,AM$10&gt;=5),AND(C97=C$12,AM$12&gt;=5))),"*","")</f>
      </c>
      <c r="AD97" s="921"/>
      <c r="AE97" s="910"/>
      <c r="AF97" s="912"/>
      <c r="AG97" s="384">
        <v>0</v>
      </c>
      <c r="AH97" s="385">
        <v>1</v>
      </c>
      <c r="AI97" s="386">
        <f>IF(AND(C97&lt;&gt;"",AC97="*",AG97&gt;0,AG97&lt;5),MATCH(C97,C$6:C$13,0),"")</f>
      </c>
      <c r="AJ97" s="328"/>
      <c r="AK97" s="328"/>
      <c r="AL97" s="38" t="b">
        <v>0</v>
      </c>
      <c r="AM97" s="38" t="b">
        <v>0</v>
      </c>
      <c r="AN97" s="38" t="b">
        <v>0</v>
      </c>
      <c r="AO97" s="357">
        <f t="shared" si="4"/>
        <v>0</v>
      </c>
      <c r="AP97" s="300">
        <f>VLOOKUP(AQ97,AL$125:AP$128,5,TRUE)*AP$125</f>
        <v>1</v>
      </c>
      <c r="AQ97" s="37">
        <f>COUNTIF(AL97:AN97,TRUE)</f>
        <v>0</v>
      </c>
      <c r="AR97" s="254">
        <f t="shared" si="7"/>
        <v>0</v>
      </c>
      <c r="AS97" s="1">
        <f t="shared" si="6"/>
        <v>0</v>
      </c>
      <c r="AT97" s="351"/>
      <c r="AU97" s="351"/>
      <c r="AV97" s="254" t="str">
        <f>'Žádost o valuty'!Y97</f>
        <v>Kuba </v>
      </c>
      <c r="AW97" s="254" t="str">
        <f>'Žádost o valuty'!Z97</f>
        <v>EUR</v>
      </c>
      <c r="AX97" s="254">
        <f>'Žádost o valuty'!AA97</f>
        <v>45</v>
      </c>
      <c r="AY97" s="254">
        <v>95</v>
      </c>
      <c r="AZ97" s="255"/>
      <c r="BA97" s="10"/>
    </row>
    <row r="98" spans="1:53" ht="11.25" customHeight="1" hidden="1" thickBot="1">
      <c r="A98" s="10"/>
      <c r="B98" s="109"/>
      <c r="C98" s="808"/>
      <c r="D98" s="809"/>
      <c r="E98" s="810"/>
      <c r="F98" s="813"/>
      <c r="G98" s="814"/>
      <c r="H98" s="793"/>
      <c r="I98" s="812"/>
      <c r="J98" s="920"/>
      <c r="K98" s="920"/>
      <c r="L98" s="842"/>
      <c r="M98" s="843"/>
      <c r="N98" s="843"/>
      <c r="O98" s="843"/>
      <c r="P98" s="843"/>
      <c r="Q98" s="843"/>
      <c r="R98" s="843"/>
      <c r="S98" s="843"/>
      <c r="T98" s="1162"/>
      <c r="U98" s="1162"/>
      <c r="V98" s="1162"/>
      <c r="W98" s="878"/>
      <c r="X98" s="878"/>
      <c r="Y98" s="878"/>
      <c r="Z98" s="771"/>
      <c r="AA98" s="772"/>
      <c r="AB98" s="772"/>
      <c r="AC98" s="764"/>
      <c r="AD98" s="918"/>
      <c r="AE98" s="911"/>
      <c r="AF98" s="913"/>
      <c r="AG98" s="387">
        <v>0</v>
      </c>
      <c r="AH98" s="385"/>
      <c r="AI98" s="388"/>
      <c r="AJ98" s="328"/>
      <c r="AK98" s="328"/>
      <c r="AL98" s="38"/>
      <c r="AM98" s="38"/>
      <c r="AN98" s="38"/>
      <c r="AO98" s="301"/>
      <c r="AP98" s="300"/>
      <c r="AQ98" s="37"/>
      <c r="AR98" s="254">
        <f t="shared" si="7"/>
        <v>0</v>
      </c>
      <c r="AS98" s="254"/>
      <c r="AT98" s="254"/>
      <c r="AU98" s="314"/>
      <c r="AV98" s="254" t="str">
        <f>'Žádost o valuty'!Y98</f>
        <v>Kuvajt </v>
      </c>
      <c r="AW98" s="254" t="str">
        <f>'Žádost o valuty'!Z98</f>
        <v>EUR</v>
      </c>
      <c r="AX98" s="254">
        <f>'Žádost o valuty'!AA98</f>
        <v>40</v>
      </c>
      <c r="AY98" s="254">
        <v>96</v>
      </c>
      <c r="AZ98" s="255"/>
      <c r="BA98" s="10"/>
    </row>
    <row r="99" spans="1:53" ht="11.25" customHeight="1" hidden="1">
      <c r="A99" s="10"/>
      <c r="B99" s="109"/>
      <c r="C99" s="797"/>
      <c r="D99" s="798"/>
      <c r="E99" s="799"/>
      <c r="F99" s="789"/>
      <c r="G99" s="790"/>
      <c r="H99" s="792">
        <f>INT($AS99)</f>
        <v>0</v>
      </c>
      <c r="I99" s="811">
        <f t="shared" si="3"/>
      </c>
      <c r="J99" s="920">
        <f>IF(ISNA(VLOOKUP(L99,'Žádost o valuty'!$Y$3:$AA$200,2,FALSE)),"",VLOOKUP(L99,'Žádost o valuty'!$Y$3:$AA$200,2,FALSE))</f>
      </c>
      <c r="K99" s="920"/>
      <c r="L99" s="842"/>
      <c r="M99" s="843"/>
      <c r="N99" s="843"/>
      <c r="O99" s="843"/>
      <c r="P99" s="843"/>
      <c r="Q99" s="843"/>
      <c r="R99" s="843"/>
      <c r="S99" s="843"/>
      <c r="T99" s="1162">
        <f>IF(ISNA(VLOOKUP(L99,'Žádost o valuty'!$Y$3:$AA$200,3,FALSE)),0,VLOOKUP(L99,'Žádost o valuty'!$Y$3:$AA$200,3,FALSE))</f>
        <v>0</v>
      </c>
      <c r="U99" s="1162"/>
      <c r="V99" s="1162"/>
      <c r="W99" s="878">
        <f>IF(OR(AND(I99=0,H99=0),AND(AC99="*",AG99&lt;5)),0,IF(AG99,HLOOKUP(CEILING(AG99,6),AL$124:AP$129,6),AG100))*T99*kapesne</f>
        <v>0</v>
      </c>
      <c r="X99" s="878"/>
      <c r="Y99" s="878"/>
      <c r="Z99" s="767">
        <f>IF($AN$130=TRUE,0,IF(AND(H99=0,AC99="*",AG99&lt;5),0,T99*IF(AG99,AO99,AP99*AG100)))</f>
        <v>0</v>
      </c>
      <c r="AA99" s="768"/>
      <c r="AB99" s="768"/>
      <c r="AC99" s="764">
        <f>IF(AND(NOT(I99=""),OR(AND(C99=C$6,AM$6&gt;=5),AND(C99=C$8,AM$8&gt;=5),AND(C99=C$10,AM$10&gt;=5),AND(C99=C$12,AM$12&gt;=5))),"*","")</f>
      </c>
      <c r="AD99" s="917"/>
      <c r="AE99" s="1118"/>
      <c r="AF99" s="914"/>
      <c r="AG99" s="384">
        <v>0</v>
      </c>
      <c r="AH99" s="385">
        <v>1</v>
      </c>
      <c r="AI99" s="386">
        <f>IF(AND(C99&lt;&gt;"",AC99="*",AG99&gt;0,AG99&lt;5),MATCH(C99,C$6:C$13,0),"")</f>
      </c>
      <c r="AJ99" s="328"/>
      <c r="AK99" s="328"/>
      <c r="AL99" s="38" t="b">
        <v>0</v>
      </c>
      <c r="AM99" s="38" t="b">
        <v>0</v>
      </c>
      <c r="AN99" s="38" t="b">
        <v>0</v>
      </c>
      <c r="AO99" s="357">
        <f t="shared" si="4"/>
        <v>0</v>
      </c>
      <c r="AP99" s="300">
        <f>VLOOKUP(AQ99,AL$125:AP$128,5,TRUE)*AP$125</f>
        <v>1</v>
      </c>
      <c r="AQ99" s="37">
        <f>COUNTIF(AL99:AN99,TRUE)</f>
        <v>0</v>
      </c>
      <c r="AR99" s="254">
        <f t="shared" si="7"/>
        <v>0</v>
      </c>
      <c r="AS99" s="1">
        <f t="shared" si="6"/>
        <v>0</v>
      </c>
      <c r="AT99" s="351"/>
      <c r="AU99" s="351"/>
      <c r="AV99" s="254" t="str">
        <f>'Žádost o valuty'!Y99</f>
        <v>Kypr </v>
      </c>
      <c r="AW99" s="254" t="str">
        <f>'Žádost o valuty'!Z99</f>
        <v>EUR</v>
      </c>
      <c r="AX99" s="254">
        <f>'Žádost o valuty'!AA99</f>
        <v>40</v>
      </c>
      <c r="AY99" s="254">
        <v>97</v>
      </c>
      <c r="AZ99" s="255"/>
      <c r="BA99" s="10"/>
    </row>
    <row r="100" spans="1:53" ht="11.25" customHeight="1" hidden="1" thickBot="1">
      <c r="A100" s="10"/>
      <c r="B100" s="109"/>
      <c r="C100" s="808"/>
      <c r="D100" s="809"/>
      <c r="E100" s="810"/>
      <c r="F100" s="813"/>
      <c r="G100" s="814"/>
      <c r="H100" s="793"/>
      <c r="I100" s="812"/>
      <c r="J100" s="920"/>
      <c r="K100" s="920"/>
      <c r="L100" s="842"/>
      <c r="M100" s="843"/>
      <c r="N100" s="843"/>
      <c r="O100" s="843"/>
      <c r="P100" s="843"/>
      <c r="Q100" s="843"/>
      <c r="R100" s="843"/>
      <c r="S100" s="843"/>
      <c r="T100" s="1162"/>
      <c r="U100" s="1162"/>
      <c r="V100" s="1162"/>
      <c r="W100" s="878"/>
      <c r="X100" s="878"/>
      <c r="Y100" s="878"/>
      <c r="Z100" s="771"/>
      <c r="AA100" s="772"/>
      <c r="AB100" s="772"/>
      <c r="AC100" s="764"/>
      <c r="AD100" s="918"/>
      <c r="AE100" s="911"/>
      <c r="AF100" s="913"/>
      <c r="AG100" s="387">
        <v>0</v>
      </c>
      <c r="AH100" s="385"/>
      <c r="AI100" s="388"/>
      <c r="AJ100" s="328"/>
      <c r="AK100" s="328"/>
      <c r="AL100" s="38"/>
      <c r="AM100" s="38"/>
      <c r="AN100" s="38"/>
      <c r="AO100" s="301"/>
      <c r="AP100" s="300"/>
      <c r="AQ100" s="37"/>
      <c r="AR100" s="254">
        <f t="shared" si="7"/>
        <v>0</v>
      </c>
      <c r="AS100" s="254"/>
      <c r="AT100" s="254"/>
      <c r="AU100" s="314"/>
      <c r="AV100" s="254" t="str">
        <f>'Žádost o valuty'!Y100</f>
        <v>Kyrgyzstán </v>
      </c>
      <c r="AW100" s="254" t="str">
        <f>'Žádost o valuty'!Z100</f>
        <v>EUR</v>
      </c>
      <c r="AX100" s="254">
        <f>'Žádost o valuty'!AA100</f>
        <v>40</v>
      </c>
      <c r="AY100" s="254">
        <v>98</v>
      </c>
      <c r="AZ100" s="255"/>
      <c r="BA100" s="10"/>
    </row>
    <row r="101" spans="1:53" ht="11.25" customHeight="1" hidden="1">
      <c r="A101" s="10"/>
      <c r="B101" s="109"/>
      <c r="C101" s="797"/>
      <c r="D101" s="798"/>
      <c r="E101" s="799"/>
      <c r="F101" s="789"/>
      <c r="G101" s="790"/>
      <c r="H101" s="792">
        <f>INT($AS101)</f>
        <v>0</v>
      </c>
      <c r="I101" s="811">
        <f t="shared" si="3"/>
      </c>
      <c r="J101" s="920">
        <f>IF(ISNA(VLOOKUP(L101,'Žádost o valuty'!$Y$3:$AA$200,2,FALSE)),"",VLOOKUP(L101,'Žádost o valuty'!$Y$3:$AA$200,2,FALSE))</f>
      </c>
      <c r="K101" s="920"/>
      <c r="L101" s="842"/>
      <c r="M101" s="843"/>
      <c r="N101" s="843"/>
      <c r="O101" s="843"/>
      <c r="P101" s="843"/>
      <c r="Q101" s="843"/>
      <c r="R101" s="843"/>
      <c r="S101" s="843"/>
      <c r="T101" s="1162">
        <f>IF(ISNA(VLOOKUP(L101,'Žádost o valuty'!$Y$3:$AA$200,3,FALSE)),0,VLOOKUP(L101,'Žádost o valuty'!$Y$3:$AA$200,3,FALSE))</f>
        <v>0</v>
      </c>
      <c r="U101" s="1162"/>
      <c r="V101" s="1162"/>
      <c r="W101" s="878">
        <f>IF(OR(AND(I101=0,H101=0),AND(AC101="*",AG101&lt;5)),0,IF(AG101,HLOOKUP(CEILING(AG101,6),AL$124:AP$129,6),AG102))*T101*kapesne</f>
        <v>0</v>
      </c>
      <c r="X101" s="878"/>
      <c r="Y101" s="878"/>
      <c r="Z101" s="767">
        <f>IF($AN$130=TRUE,0,IF(AND(H101=0,AC101="*",AG101&lt;5),0,T101*IF(AG101,AO101,AP101*AG102)))</f>
        <v>0</v>
      </c>
      <c r="AA101" s="768"/>
      <c r="AB101" s="768"/>
      <c r="AC101" s="764">
        <f>IF(AND(NOT(I101=""),OR(AND(C101=C$6,AM$6&gt;=5),AND(C101=C$8,AM$8&gt;=5),AND(C101=C$10,AM$10&gt;=5),AND(C101=C$12,AM$12&gt;=5))),"*","")</f>
      </c>
      <c r="AD101" s="917"/>
      <c r="AE101" s="1118"/>
      <c r="AF101" s="914"/>
      <c r="AG101" s="384">
        <v>0</v>
      </c>
      <c r="AH101" s="385">
        <v>1</v>
      </c>
      <c r="AI101" s="386">
        <f>IF(AND(C101&lt;&gt;"",AC101="*",AG101&gt;0,AG101&lt;5),MATCH(C101,C$6:C$13,0),"")</f>
      </c>
      <c r="AJ101" s="328"/>
      <c r="AK101" s="328"/>
      <c r="AL101" s="38" t="b">
        <v>0</v>
      </c>
      <c r="AM101" s="38" t="b">
        <v>0</v>
      </c>
      <c r="AN101" s="38" t="b">
        <v>0</v>
      </c>
      <c r="AO101" s="357">
        <f t="shared" si="4"/>
        <v>0</v>
      </c>
      <c r="AP101" s="300">
        <f>VLOOKUP(AQ101,AL$125:AP$128,5,TRUE)*AP$125</f>
        <v>1</v>
      </c>
      <c r="AQ101" s="37">
        <f>COUNTIF(AL101:AN101,TRUE)</f>
        <v>0</v>
      </c>
      <c r="AR101" s="254">
        <f t="shared" si="7"/>
        <v>0</v>
      </c>
      <c r="AS101" s="1">
        <f t="shared" si="6"/>
        <v>0</v>
      </c>
      <c r="AT101" s="351"/>
      <c r="AU101" s="351"/>
      <c r="AV101" s="254" t="str">
        <f>'Žádost o valuty'!Y101</f>
        <v>Laos </v>
      </c>
      <c r="AW101" s="254" t="str">
        <f>'Žádost o valuty'!Z101</f>
        <v>USD</v>
      </c>
      <c r="AX101" s="254">
        <f>'Žádost o valuty'!AA101</f>
        <v>45</v>
      </c>
      <c r="AY101" s="254">
        <v>99</v>
      </c>
      <c r="AZ101" s="255"/>
      <c r="BA101" s="10"/>
    </row>
    <row r="102" spans="1:53" ht="11.25" customHeight="1" hidden="1" thickBot="1">
      <c r="A102" s="10"/>
      <c r="B102" s="109"/>
      <c r="C102" s="808"/>
      <c r="D102" s="809"/>
      <c r="E102" s="810"/>
      <c r="F102" s="813"/>
      <c r="G102" s="814"/>
      <c r="H102" s="793"/>
      <c r="I102" s="812"/>
      <c r="J102" s="920"/>
      <c r="K102" s="920"/>
      <c r="L102" s="842"/>
      <c r="M102" s="843"/>
      <c r="N102" s="843"/>
      <c r="O102" s="843"/>
      <c r="P102" s="843"/>
      <c r="Q102" s="843"/>
      <c r="R102" s="843"/>
      <c r="S102" s="843"/>
      <c r="T102" s="1162"/>
      <c r="U102" s="1162"/>
      <c r="V102" s="1162"/>
      <c r="W102" s="878"/>
      <c r="X102" s="878"/>
      <c r="Y102" s="878"/>
      <c r="Z102" s="771"/>
      <c r="AA102" s="772"/>
      <c r="AB102" s="772"/>
      <c r="AC102" s="764"/>
      <c r="AD102" s="918"/>
      <c r="AE102" s="911"/>
      <c r="AF102" s="913"/>
      <c r="AG102" s="387">
        <v>0</v>
      </c>
      <c r="AH102" s="385"/>
      <c r="AI102" s="388"/>
      <c r="AJ102" s="328"/>
      <c r="AK102" s="328"/>
      <c r="AL102" s="38"/>
      <c r="AM102" s="38"/>
      <c r="AN102" s="38"/>
      <c r="AO102" s="301"/>
      <c r="AP102" s="300"/>
      <c r="AQ102" s="37"/>
      <c r="AR102" s="254">
        <f t="shared" si="7"/>
        <v>0</v>
      </c>
      <c r="AS102" s="254"/>
      <c r="AT102" s="254"/>
      <c r="AU102" s="314"/>
      <c r="AV102" s="254" t="str">
        <f>'Žádost o valuty'!Y102</f>
        <v>Lesotho</v>
      </c>
      <c r="AW102" s="254" t="str">
        <f>'Žádost o valuty'!Z102</f>
        <v>USD</v>
      </c>
      <c r="AX102" s="254">
        <f>'Žádost o valuty'!AA102</f>
        <v>50</v>
      </c>
      <c r="AY102" s="254">
        <v>100</v>
      </c>
      <c r="AZ102" s="255"/>
      <c r="BA102" s="10"/>
    </row>
    <row r="103" spans="1:53" ht="11.25" customHeight="1" hidden="1">
      <c r="A103" s="10"/>
      <c r="B103" s="109"/>
      <c r="C103" s="794"/>
      <c r="D103" s="795"/>
      <c r="E103" s="796"/>
      <c r="F103" s="1121"/>
      <c r="G103" s="1122"/>
      <c r="H103" s="792">
        <f>INT($AS103)</f>
        <v>0</v>
      </c>
      <c r="I103" s="811">
        <f t="shared" si="3"/>
      </c>
      <c r="J103" s="919">
        <f>IF(ISNA(VLOOKUP(L103,'Žádost o valuty'!$Y$3:$AA$200,2,FALSE)),"",VLOOKUP(L103,'Žádost o valuty'!$Y$3:$AA$200,2,FALSE))</f>
      </c>
      <c r="K103" s="919"/>
      <c r="L103" s="803"/>
      <c r="M103" s="804"/>
      <c r="N103" s="804"/>
      <c r="O103" s="804"/>
      <c r="P103" s="804"/>
      <c r="Q103" s="804"/>
      <c r="R103" s="804"/>
      <c r="S103" s="804"/>
      <c r="T103" s="1161">
        <f>IF(ISNA(VLOOKUP(L103,'Žádost o valuty'!$Y$3:$AA$200,3,FALSE)),0,VLOOKUP(L103,'Žádost o valuty'!$Y$3:$AA$200,3,FALSE))</f>
        <v>0</v>
      </c>
      <c r="U103" s="1161"/>
      <c r="V103" s="1161"/>
      <c r="W103" s="878">
        <f>IF(OR(AND(I103=0,H103=0),AND(AC103="*",AG103&lt;5)),0,IF(AG103,HLOOKUP(CEILING(AG103,6),AL$124:AP$129,6),AG104))*T103*kapesne</f>
        <v>0</v>
      </c>
      <c r="X103" s="878"/>
      <c r="Y103" s="878"/>
      <c r="Z103" s="767">
        <f>IF($AN$130=TRUE,0,IF(AND(H103=0,AC103="*",AG103&lt;5),0,T103*IF(AG103,AO103,AP103*AG104)))</f>
        <v>0</v>
      </c>
      <c r="AA103" s="768"/>
      <c r="AB103" s="768"/>
      <c r="AC103" s="764">
        <f>IF(AND(NOT(I103=""),OR(AND(C103=C$6,AM$6&gt;=5),AND(C103=C$8,AM$8&gt;=5),AND(C103=C$10,AM$10&gt;=5),AND(C103=C$12,AM$12&gt;=5))),"*","")</f>
      </c>
      <c r="AD103" s="921"/>
      <c r="AE103" s="910"/>
      <c r="AF103" s="912"/>
      <c r="AG103" s="384">
        <v>0</v>
      </c>
      <c r="AH103" s="385">
        <v>1</v>
      </c>
      <c r="AI103" s="386">
        <f>IF(AND(C103&lt;&gt;"",AC103="*",AG103&gt;0,AG103&lt;5),MATCH(C103,C$6:C$13,0),"")</f>
      </c>
      <c r="AJ103" s="328"/>
      <c r="AK103" s="328"/>
      <c r="AL103" s="38" t="b">
        <v>0</v>
      </c>
      <c r="AM103" s="38" t="b">
        <v>0</v>
      </c>
      <c r="AN103" s="38" t="b">
        <v>0</v>
      </c>
      <c r="AO103" s="357">
        <f t="shared" si="4"/>
        <v>0</v>
      </c>
      <c r="AP103" s="300">
        <f>VLOOKUP(AQ103,AL$125:AP$128,5,TRUE)*AP$125</f>
        <v>1</v>
      </c>
      <c r="AQ103" s="37">
        <f>COUNTIF(AL103:AN103,TRUE)</f>
        <v>0</v>
      </c>
      <c r="AR103" s="254">
        <f t="shared" si="7"/>
        <v>0</v>
      </c>
      <c r="AS103" s="1">
        <f t="shared" si="6"/>
        <v>0</v>
      </c>
      <c r="AT103" s="351"/>
      <c r="AU103" s="351"/>
      <c r="AV103" s="254" t="str">
        <f>'Žádost o valuty'!Y103</f>
        <v>Libanon </v>
      </c>
      <c r="AW103" s="254" t="str">
        <f>'Žádost o valuty'!Z103</f>
        <v>USD</v>
      </c>
      <c r="AX103" s="254">
        <f>'Žádost o valuty'!AA103</f>
        <v>55</v>
      </c>
      <c r="AY103" s="254">
        <v>101</v>
      </c>
      <c r="AZ103" s="255"/>
      <c r="BA103" s="10"/>
    </row>
    <row r="104" spans="1:53" ht="11.25" customHeight="1" hidden="1" thickBot="1">
      <c r="A104" s="10"/>
      <c r="B104" s="109"/>
      <c r="C104" s="808"/>
      <c r="D104" s="809"/>
      <c r="E104" s="810"/>
      <c r="F104" s="813"/>
      <c r="G104" s="814"/>
      <c r="H104" s="793"/>
      <c r="I104" s="812"/>
      <c r="J104" s="920"/>
      <c r="K104" s="920"/>
      <c r="L104" s="842"/>
      <c r="M104" s="843"/>
      <c r="N104" s="843"/>
      <c r="O104" s="843"/>
      <c r="P104" s="843"/>
      <c r="Q104" s="843"/>
      <c r="R104" s="843"/>
      <c r="S104" s="843"/>
      <c r="T104" s="1162"/>
      <c r="U104" s="1162"/>
      <c r="V104" s="1162"/>
      <c r="W104" s="878"/>
      <c r="X104" s="878"/>
      <c r="Y104" s="878"/>
      <c r="Z104" s="771"/>
      <c r="AA104" s="772"/>
      <c r="AB104" s="772"/>
      <c r="AC104" s="764"/>
      <c r="AD104" s="918"/>
      <c r="AE104" s="911"/>
      <c r="AF104" s="913"/>
      <c r="AG104" s="387">
        <v>0</v>
      </c>
      <c r="AH104" s="385"/>
      <c r="AI104" s="388"/>
      <c r="AJ104" s="328"/>
      <c r="AK104" s="328"/>
      <c r="AL104" s="38"/>
      <c r="AM104" s="38"/>
      <c r="AN104" s="38"/>
      <c r="AO104" s="301"/>
      <c r="AP104" s="300"/>
      <c r="AQ104" s="37"/>
      <c r="AR104" s="254">
        <f t="shared" si="7"/>
        <v>0</v>
      </c>
      <c r="AS104" s="254"/>
      <c r="AT104" s="254"/>
      <c r="AU104" s="314"/>
      <c r="AV104" s="254" t="str">
        <f>'Žádost o valuty'!Y104</f>
        <v>Libérie </v>
      </c>
      <c r="AW104" s="254" t="str">
        <f>'Žádost o valuty'!Z104</f>
        <v>EUR</v>
      </c>
      <c r="AX104" s="254">
        <f>'Žádost o valuty'!AA104</f>
        <v>45</v>
      </c>
      <c r="AY104" s="254">
        <v>102</v>
      </c>
      <c r="AZ104" s="255"/>
      <c r="BA104" s="10"/>
    </row>
    <row r="105" spans="1:53" ht="11.25" customHeight="1" hidden="1">
      <c r="A105" s="10"/>
      <c r="B105" s="109"/>
      <c r="C105" s="797"/>
      <c r="D105" s="798"/>
      <c r="E105" s="799"/>
      <c r="F105" s="789"/>
      <c r="G105" s="790"/>
      <c r="H105" s="792">
        <f>INT($AS105)</f>
        <v>0</v>
      </c>
      <c r="I105" s="811">
        <f t="shared" si="3"/>
      </c>
      <c r="J105" s="920">
        <f>IF(ISNA(VLOOKUP(L105,'Žádost o valuty'!$Y$3:$AA$200,2,FALSE)),"",VLOOKUP(L105,'Žádost o valuty'!$Y$3:$AA$200,2,FALSE))</f>
      </c>
      <c r="K105" s="920"/>
      <c r="L105" s="842"/>
      <c r="M105" s="843"/>
      <c r="N105" s="843"/>
      <c r="O105" s="843"/>
      <c r="P105" s="843"/>
      <c r="Q105" s="843"/>
      <c r="R105" s="843"/>
      <c r="S105" s="843"/>
      <c r="T105" s="1162">
        <f>IF(ISNA(VLOOKUP(L105,'Žádost o valuty'!$Y$3:$AA$200,3,FALSE)),0,VLOOKUP(L105,'Žádost o valuty'!$Y$3:$AA$200,3,FALSE))</f>
        <v>0</v>
      </c>
      <c r="U105" s="1162"/>
      <c r="V105" s="1162"/>
      <c r="W105" s="878">
        <f>IF(OR(AND(I105=0,H105=0),AND(AC105="*",AG105&lt;5)),0,IF(AG105,HLOOKUP(CEILING(AG105,6),AL$124:AP$129,6),AG106))*T105*kapesne</f>
        <v>0</v>
      </c>
      <c r="X105" s="878"/>
      <c r="Y105" s="878"/>
      <c r="Z105" s="767">
        <f>IF($AN$130=TRUE,0,IF(AND(H105=0,AC105="*",AG105&lt;5),0,T105*IF(AG105,AO105,AP105*AG106)))</f>
        <v>0</v>
      </c>
      <c r="AA105" s="768"/>
      <c r="AB105" s="768"/>
      <c r="AC105" s="764">
        <f>IF(AND(NOT(I105=""),OR(AND(C105=C$6,AM$6&gt;=5),AND(C105=C$8,AM$8&gt;=5),AND(C105=C$10,AM$10&gt;=5),AND(C105=C$12,AM$12&gt;=5))),"*","")</f>
      </c>
      <c r="AD105" s="917"/>
      <c r="AE105" s="1118"/>
      <c r="AF105" s="914"/>
      <c r="AG105" s="384">
        <v>0</v>
      </c>
      <c r="AH105" s="385">
        <v>1</v>
      </c>
      <c r="AI105" s="386">
        <f>IF(AND(C105&lt;&gt;"",AC105="*",AG105&gt;0,AG105&lt;5),MATCH(C105,C$6:C$13,0),"")</f>
      </c>
      <c r="AJ105" s="328"/>
      <c r="AK105" s="328"/>
      <c r="AL105" s="38" t="b">
        <v>0</v>
      </c>
      <c r="AM105" s="38" t="b">
        <v>0</v>
      </c>
      <c r="AN105" s="38" t="b">
        <v>0</v>
      </c>
      <c r="AO105" s="357">
        <f t="shared" si="4"/>
        <v>0</v>
      </c>
      <c r="AP105" s="300">
        <f>VLOOKUP(AQ105,AL$125:AP$128,5,TRUE)*AP$125</f>
        <v>1</v>
      </c>
      <c r="AQ105" s="37">
        <f>COUNTIF(AL105:AN105,TRUE)</f>
        <v>0</v>
      </c>
      <c r="AR105" s="254">
        <f t="shared" si="7"/>
        <v>0</v>
      </c>
      <c r="AS105" s="1">
        <f t="shared" si="6"/>
        <v>0</v>
      </c>
      <c r="AT105" s="351"/>
      <c r="AU105" s="351"/>
      <c r="AV105" s="254" t="str">
        <f>'Žádost o valuty'!Y105</f>
        <v>Libye </v>
      </c>
      <c r="AW105" s="254" t="str">
        <f>'Žádost o valuty'!Z105</f>
        <v>EUR</v>
      </c>
      <c r="AX105" s="254">
        <f>'Žádost o valuty'!AA105</f>
        <v>45</v>
      </c>
      <c r="AY105" s="254">
        <v>103</v>
      </c>
      <c r="AZ105" s="255"/>
      <c r="BA105" s="10"/>
    </row>
    <row r="106" spans="1:53" ht="11.25" customHeight="1" hidden="1" thickBot="1">
      <c r="A106" s="10"/>
      <c r="B106" s="109"/>
      <c r="C106" s="808"/>
      <c r="D106" s="809"/>
      <c r="E106" s="810"/>
      <c r="F106" s="813"/>
      <c r="G106" s="814"/>
      <c r="H106" s="793"/>
      <c r="I106" s="812"/>
      <c r="J106" s="920"/>
      <c r="K106" s="920"/>
      <c r="L106" s="842"/>
      <c r="M106" s="843"/>
      <c r="N106" s="843"/>
      <c r="O106" s="843"/>
      <c r="P106" s="843"/>
      <c r="Q106" s="843"/>
      <c r="R106" s="843"/>
      <c r="S106" s="843"/>
      <c r="T106" s="1162"/>
      <c r="U106" s="1162"/>
      <c r="V106" s="1162"/>
      <c r="W106" s="878"/>
      <c r="X106" s="878"/>
      <c r="Y106" s="878"/>
      <c r="Z106" s="771"/>
      <c r="AA106" s="772"/>
      <c r="AB106" s="772"/>
      <c r="AC106" s="764"/>
      <c r="AD106" s="918"/>
      <c r="AE106" s="911"/>
      <c r="AF106" s="913"/>
      <c r="AG106" s="387">
        <v>0</v>
      </c>
      <c r="AH106" s="385"/>
      <c r="AI106" s="388"/>
      <c r="AJ106" s="328"/>
      <c r="AK106" s="328"/>
      <c r="AL106" s="38"/>
      <c r="AM106" s="38"/>
      <c r="AN106" s="38"/>
      <c r="AO106" s="301"/>
      <c r="AP106" s="300"/>
      <c r="AQ106" s="37"/>
      <c r="AR106" s="254">
        <f t="shared" si="7"/>
        <v>0</v>
      </c>
      <c r="AS106" s="254"/>
      <c r="AT106" s="254"/>
      <c r="AU106" s="314"/>
      <c r="AV106" s="254" t="str">
        <f>'Žádost o valuty'!Y106</f>
        <v>Lichenštejnsko</v>
      </c>
      <c r="AW106" s="254" t="str">
        <f>'Žádost o valuty'!Z106</f>
        <v>CHF</v>
      </c>
      <c r="AX106" s="254">
        <f>'Žádost o valuty'!AA106</f>
        <v>60</v>
      </c>
      <c r="AY106" s="254">
        <v>104</v>
      </c>
      <c r="AZ106" s="255"/>
      <c r="BA106" s="10"/>
    </row>
    <row r="107" spans="1:53" ht="11.25" customHeight="1" hidden="1">
      <c r="A107" s="10"/>
      <c r="B107" s="109"/>
      <c r="C107" s="797"/>
      <c r="D107" s="798"/>
      <c r="E107" s="799"/>
      <c r="F107" s="789"/>
      <c r="G107" s="790"/>
      <c r="H107" s="792">
        <f>INT($AS107)</f>
        <v>0</v>
      </c>
      <c r="I107" s="811">
        <f t="shared" si="3"/>
      </c>
      <c r="J107" s="920">
        <f>IF(ISNA(VLOOKUP(L107,'Žádost o valuty'!$Y$3:$AA$200,2,FALSE)),"",VLOOKUP(L107,'Žádost o valuty'!$Y$3:$AA$200,2,FALSE))</f>
      </c>
      <c r="K107" s="920"/>
      <c r="L107" s="842"/>
      <c r="M107" s="843"/>
      <c r="N107" s="843"/>
      <c r="O107" s="843"/>
      <c r="P107" s="843"/>
      <c r="Q107" s="843"/>
      <c r="R107" s="843"/>
      <c r="S107" s="843"/>
      <c r="T107" s="1162">
        <f>IF(ISNA(VLOOKUP(L107,'Žádost o valuty'!$Y$3:$AA$200,3,FALSE)),0,VLOOKUP(L107,'Žádost o valuty'!$Y$3:$AA$200,3,FALSE))</f>
        <v>0</v>
      </c>
      <c r="U107" s="1162"/>
      <c r="V107" s="1162"/>
      <c r="W107" s="878">
        <f>IF(OR(AND(I107=0,H107=0),AND(AC107="*",AG107&lt;5)),0,IF(AG107,HLOOKUP(CEILING(AG107,6),AL$124:AP$129,6),AG108))*T107*kapesne</f>
        <v>0</v>
      </c>
      <c r="X107" s="878"/>
      <c r="Y107" s="878"/>
      <c r="Z107" s="767">
        <f>IF($AN$130=TRUE,0,IF(AND(H107=0,AC107="*",AG107&lt;5),0,T107*IF(AG107,AO107,AP107*AG108)))</f>
        <v>0</v>
      </c>
      <c r="AA107" s="768"/>
      <c r="AB107" s="768"/>
      <c r="AC107" s="764">
        <f>IF(AND(NOT(I107=""),OR(AND(C107=C$6,AM$6&gt;=5),AND(C107=C$8,AM$8&gt;=5),AND(C107=C$10,AM$10&gt;=5),AND(C107=C$12,AM$12&gt;=5))),"*","")</f>
      </c>
      <c r="AD107" s="917"/>
      <c r="AE107" s="1118"/>
      <c r="AF107" s="914"/>
      <c r="AG107" s="384">
        <v>0</v>
      </c>
      <c r="AH107" s="385">
        <v>1</v>
      </c>
      <c r="AI107" s="386">
        <f>IF(AND(C107&lt;&gt;"",AC107="*",AG107&gt;0,AG107&lt;5),MATCH(C107,C$6:C$13,0),"")</f>
      </c>
      <c r="AJ107" s="328"/>
      <c r="AK107" s="328"/>
      <c r="AL107" s="38" t="b">
        <v>0</v>
      </c>
      <c r="AM107" s="38" t="b">
        <v>0</v>
      </c>
      <c r="AN107" s="38" t="b">
        <v>0</v>
      </c>
      <c r="AO107" s="357">
        <f t="shared" si="4"/>
        <v>0</v>
      </c>
      <c r="AP107" s="300">
        <f>VLOOKUP(AQ107,AL$125:AP$128,5,TRUE)*AP$125</f>
        <v>1</v>
      </c>
      <c r="AQ107" s="37">
        <f>COUNTIF(AL107:AN107,TRUE)</f>
        <v>0</v>
      </c>
      <c r="AR107" s="254">
        <f t="shared" si="7"/>
        <v>0</v>
      </c>
      <c r="AS107" s="1">
        <f t="shared" si="6"/>
        <v>0</v>
      </c>
      <c r="AT107" s="351"/>
      <c r="AU107" s="351"/>
      <c r="AV107" s="254" t="str">
        <f>'Žádost o valuty'!Y107</f>
        <v>Litva </v>
      </c>
      <c r="AW107" s="254" t="str">
        <f>'Žádost o valuty'!Z107</f>
        <v>EUR</v>
      </c>
      <c r="AX107" s="254">
        <f>'Žádost o valuty'!AA107</f>
        <v>40</v>
      </c>
      <c r="AY107" s="254">
        <v>105</v>
      </c>
      <c r="AZ107" s="255"/>
      <c r="BA107" s="10"/>
    </row>
    <row r="108" spans="1:53" ht="11.25" customHeight="1" hidden="1" thickBot="1">
      <c r="A108" s="10"/>
      <c r="B108" s="109"/>
      <c r="C108" s="808"/>
      <c r="D108" s="809"/>
      <c r="E108" s="810"/>
      <c r="F108" s="813"/>
      <c r="G108" s="814"/>
      <c r="H108" s="793"/>
      <c r="I108" s="812"/>
      <c r="J108" s="920"/>
      <c r="K108" s="920"/>
      <c r="L108" s="842"/>
      <c r="M108" s="843"/>
      <c r="N108" s="843"/>
      <c r="O108" s="843"/>
      <c r="P108" s="843"/>
      <c r="Q108" s="843"/>
      <c r="R108" s="843"/>
      <c r="S108" s="843"/>
      <c r="T108" s="1162"/>
      <c r="U108" s="1162"/>
      <c r="V108" s="1162"/>
      <c r="W108" s="878"/>
      <c r="X108" s="878"/>
      <c r="Y108" s="878"/>
      <c r="Z108" s="771"/>
      <c r="AA108" s="772"/>
      <c r="AB108" s="772"/>
      <c r="AC108" s="764"/>
      <c r="AD108" s="918"/>
      <c r="AE108" s="911"/>
      <c r="AF108" s="913"/>
      <c r="AG108" s="387">
        <v>0</v>
      </c>
      <c r="AH108" s="385"/>
      <c r="AI108" s="388"/>
      <c r="AJ108" s="328"/>
      <c r="AK108" s="328"/>
      <c r="AL108" s="38"/>
      <c r="AM108" s="38"/>
      <c r="AN108" s="38"/>
      <c r="AO108" s="301"/>
      <c r="AP108" s="300"/>
      <c r="AQ108" s="37"/>
      <c r="AR108" s="254">
        <f t="shared" si="7"/>
        <v>0</v>
      </c>
      <c r="AS108" s="254"/>
      <c r="AT108" s="254"/>
      <c r="AU108" s="314"/>
      <c r="AV108" s="254" t="str">
        <f>'Žádost o valuty'!Y108</f>
        <v>Lotyšsko </v>
      </c>
      <c r="AW108" s="254" t="str">
        <f>'Žádost o valuty'!Z108</f>
        <v>EUR</v>
      </c>
      <c r="AX108" s="254">
        <f>'Žádost o valuty'!AA108</f>
        <v>40</v>
      </c>
      <c r="AY108" s="254">
        <v>106</v>
      </c>
      <c r="AZ108" s="255"/>
      <c r="BA108" s="10"/>
    </row>
    <row r="109" spans="1:53" ht="11.25" customHeight="1" hidden="1">
      <c r="A109" s="10"/>
      <c r="B109" s="109"/>
      <c r="C109" s="794"/>
      <c r="D109" s="795"/>
      <c r="E109" s="796"/>
      <c r="F109" s="1121"/>
      <c r="G109" s="1122"/>
      <c r="H109" s="792">
        <f>INT($AS109)</f>
        <v>0</v>
      </c>
      <c r="I109" s="811">
        <f t="shared" si="3"/>
      </c>
      <c r="J109" s="919">
        <f>IF(ISNA(VLOOKUP(L109,'Žádost o valuty'!$Y$3:$AA$200,2,FALSE)),"",VLOOKUP(L109,'Žádost o valuty'!$Y$3:$AA$200,2,FALSE))</f>
      </c>
      <c r="K109" s="919"/>
      <c r="L109" s="803"/>
      <c r="M109" s="804"/>
      <c r="N109" s="804"/>
      <c r="O109" s="804"/>
      <c r="P109" s="804"/>
      <c r="Q109" s="804"/>
      <c r="R109" s="804"/>
      <c r="S109" s="804"/>
      <c r="T109" s="1161">
        <f>IF(ISNA(VLOOKUP(L109,'Žádost o valuty'!$Y$3:$AA$200,3,FALSE)),0,VLOOKUP(L109,'Žádost o valuty'!$Y$3:$AA$200,3,FALSE))</f>
        <v>0</v>
      </c>
      <c r="U109" s="1161"/>
      <c r="V109" s="1161"/>
      <c r="W109" s="878">
        <f>IF(OR(AND(I109=0,H109=0),AND(AC109="*",AG109&lt;5)),0,IF(AG109,HLOOKUP(CEILING(AG109,6),AL$124:AP$129,6),AG110))*T109*kapesne</f>
        <v>0</v>
      </c>
      <c r="X109" s="878"/>
      <c r="Y109" s="878"/>
      <c r="Z109" s="767">
        <f>IF($AN$130=TRUE,0,IF(AND(H109=0,AC109="*",AG109&lt;5),0,T109*IF(AG109,AO109,AP109*AG110)))</f>
        <v>0</v>
      </c>
      <c r="AA109" s="768"/>
      <c r="AB109" s="768"/>
      <c r="AC109" s="764">
        <f>IF(AND(NOT(I109=""),OR(AND(C109=C$6,AM$6&gt;=5),AND(C109=C$8,AM$8&gt;=5),AND(C109=C$10,AM$10&gt;=5),AND(C109=C$12,AM$12&gt;=5))),"*","")</f>
      </c>
      <c r="AD109" s="921"/>
      <c r="AE109" s="910"/>
      <c r="AF109" s="912"/>
      <c r="AG109" s="384">
        <v>0</v>
      </c>
      <c r="AH109" s="385">
        <v>1</v>
      </c>
      <c r="AI109" s="386">
        <f>IF(AND(C109&lt;&gt;"",AC109="*",AG109&gt;0,AG109&lt;5),MATCH(C109,C$6:C$13,0),"")</f>
      </c>
      <c r="AJ109" s="328"/>
      <c r="AK109" s="328"/>
      <c r="AL109" s="38" t="b">
        <v>0</v>
      </c>
      <c r="AM109" s="38" t="b">
        <v>0</v>
      </c>
      <c r="AN109" s="38" t="b">
        <v>0</v>
      </c>
      <c r="AO109" s="357">
        <f t="shared" si="4"/>
        <v>0</v>
      </c>
      <c r="AP109" s="300">
        <f>VLOOKUP(AQ109,AL$125:AP$128,5,TRUE)*AP$125</f>
        <v>1</v>
      </c>
      <c r="AQ109" s="37">
        <f>COUNTIF(AL109:AN109,TRUE)</f>
        <v>0</v>
      </c>
      <c r="AR109" s="254">
        <f aca="true" t="shared" si="8" ref="AR109:AR118">IF(F109="",0,TIMEVALUE(F109))</f>
        <v>0</v>
      </c>
      <c r="AS109" s="1">
        <f t="shared" si="6"/>
        <v>0</v>
      </c>
      <c r="AT109" s="351"/>
      <c r="AU109" s="351"/>
      <c r="AV109" s="254" t="str">
        <f>'Žádost o valuty'!Y109</f>
        <v>Lucembursko </v>
      </c>
      <c r="AW109" s="254" t="str">
        <f>'Žádost o valuty'!Z109</f>
        <v>EUR</v>
      </c>
      <c r="AX109" s="254">
        <f>'Žádost o valuty'!AA109</f>
        <v>45</v>
      </c>
      <c r="AY109" s="254">
        <v>107</v>
      </c>
      <c r="AZ109" s="255"/>
      <c r="BA109" s="10"/>
    </row>
    <row r="110" spans="1:53" ht="11.25" customHeight="1" hidden="1" thickBot="1">
      <c r="A110" s="10"/>
      <c r="B110" s="109"/>
      <c r="C110" s="808"/>
      <c r="D110" s="809"/>
      <c r="E110" s="810"/>
      <c r="F110" s="813"/>
      <c r="G110" s="814"/>
      <c r="H110" s="793"/>
      <c r="I110" s="812"/>
      <c r="J110" s="920"/>
      <c r="K110" s="920"/>
      <c r="L110" s="842"/>
      <c r="M110" s="843"/>
      <c r="N110" s="843"/>
      <c r="O110" s="843"/>
      <c r="P110" s="843"/>
      <c r="Q110" s="843"/>
      <c r="R110" s="843"/>
      <c r="S110" s="843"/>
      <c r="T110" s="1162"/>
      <c r="U110" s="1162"/>
      <c r="V110" s="1162"/>
      <c r="W110" s="878"/>
      <c r="X110" s="878"/>
      <c r="Y110" s="878"/>
      <c r="Z110" s="771"/>
      <c r="AA110" s="772"/>
      <c r="AB110" s="772"/>
      <c r="AC110" s="764"/>
      <c r="AD110" s="918"/>
      <c r="AE110" s="911"/>
      <c r="AF110" s="913"/>
      <c r="AG110" s="387">
        <v>0</v>
      </c>
      <c r="AH110" s="385"/>
      <c r="AI110" s="388"/>
      <c r="AJ110" s="328"/>
      <c r="AK110" s="328"/>
      <c r="AL110" s="38"/>
      <c r="AM110" s="38"/>
      <c r="AN110" s="38"/>
      <c r="AO110" s="301"/>
      <c r="AP110" s="300"/>
      <c r="AQ110" s="37"/>
      <c r="AR110" s="254">
        <f t="shared" si="8"/>
        <v>0</v>
      </c>
      <c r="AS110" s="254"/>
      <c r="AT110" s="254"/>
      <c r="AU110" s="314"/>
      <c r="AV110" s="254" t="str">
        <f>'Žádost o valuty'!Y110</f>
        <v>Macao</v>
      </c>
      <c r="AW110" s="254" t="str">
        <f>'Žádost o valuty'!Z110</f>
        <v>EUR</v>
      </c>
      <c r="AX110" s="254">
        <f>'Žádost o valuty'!AA110</f>
        <v>40</v>
      </c>
      <c r="AY110" s="254">
        <v>108</v>
      </c>
      <c r="AZ110" s="255"/>
      <c r="BA110" s="10"/>
    </row>
    <row r="111" spans="1:53" ht="11.25" customHeight="1" hidden="1">
      <c r="A111" s="10"/>
      <c r="B111" s="109"/>
      <c r="C111" s="797"/>
      <c r="D111" s="798"/>
      <c r="E111" s="799"/>
      <c r="F111" s="789"/>
      <c r="G111" s="790"/>
      <c r="H111" s="792">
        <f>INT($AS111)</f>
        <v>0</v>
      </c>
      <c r="I111" s="811">
        <f t="shared" si="3"/>
      </c>
      <c r="J111" s="920">
        <f>IF(ISNA(VLOOKUP(L111,'Žádost o valuty'!$Y$3:$AA$200,2,FALSE)),"",VLOOKUP(L111,'Žádost o valuty'!$Y$3:$AA$200,2,FALSE))</f>
      </c>
      <c r="K111" s="920"/>
      <c r="L111" s="842"/>
      <c r="M111" s="843"/>
      <c r="N111" s="843"/>
      <c r="O111" s="843"/>
      <c r="P111" s="843"/>
      <c r="Q111" s="843"/>
      <c r="R111" s="843"/>
      <c r="S111" s="843"/>
      <c r="T111" s="1162">
        <f>IF(ISNA(VLOOKUP(L111,'Žádost o valuty'!$Y$3:$AA$200,3,FALSE)),0,VLOOKUP(L111,'Žádost o valuty'!$Y$3:$AA$200,3,FALSE))</f>
        <v>0</v>
      </c>
      <c r="U111" s="1162"/>
      <c r="V111" s="1162"/>
      <c r="W111" s="878">
        <f>IF(OR(AND(I111=0,H111=0),AND(AC111="*",AG111&lt;5)),0,IF(AG111,HLOOKUP(CEILING(AG111,6),AL$124:AP$129,6),AG112))*T111*kapesne</f>
        <v>0</v>
      </c>
      <c r="X111" s="878"/>
      <c r="Y111" s="878"/>
      <c r="Z111" s="767">
        <f>IF($AN$130=TRUE,0,IF(AND(H111=0,AC111="*",AG111&lt;5),0,T111*IF(AG111,AO111,AP111*AG112)))</f>
        <v>0</v>
      </c>
      <c r="AA111" s="768"/>
      <c r="AB111" s="768"/>
      <c r="AC111" s="764">
        <f>IF(AND(NOT(I111=""),OR(AND(C111=C$6,AM$6&gt;=5),AND(C111=C$8,AM$8&gt;=5),AND(C111=C$10,AM$10&gt;=5),AND(C111=C$12,AM$12&gt;=5))),"*","")</f>
      </c>
      <c r="AD111" s="917"/>
      <c r="AE111" s="1118"/>
      <c r="AF111" s="914"/>
      <c r="AG111" s="384">
        <v>0</v>
      </c>
      <c r="AH111" s="385">
        <v>1</v>
      </c>
      <c r="AI111" s="386">
        <f>IF(AND(C111&lt;&gt;"",AC111="*",AG111&gt;0,AG111&lt;5),MATCH(C111,C$6:C$13,0),"")</f>
      </c>
      <c r="AJ111" s="328"/>
      <c r="AK111" s="328"/>
      <c r="AL111" s="38" t="b">
        <v>0</v>
      </c>
      <c r="AM111" s="38" t="b">
        <v>0</v>
      </c>
      <c r="AN111" s="38" t="b">
        <v>0</v>
      </c>
      <c r="AO111" s="357">
        <f t="shared" si="4"/>
        <v>0</v>
      </c>
      <c r="AP111" s="300">
        <f>VLOOKUP(AQ111,AL$125:AP$128,5,TRUE)*AP$125</f>
        <v>1</v>
      </c>
      <c r="AQ111" s="37">
        <f>COUNTIF(AL111:AN111,TRUE)</f>
        <v>0</v>
      </c>
      <c r="AR111" s="254">
        <f t="shared" si="8"/>
        <v>0</v>
      </c>
      <c r="AS111" s="1">
        <f t="shared" si="6"/>
        <v>0</v>
      </c>
      <c r="AT111" s="351"/>
      <c r="AU111" s="351"/>
      <c r="AV111" s="254" t="str">
        <f>'Žádost o valuty'!Y111</f>
        <v>Madagaskar</v>
      </c>
      <c r="AW111" s="254" t="str">
        <f>'Žádost o valuty'!Z111</f>
        <v>EUR</v>
      </c>
      <c r="AX111" s="254">
        <f>'Žádost o valuty'!AA111</f>
        <v>40</v>
      </c>
      <c r="AY111" s="254">
        <v>109</v>
      </c>
      <c r="AZ111" s="255"/>
      <c r="BA111" s="10"/>
    </row>
    <row r="112" spans="1:53" ht="11.25" customHeight="1" hidden="1" thickBot="1">
      <c r="A112" s="10"/>
      <c r="B112" s="109"/>
      <c r="C112" s="808"/>
      <c r="D112" s="809"/>
      <c r="E112" s="810"/>
      <c r="F112" s="813"/>
      <c r="G112" s="814"/>
      <c r="H112" s="793"/>
      <c r="I112" s="812"/>
      <c r="J112" s="920"/>
      <c r="K112" s="920"/>
      <c r="L112" s="842"/>
      <c r="M112" s="843"/>
      <c r="N112" s="843"/>
      <c r="O112" s="843"/>
      <c r="P112" s="843"/>
      <c r="Q112" s="843"/>
      <c r="R112" s="843"/>
      <c r="S112" s="843"/>
      <c r="T112" s="1162"/>
      <c r="U112" s="1162"/>
      <c r="V112" s="1162"/>
      <c r="W112" s="878"/>
      <c r="X112" s="878"/>
      <c r="Y112" s="878"/>
      <c r="Z112" s="771"/>
      <c r="AA112" s="772"/>
      <c r="AB112" s="772"/>
      <c r="AC112" s="764"/>
      <c r="AD112" s="918"/>
      <c r="AE112" s="911"/>
      <c r="AF112" s="913"/>
      <c r="AG112" s="387">
        <v>0</v>
      </c>
      <c r="AH112" s="385"/>
      <c r="AI112" s="388"/>
      <c r="AJ112" s="328"/>
      <c r="AK112" s="328"/>
      <c r="AL112" s="38"/>
      <c r="AM112" s="38"/>
      <c r="AN112" s="38"/>
      <c r="AO112" s="301"/>
      <c r="AP112" s="300"/>
      <c r="AQ112" s="37"/>
      <c r="AR112" s="254">
        <f t="shared" si="8"/>
        <v>0</v>
      </c>
      <c r="AS112" s="254"/>
      <c r="AT112" s="254"/>
      <c r="AU112" s="314"/>
      <c r="AV112" s="254" t="str">
        <f>'Žádost o valuty'!Y112</f>
        <v>Maďarsko </v>
      </c>
      <c r="AW112" s="254" t="str">
        <f>'Žádost o valuty'!Z112</f>
        <v>EUR</v>
      </c>
      <c r="AX112" s="254">
        <f>'Žádost o valuty'!AA112</f>
        <v>35</v>
      </c>
      <c r="AY112" s="254">
        <v>110</v>
      </c>
      <c r="AZ112" s="255"/>
      <c r="BA112" s="10"/>
    </row>
    <row r="113" spans="1:53" ht="11.25" customHeight="1" hidden="1">
      <c r="A113" s="10"/>
      <c r="B113" s="109"/>
      <c r="C113" s="797"/>
      <c r="D113" s="798"/>
      <c r="E113" s="799"/>
      <c r="F113" s="789"/>
      <c r="G113" s="790"/>
      <c r="H113" s="792">
        <f>INT($AS113)</f>
        <v>0</v>
      </c>
      <c r="I113" s="811">
        <f t="shared" si="3"/>
      </c>
      <c r="J113" s="920">
        <f>IF(ISNA(VLOOKUP(L113,'Žádost o valuty'!$Y$3:$AA$200,2,FALSE)),"",VLOOKUP(L113,'Žádost o valuty'!$Y$3:$AA$200,2,FALSE))</f>
      </c>
      <c r="K113" s="920"/>
      <c r="L113" s="842"/>
      <c r="M113" s="843"/>
      <c r="N113" s="843"/>
      <c r="O113" s="843"/>
      <c r="P113" s="843"/>
      <c r="Q113" s="843"/>
      <c r="R113" s="843"/>
      <c r="S113" s="843"/>
      <c r="T113" s="1162">
        <f>IF(ISNA(VLOOKUP(L113,'Žádost o valuty'!$Y$3:$AA$200,3,FALSE)),0,VLOOKUP(L113,'Žádost o valuty'!$Y$3:$AA$200,3,FALSE))</f>
        <v>0</v>
      </c>
      <c r="U113" s="1162"/>
      <c r="V113" s="1162"/>
      <c r="W113" s="878">
        <f>IF(OR(AND(I113=0,H113=0),AND(AC113="*",AG113&lt;5)),0,IF(AG113,HLOOKUP(CEILING(AG113,6),AL$124:AP$129,6),AG114))*T113*kapesne</f>
        <v>0</v>
      </c>
      <c r="X113" s="878"/>
      <c r="Y113" s="878"/>
      <c r="Z113" s="767">
        <f>IF($AN$130=TRUE,0,IF(AND(H113=0,AC113="*",AG113&lt;5),0,T113*IF(AG113,AO113,AP113*AG114)))</f>
        <v>0</v>
      </c>
      <c r="AA113" s="768"/>
      <c r="AB113" s="768"/>
      <c r="AC113" s="764">
        <f>IF(AND(NOT(I113=""),OR(AND(C113=C$6,AM$6&gt;=5),AND(C113=C$8,AM$8&gt;=5),AND(C113=C$10,AM$10&gt;=5),AND(C113=C$12,AM$12&gt;=5))),"*","")</f>
      </c>
      <c r="AD113" s="917"/>
      <c r="AE113" s="1118"/>
      <c r="AF113" s="914"/>
      <c r="AG113" s="384">
        <v>0</v>
      </c>
      <c r="AH113" s="385">
        <v>1</v>
      </c>
      <c r="AI113" s="386">
        <f>IF(AND(C113&lt;&gt;"",AC113="*",AG113&gt;0,AG113&lt;5),MATCH(C113,C$6:C$13,0),"")</f>
      </c>
      <c r="AJ113" s="328"/>
      <c r="AK113" s="328"/>
      <c r="AL113" s="38" t="b">
        <v>0</v>
      </c>
      <c r="AM113" s="38" t="b">
        <v>0</v>
      </c>
      <c r="AN113" s="38" t="b">
        <v>0</v>
      </c>
      <c r="AO113" s="357">
        <f t="shared" si="4"/>
        <v>0</v>
      </c>
      <c r="AP113" s="300">
        <f>VLOOKUP(AQ113,AL$125:AP$128,5,TRUE)*AP$125</f>
        <v>1</v>
      </c>
      <c r="AQ113" s="37">
        <f>COUNTIF(AL113:AN113,TRUE)</f>
        <v>0</v>
      </c>
      <c r="AR113" s="254">
        <f t="shared" si="8"/>
        <v>0</v>
      </c>
      <c r="AS113" s="1">
        <f t="shared" si="6"/>
        <v>0</v>
      </c>
      <c r="AT113" s="351"/>
      <c r="AU113" s="351"/>
      <c r="AV113" s="254" t="str">
        <f>'Žádost o valuty'!Y113</f>
        <v>Makedonie </v>
      </c>
      <c r="AW113" s="254" t="str">
        <f>'Žádost o valuty'!Z113</f>
        <v>EUR</v>
      </c>
      <c r="AX113" s="254">
        <f>'Žádost o valuty'!AA113</f>
        <v>35</v>
      </c>
      <c r="AY113" s="254">
        <v>111</v>
      </c>
      <c r="AZ113" s="255"/>
      <c r="BA113" s="10"/>
    </row>
    <row r="114" spans="1:53" ht="11.25" customHeight="1" hidden="1" thickBot="1">
      <c r="A114" s="10"/>
      <c r="B114" s="109"/>
      <c r="C114" s="808"/>
      <c r="D114" s="809"/>
      <c r="E114" s="810"/>
      <c r="F114" s="813"/>
      <c r="G114" s="814"/>
      <c r="H114" s="793"/>
      <c r="I114" s="812"/>
      <c r="J114" s="920"/>
      <c r="K114" s="920"/>
      <c r="L114" s="842"/>
      <c r="M114" s="843"/>
      <c r="N114" s="843"/>
      <c r="O114" s="843"/>
      <c r="P114" s="843"/>
      <c r="Q114" s="843"/>
      <c r="R114" s="843"/>
      <c r="S114" s="843"/>
      <c r="T114" s="1162"/>
      <c r="U114" s="1162"/>
      <c r="V114" s="1162"/>
      <c r="W114" s="878"/>
      <c r="X114" s="878"/>
      <c r="Y114" s="878"/>
      <c r="Z114" s="771"/>
      <c r="AA114" s="772"/>
      <c r="AB114" s="772"/>
      <c r="AC114" s="764"/>
      <c r="AD114" s="918"/>
      <c r="AE114" s="911"/>
      <c r="AF114" s="913"/>
      <c r="AG114" s="387">
        <v>0</v>
      </c>
      <c r="AH114" s="385"/>
      <c r="AI114" s="388"/>
      <c r="AJ114" s="328"/>
      <c r="AK114" s="328"/>
      <c r="AL114" s="38"/>
      <c r="AM114" s="38"/>
      <c r="AN114" s="38"/>
      <c r="AO114" s="301"/>
      <c r="AP114" s="300"/>
      <c r="AQ114" s="37"/>
      <c r="AR114" s="254">
        <f t="shared" si="8"/>
        <v>0</v>
      </c>
      <c r="AS114" s="254"/>
      <c r="AT114" s="254"/>
      <c r="AU114" s="314"/>
      <c r="AV114" s="254" t="str">
        <f>'Žádost o valuty'!Y114</f>
        <v>Malajsie </v>
      </c>
      <c r="AW114" s="254" t="str">
        <f>'Žádost o valuty'!Z114</f>
        <v>USD</v>
      </c>
      <c r="AX114" s="254">
        <f>'Žádost o valuty'!AA114</f>
        <v>40</v>
      </c>
      <c r="AY114" s="254">
        <v>112</v>
      </c>
      <c r="AZ114" s="255"/>
      <c r="BA114" s="10"/>
    </row>
    <row r="115" spans="1:53" ht="11.25" customHeight="1" hidden="1">
      <c r="A115" s="10"/>
      <c r="B115" s="109"/>
      <c r="C115" s="794"/>
      <c r="D115" s="795"/>
      <c r="E115" s="796"/>
      <c r="F115" s="1121"/>
      <c r="G115" s="1122"/>
      <c r="H115" s="792">
        <f>INT($AS115)</f>
        <v>0</v>
      </c>
      <c r="I115" s="811">
        <f t="shared" si="3"/>
      </c>
      <c r="J115" s="919">
        <f>IF(ISNA(VLOOKUP(L115,'Žádost o valuty'!$Y$3:$AA$200,2,FALSE)),"",VLOOKUP(L115,'Žádost o valuty'!$Y$3:$AA$200,2,FALSE))</f>
      </c>
      <c r="K115" s="919"/>
      <c r="L115" s="803"/>
      <c r="M115" s="804"/>
      <c r="N115" s="804"/>
      <c r="O115" s="804"/>
      <c r="P115" s="804"/>
      <c r="Q115" s="804"/>
      <c r="R115" s="804"/>
      <c r="S115" s="804"/>
      <c r="T115" s="1161">
        <f>IF(ISNA(VLOOKUP(L115,'Žádost o valuty'!$Y$3:$AA$200,3,FALSE)),0,VLOOKUP(L115,'Žádost o valuty'!$Y$3:$AA$200,3,FALSE))</f>
        <v>0</v>
      </c>
      <c r="U115" s="1161"/>
      <c r="V115" s="1161"/>
      <c r="W115" s="878">
        <f>IF(OR(AND(I115=0,H115=0),AND(AC115="*",AG115&lt;5)),0,IF(AG115,HLOOKUP(CEILING(AG115,6),AL$124:AP$129,6),AG116))*T115*kapesne</f>
        <v>0</v>
      </c>
      <c r="X115" s="878"/>
      <c r="Y115" s="878"/>
      <c r="Z115" s="767">
        <f>IF($AN$130=TRUE,0,IF(AND(H115=0,AC115="*",AG115&lt;5),0,T115*IF(AG115,AO115,AP115*AG116)))</f>
        <v>0</v>
      </c>
      <c r="AA115" s="768"/>
      <c r="AB115" s="768"/>
      <c r="AC115" s="764">
        <f>IF(AND(NOT(I115=""),OR(AND(C115=C$6,AM$6&gt;=5),AND(C115=C$8,AM$8&gt;=5),AND(C115=C$10,AM$10&gt;=5),AND(C115=C$12,AM$12&gt;=5))),"*","")</f>
      </c>
      <c r="AD115" s="921"/>
      <c r="AE115" s="910"/>
      <c r="AF115" s="912"/>
      <c r="AG115" s="384">
        <v>0</v>
      </c>
      <c r="AH115" s="385">
        <v>1</v>
      </c>
      <c r="AI115" s="386">
        <f>IF(AND(C115&lt;&gt;"",AC115="*",AG115&gt;0,AG115&lt;5),MATCH(C115,C$6:C$13,0),"")</f>
      </c>
      <c r="AJ115" s="328"/>
      <c r="AK115" s="328"/>
      <c r="AL115" s="38" t="b">
        <v>0</v>
      </c>
      <c r="AM115" s="38" t="b">
        <v>0</v>
      </c>
      <c r="AN115" s="38" t="b">
        <v>0</v>
      </c>
      <c r="AO115" s="357">
        <f t="shared" si="4"/>
        <v>0</v>
      </c>
      <c r="AP115" s="300">
        <f>VLOOKUP(AQ115,AL$125:AP$128,5,TRUE)*AP$125</f>
        <v>1</v>
      </c>
      <c r="AQ115" s="37">
        <f>COUNTIF(AL115:AN115,TRUE)</f>
        <v>0</v>
      </c>
      <c r="AR115" s="254">
        <f t="shared" si="8"/>
        <v>0</v>
      </c>
      <c r="AS115" s="1">
        <f t="shared" si="6"/>
        <v>0</v>
      </c>
      <c r="AT115" s="351"/>
      <c r="AU115" s="351"/>
      <c r="AV115" s="254" t="str">
        <f>'Žádost o valuty'!Y115</f>
        <v>Malawi </v>
      </c>
      <c r="AW115" s="254" t="str">
        <f>'Žádost o valuty'!Z115</f>
        <v>USD</v>
      </c>
      <c r="AX115" s="254">
        <f>'Žádost o valuty'!AA115</f>
        <v>45</v>
      </c>
      <c r="AY115" s="254">
        <v>113</v>
      </c>
      <c r="AZ115" s="255"/>
      <c r="BA115" s="10"/>
    </row>
    <row r="116" spans="1:53" ht="11.25" customHeight="1" hidden="1" thickBot="1">
      <c r="A116" s="10"/>
      <c r="B116" s="109"/>
      <c r="C116" s="808"/>
      <c r="D116" s="809"/>
      <c r="E116" s="810"/>
      <c r="F116" s="813"/>
      <c r="G116" s="814"/>
      <c r="H116" s="793"/>
      <c r="I116" s="812"/>
      <c r="J116" s="920"/>
      <c r="K116" s="920"/>
      <c r="L116" s="842"/>
      <c r="M116" s="843"/>
      <c r="N116" s="843"/>
      <c r="O116" s="843"/>
      <c r="P116" s="843"/>
      <c r="Q116" s="843"/>
      <c r="R116" s="843"/>
      <c r="S116" s="843"/>
      <c r="T116" s="1162"/>
      <c r="U116" s="1162"/>
      <c r="V116" s="1162"/>
      <c r="W116" s="878"/>
      <c r="X116" s="878"/>
      <c r="Y116" s="878"/>
      <c r="Z116" s="771"/>
      <c r="AA116" s="772"/>
      <c r="AB116" s="772"/>
      <c r="AC116" s="764"/>
      <c r="AD116" s="918"/>
      <c r="AE116" s="911"/>
      <c r="AF116" s="913"/>
      <c r="AG116" s="387">
        <v>0</v>
      </c>
      <c r="AH116" s="385"/>
      <c r="AI116" s="388"/>
      <c r="AJ116" s="328"/>
      <c r="AK116" s="328"/>
      <c r="AL116" s="38"/>
      <c r="AM116" s="38"/>
      <c r="AN116" s="38"/>
      <c r="AO116" s="301"/>
      <c r="AP116" s="300"/>
      <c r="AQ116" s="37"/>
      <c r="AR116" s="254">
        <f t="shared" si="8"/>
        <v>0</v>
      </c>
      <c r="AS116" s="254"/>
      <c r="AT116" s="254"/>
      <c r="AU116" s="314"/>
      <c r="AV116" s="254" t="str">
        <f>'Žádost o valuty'!Y116</f>
        <v>Maledivy</v>
      </c>
      <c r="AW116" s="254" t="str">
        <f>'Žádost o valuty'!Z116</f>
        <v>USD</v>
      </c>
      <c r="AX116" s="254">
        <f>'Žádost o valuty'!AA116</f>
        <v>55</v>
      </c>
      <c r="AY116" s="254">
        <v>114</v>
      </c>
      <c r="AZ116" s="255"/>
      <c r="BA116" s="10"/>
    </row>
    <row r="117" spans="1:53" ht="11.25" customHeight="1" hidden="1">
      <c r="A117" s="10"/>
      <c r="B117" s="109"/>
      <c r="C117" s="797"/>
      <c r="D117" s="798"/>
      <c r="E117" s="799"/>
      <c r="F117" s="789"/>
      <c r="G117" s="790"/>
      <c r="H117" s="792">
        <f>INT($AS117)</f>
        <v>0</v>
      </c>
      <c r="I117" s="811">
        <f t="shared" si="3"/>
      </c>
      <c r="J117" s="920">
        <f>IF(ISNA(VLOOKUP(L117,'Žádost o valuty'!$Y$3:$AA$200,2,FALSE)),"",VLOOKUP(L117,'Žádost o valuty'!$Y$3:$AA$200,2,FALSE))</f>
      </c>
      <c r="K117" s="920"/>
      <c r="L117" s="842"/>
      <c r="M117" s="843"/>
      <c r="N117" s="843"/>
      <c r="O117" s="843"/>
      <c r="P117" s="843"/>
      <c r="Q117" s="843"/>
      <c r="R117" s="843"/>
      <c r="S117" s="843"/>
      <c r="T117" s="1162">
        <f>IF(ISNA(VLOOKUP(L117,'Žádost o valuty'!$Y$3:$AA$200,3,FALSE)),0,VLOOKUP(L117,'Žádost o valuty'!$Y$3:$AA$200,3,FALSE))</f>
        <v>0</v>
      </c>
      <c r="U117" s="1162"/>
      <c r="V117" s="1162"/>
      <c r="W117" s="878">
        <f>IF(OR(AND(I117=0,H117=0),AND(AC117="*",AG117&lt;5)),0,IF(AG117,HLOOKUP(CEILING(AG117,6),AL$124:AP$129,6),AG118))*T117*kapesne</f>
        <v>0</v>
      </c>
      <c r="X117" s="878"/>
      <c r="Y117" s="878"/>
      <c r="Z117" s="767">
        <f>IF($AN$130=TRUE,0,IF(AND(H117=0,AC117="*",AG117&lt;5),0,T117*IF(AG117,AO117,AP117*AG118)))</f>
        <v>0</v>
      </c>
      <c r="AA117" s="768"/>
      <c r="AB117" s="768"/>
      <c r="AC117" s="764">
        <f>IF(AND(NOT(I117=""),OR(AND(C117=C$6,AM$6&gt;=5),AND(C117=C$8,AM$8&gt;=5),AND(C117=C$10,AM$10&gt;=5),AND(C117=C$12,AM$12&gt;=5))),"*","")</f>
      </c>
      <c r="AD117" s="917"/>
      <c r="AE117" s="1118"/>
      <c r="AF117" s="914"/>
      <c r="AG117" s="384">
        <v>0</v>
      </c>
      <c r="AH117" s="385">
        <v>1</v>
      </c>
      <c r="AI117" s="386">
        <f>IF(AND(C117&lt;&gt;"",AC117="*",AG117&gt;0,AG117&lt;5),MATCH(C117,C$6:C$13,0),"")</f>
      </c>
      <c r="AJ117" s="328"/>
      <c r="AK117" s="328"/>
      <c r="AL117" s="38" t="b">
        <v>0</v>
      </c>
      <c r="AM117" s="38" t="b">
        <v>0</v>
      </c>
      <c r="AN117" s="38" t="b">
        <v>0</v>
      </c>
      <c r="AO117" s="357">
        <f t="shared" si="4"/>
        <v>0</v>
      </c>
      <c r="AP117" s="300">
        <f>VLOOKUP(AQ117,AL$125:AP$128,5,TRUE)*AP$125</f>
        <v>1</v>
      </c>
      <c r="AQ117" s="37">
        <f>COUNTIF(AL117:AN117,TRUE)</f>
        <v>0</v>
      </c>
      <c r="AR117" s="254">
        <f t="shared" si="8"/>
        <v>0</v>
      </c>
      <c r="AS117" s="1">
        <f t="shared" si="6"/>
        <v>0</v>
      </c>
      <c r="AT117" s="351"/>
      <c r="AU117" s="351"/>
      <c r="AV117" s="254" t="str">
        <f>'Žádost o valuty'!Y117</f>
        <v>Mali </v>
      </c>
      <c r="AW117" s="254" t="str">
        <f>'Žádost o valuty'!Z117</f>
        <v>EUR</v>
      </c>
      <c r="AX117" s="254">
        <f>'Žádost o valuty'!AA117</f>
        <v>45</v>
      </c>
      <c r="AY117" s="254">
        <v>115</v>
      </c>
      <c r="AZ117" s="255"/>
      <c r="BA117" s="10"/>
    </row>
    <row r="118" spans="1:53" ht="11.25" customHeight="1" hidden="1" thickBot="1">
      <c r="A118" s="10"/>
      <c r="B118" s="109"/>
      <c r="C118" s="1170"/>
      <c r="D118" s="1171"/>
      <c r="E118" s="1172"/>
      <c r="F118" s="1112"/>
      <c r="G118" s="1113"/>
      <c r="H118" s="969"/>
      <c r="I118" s="957"/>
      <c r="J118" s="1173"/>
      <c r="K118" s="1173"/>
      <c r="L118" s="1102"/>
      <c r="M118" s="1103"/>
      <c r="N118" s="1103"/>
      <c r="O118" s="1103"/>
      <c r="P118" s="1103"/>
      <c r="Q118" s="1103"/>
      <c r="R118" s="1103"/>
      <c r="S118" s="1103"/>
      <c r="T118" s="1168"/>
      <c r="U118" s="1168"/>
      <c r="V118" s="1168"/>
      <c r="W118" s="1169"/>
      <c r="X118" s="1169"/>
      <c r="Y118" s="1169"/>
      <c r="Z118" s="769"/>
      <c r="AA118" s="770"/>
      <c r="AB118" s="770"/>
      <c r="AC118" s="765"/>
      <c r="AD118" s="1126"/>
      <c r="AE118" s="1119"/>
      <c r="AF118" s="1120"/>
      <c r="AG118" s="387">
        <v>0</v>
      </c>
      <c r="AH118" s="385"/>
      <c r="AI118" s="388"/>
      <c r="AJ118" s="328"/>
      <c r="AK118" s="328"/>
      <c r="AL118" s="38"/>
      <c r="AM118" s="38"/>
      <c r="AN118" s="38"/>
      <c r="AO118" s="301"/>
      <c r="AP118" s="300"/>
      <c r="AQ118" s="37"/>
      <c r="AR118" s="254">
        <f t="shared" si="8"/>
        <v>0</v>
      </c>
      <c r="AS118" s="254"/>
      <c r="AT118" s="254"/>
      <c r="AU118" s="314"/>
      <c r="AV118" s="254" t="str">
        <f>'Žádost o valuty'!Y118</f>
        <v>Malta </v>
      </c>
      <c r="AW118" s="254" t="str">
        <f>'Žádost o valuty'!Z118</f>
        <v>EUR</v>
      </c>
      <c r="AX118" s="254">
        <f>'Žádost o valuty'!AA118</f>
        <v>45</v>
      </c>
      <c r="AY118" s="254">
        <v>116</v>
      </c>
      <c r="AZ118" s="255"/>
      <c r="BA118" s="10"/>
    </row>
    <row r="119" spans="1:53" ht="6" customHeight="1" hidden="1">
      <c r="A119" s="10"/>
      <c r="B119" s="90"/>
      <c r="C119" s="908"/>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8"/>
      <c r="AA119" s="908"/>
      <c r="AB119" s="908"/>
      <c r="AC119" s="908"/>
      <c r="AD119" s="908"/>
      <c r="AE119" s="908"/>
      <c r="AF119" s="908"/>
      <c r="AG119" s="390"/>
      <c r="AH119" s="390"/>
      <c r="AI119" s="390"/>
      <c r="AJ119" s="307"/>
      <c r="AK119" s="307"/>
      <c r="AR119" s="254"/>
      <c r="AS119" s="254"/>
      <c r="AT119" s="254"/>
      <c r="AU119" s="254"/>
      <c r="AV119" s="254" t="str">
        <f>'Žádost o valuty'!Y119</f>
        <v>Maroko </v>
      </c>
      <c r="AW119" s="254" t="str">
        <f>'Žádost o valuty'!Z119</f>
        <v>EUR</v>
      </c>
      <c r="AX119" s="254">
        <f>'Žádost o valuty'!AA119</f>
        <v>35</v>
      </c>
      <c r="AY119" s="254">
        <v>117</v>
      </c>
      <c r="AZ119" s="256"/>
      <c r="BA119" s="10"/>
    </row>
    <row r="120" spans="1:53" ht="2.25" customHeight="1" thickBot="1">
      <c r="A120" s="10"/>
      <c r="B120" s="90"/>
      <c r="C120" s="307"/>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90"/>
      <c r="AH120" s="390"/>
      <c r="AI120" s="390"/>
      <c r="AJ120" s="307"/>
      <c r="AK120" s="307"/>
      <c r="AR120" s="254"/>
      <c r="AS120" s="254"/>
      <c r="AT120" s="254"/>
      <c r="AU120" s="254"/>
      <c r="AV120" s="254" t="str">
        <f>'Žádost o valuty'!Y120</f>
        <v>Martinique</v>
      </c>
      <c r="AW120" s="254" t="str">
        <f>'Žádost o valuty'!Z120</f>
        <v>USD</v>
      </c>
      <c r="AX120" s="254">
        <f>'Žádost o valuty'!AA120</f>
        <v>55</v>
      </c>
      <c r="AY120" s="254">
        <v>118</v>
      </c>
      <c r="AZ120" s="256"/>
      <c r="BA120" s="10"/>
    </row>
    <row r="121" spans="1:53" s="6" customFormat="1" ht="20.25" customHeight="1" thickBot="1">
      <c r="A121" s="15"/>
      <c r="B121" s="97"/>
      <c r="C121" s="966" t="s">
        <v>30</v>
      </c>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7"/>
      <c r="AA121" s="967"/>
      <c r="AB121" s="967"/>
      <c r="AC121" s="967"/>
      <c r="AD121" s="967"/>
      <c r="AE121" s="967"/>
      <c r="AF121" s="968"/>
      <c r="AG121" s="391"/>
      <c r="AH121" s="392">
        <f>SUM(AH31:AH116)</f>
        <v>42</v>
      </c>
      <c r="AI121" s="391"/>
      <c r="AJ121" s="320"/>
      <c r="AK121" s="320"/>
      <c r="AR121" s="254"/>
      <c r="AS121" s="254"/>
      <c r="AT121" s="254"/>
      <c r="AU121" s="254"/>
      <c r="AV121" s="254" t="str">
        <f>'Žádost o valuty'!Y121</f>
        <v>Mauretánie </v>
      </c>
      <c r="AW121" s="254" t="str">
        <f>'Žádost o valuty'!Z121</f>
        <v>EUR</v>
      </c>
      <c r="AX121" s="254">
        <f>'Žádost o valuty'!AA121</f>
        <v>35</v>
      </c>
      <c r="AY121" s="254">
        <v>119</v>
      </c>
      <c r="AZ121" s="256"/>
      <c r="BA121" s="15"/>
    </row>
    <row r="122" spans="1:53" ht="11.25">
      <c r="A122" s="10"/>
      <c r="B122" s="90"/>
      <c r="C122" s="774" t="s">
        <v>40</v>
      </c>
      <c r="D122" s="775"/>
      <c r="E122" s="953" t="s">
        <v>396</v>
      </c>
      <c r="F122" s="953"/>
      <c r="G122" s="953"/>
      <c r="H122" s="953"/>
      <c r="I122" s="953"/>
      <c r="J122" s="953"/>
      <c r="K122" s="953"/>
      <c r="L122" s="953"/>
      <c r="M122" s="953" t="s">
        <v>397</v>
      </c>
      <c r="N122" s="953"/>
      <c r="O122" s="953"/>
      <c r="P122" s="953"/>
      <c r="Q122" s="953"/>
      <c r="R122" s="953"/>
      <c r="S122" s="953"/>
      <c r="T122" s="953"/>
      <c r="U122" s="953" t="s">
        <v>398</v>
      </c>
      <c r="V122" s="953"/>
      <c r="W122" s="953"/>
      <c r="X122" s="953"/>
      <c r="Y122" s="953"/>
      <c r="Z122" s="953"/>
      <c r="AA122" s="953"/>
      <c r="AB122" s="954"/>
      <c r="AC122" s="774" t="s">
        <v>44</v>
      </c>
      <c r="AD122" s="775"/>
      <c r="AE122" s="775"/>
      <c r="AF122" s="776"/>
      <c r="AG122" s="319"/>
      <c r="AH122" s="319"/>
      <c r="AI122" s="319"/>
      <c r="AJ122" s="319"/>
      <c r="AK122" s="319"/>
      <c r="AM122" s="1117" t="s">
        <v>392</v>
      </c>
      <c r="AN122" s="1117"/>
      <c r="AO122" s="1117"/>
      <c r="AP122" s="92"/>
      <c r="AR122" s="254"/>
      <c r="AS122" s="254"/>
      <c r="AT122" s="254"/>
      <c r="AU122" s="254"/>
      <c r="AV122" s="254" t="str">
        <f>'Žádost o valuty'!Y122</f>
        <v>Mauricius </v>
      </c>
      <c r="AW122" s="254" t="str">
        <f>'Žádost o valuty'!Z122</f>
        <v>USD</v>
      </c>
      <c r="AX122" s="254">
        <f>'Žádost o valuty'!AA122</f>
        <v>50</v>
      </c>
      <c r="AY122" s="254">
        <v>120</v>
      </c>
      <c r="AZ122" s="255"/>
      <c r="BA122" s="10"/>
    </row>
    <row r="123" spans="1:53" ht="12" thickBot="1">
      <c r="A123" s="10"/>
      <c r="B123" s="90"/>
      <c r="C123" s="777"/>
      <c r="D123" s="778"/>
      <c r="E123" s="928" t="s">
        <v>45</v>
      </c>
      <c r="F123" s="928"/>
      <c r="G123" s="928"/>
      <c r="H123" s="928"/>
      <c r="I123" s="928" t="s">
        <v>46</v>
      </c>
      <c r="J123" s="928"/>
      <c r="K123" s="928"/>
      <c r="L123" s="928"/>
      <c r="M123" s="928" t="s">
        <v>45</v>
      </c>
      <c r="N123" s="928"/>
      <c r="O123" s="928"/>
      <c r="P123" s="928"/>
      <c r="Q123" s="928" t="s">
        <v>46</v>
      </c>
      <c r="R123" s="928"/>
      <c r="S123" s="928"/>
      <c r="T123" s="928"/>
      <c r="U123" s="928" t="s">
        <v>45</v>
      </c>
      <c r="V123" s="928"/>
      <c r="W123" s="928"/>
      <c r="X123" s="928"/>
      <c r="Y123" s="928" t="s">
        <v>46</v>
      </c>
      <c r="Z123" s="928"/>
      <c r="AA123" s="928"/>
      <c r="AB123" s="1084"/>
      <c r="AC123" s="777"/>
      <c r="AD123" s="778"/>
      <c r="AE123" s="778"/>
      <c r="AF123" s="779"/>
      <c r="AG123" s="319"/>
      <c r="AH123" s="319"/>
      <c r="AI123" s="319"/>
      <c r="AJ123" s="319"/>
      <c r="AK123" s="319"/>
      <c r="AL123" s="58" t="s">
        <v>393</v>
      </c>
      <c r="AM123" s="1101" t="s">
        <v>386</v>
      </c>
      <c r="AN123" s="1101"/>
      <c r="AO123" s="1101"/>
      <c r="AP123" s="59"/>
      <c r="AR123" s="254"/>
      <c r="AS123" s="254"/>
      <c r="AT123" s="254"/>
      <c r="AU123" s="254"/>
      <c r="AV123" s="254" t="str">
        <f>'Žádost o valuty'!Y123</f>
        <v>Mexiko </v>
      </c>
      <c r="AW123" s="254" t="str">
        <f>'Žádost o valuty'!Z123</f>
        <v>USD</v>
      </c>
      <c r="AX123" s="254">
        <f>'Žádost o valuty'!AA123</f>
        <v>50</v>
      </c>
      <c r="AY123" s="254">
        <v>121</v>
      </c>
      <c r="AZ123" s="255"/>
      <c r="BA123" s="10"/>
    </row>
    <row r="124" spans="1:53" ht="12" customHeight="1" thickTop="1">
      <c r="A124" s="10"/>
      <c r="B124" s="90"/>
      <c r="C124" s="1082" t="s">
        <v>9</v>
      </c>
      <c r="D124" s="1083"/>
      <c r="E124" s="773"/>
      <c r="F124" s="773"/>
      <c r="G124" s="773"/>
      <c r="H124" s="773"/>
      <c r="I124" s="915">
        <f>X14</f>
        <v>0</v>
      </c>
      <c r="J124" s="915"/>
      <c r="K124" s="915"/>
      <c r="L124" s="915"/>
      <c r="M124" s="773"/>
      <c r="N124" s="773"/>
      <c r="O124" s="773"/>
      <c r="P124" s="773"/>
      <c r="Q124" s="915">
        <f>AA14</f>
        <v>0</v>
      </c>
      <c r="R124" s="915"/>
      <c r="S124" s="915"/>
      <c r="T124" s="915"/>
      <c r="U124" s="773"/>
      <c r="V124" s="773"/>
      <c r="W124" s="773"/>
      <c r="X124" s="773"/>
      <c r="Y124" s="915">
        <f>AD14</f>
        <v>0</v>
      </c>
      <c r="Z124" s="915"/>
      <c r="AA124" s="915"/>
      <c r="AB124" s="916"/>
      <c r="AC124" s="780">
        <f aca="true" t="shared" si="9" ref="AC124:AC132">I124+Q124+Y124</f>
        <v>0</v>
      </c>
      <c r="AD124" s="781"/>
      <c r="AE124" s="781"/>
      <c r="AF124" s="782"/>
      <c r="AG124" s="340"/>
      <c r="AH124" s="353"/>
      <c r="AI124" s="353"/>
      <c r="AJ124" s="353"/>
      <c r="AK124" s="353"/>
      <c r="AL124" s="101">
        <v>0</v>
      </c>
      <c r="AM124" s="101">
        <v>6</v>
      </c>
      <c r="AN124" s="101">
        <v>12</v>
      </c>
      <c r="AO124" s="101">
        <v>18</v>
      </c>
      <c r="AP124" s="101">
        <v>24</v>
      </c>
      <c r="AQ124" s="101" t="s">
        <v>386</v>
      </c>
      <c r="AR124" s="254"/>
      <c r="AS124" s="254"/>
      <c r="AT124" s="254"/>
      <c r="AU124" s="254"/>
      <c r="AV124" s="254" t="str">
        <f>'Žádost o valuty'!Y124</f>
        <v>Moldávie </v>
      </c>
      <c r="AW124" s="254" t="str">
        <f>'Žádost o valuty'!Z124</f>
        <v>EUR</v>
      </c>
      <c r="AX124" s="254">
        <f>'Žádost o valuty'!AA124</f>
        <v>40</v>
      </c>
      <c r="AY124" s="254">
        <v>122</v>
      </c>
      <c r="AZ124" s="255"/>
      <c r="BA124" s="10"/>
    </row>
    <row r="125" spans="1:53" ht="12" customHeight="1">
      <c r="A125" s="10"/>
      <c r="B125" s="90"/>
      <c r="C125" s="755" t="s">
        <v>43</v>
      </c>
      <c r="D125" s="756"/>
      <c r="E125" s="757"/>
      <c r="F125" s="757"/>
      <c r="G125" s="757"/>
      <c r="H125" s="757"/>
      <c r="I125" s="766"/>
      <c r="J125" s="766"/>
      <c r="K125" s="766"/>
      <c r="L125" s="766"/>
      <c r="M125" s="757"/>
      <c r="N125" s="757"/>
      <c r="O125" s="757"/>
      <c r="P125" s="757"/>
      <c r="Q125" s="766"/>
      <c r="R125" s="766"/>
      <c r="S125" s="766"/>
      <c r="T125" s="766"/>
      <c r="U125" s="757"/>
      <c r="V125" s="757"/>
      <c r="W125" s="757"/>
      <c r="X125" s="757"/>
      <c r="Y125" s="766"/>
      <c r="Z125" s="766"/>
      <c r="AA125" s="766"/>
      <c r="AB125" s="786"/>
      <c r="AC125" s="783">
        <f t="shared" si="9"/>
        <v>0</v>
      </c>
      <c r="AD125" s="784"/>
      <c r="AE125" s="784"/>
      <c r="AF125" s="785"/>
      <c r="AG125" s="340"/>
      <c r="AH125" s="353"/>
      <c r="AI125" s="353"/>
      <c r="AJ125" s="353"/>
      <c r="AK125" s="353"/>
      <c r="AL125" s="100">
        <v>0</v>
      </c>
      <c r="AM125" s="105">
        <v>1</v>
      </c>
      <c r="AN125" s="105">
        <v>1</v>
      </c>
      <c r="AO125" s="105">
        <v>1</v>
      </c>
      <c r="AP125" s="105">
        <v>1</v>
      </c>
      <c r="AR125" s="254"/>
      <c r="AS125" s="254"/>
      <c r="AT125" s="254"/>
      <c r="AU125" s="254"/>
      <c r="AV125" s="254" t="str">
        <f>'Žádost o valuty'!Y125</f>
        <v>Monako</v>
      </c>
      <c r="AW125" s="254" t="str">
        <f>'Žádost o valuty'!Z125</f>
        <v>EUR</v>
      </c>
      <c r="AX125" s="254">
        <f>'Žádost o valuty'!AA125</f>
        <v>45</v>
      </c>
      <c r="AY125" s="254">
        <v>123</v>
      </c>
      <c r="AZ125" s="255"/>
      <c r="BA125" s="10"/>
    </row>
    <row r="126" spans="1:53" ht="12" customHeight="1">
      <c r="A126" s="10"/>
      <c r="B126" s="90"/>
      <c r="C126" s="755" t="s">
        <v>63</v>
      </c>
      <c r="D126" s="756"/>
      <c r="E126" s="757"/>
      <c r="F126" s="757"/>
      <c r="G126" s="757"/>
      <c r="H126" s="757"/>
      <c r="I126" s="766"/>
      <c r="J126" s="766"/>
      <c r="K126" s="766"/>
      <c r="L126" s="766"/>
      <c r="M126" s="757"/>
      <c r="N126" s="757"/>
      <c r="O126" s="757"/>
      <c r="P126" s="757"/>
      <c r="Q126" s="766"/>
      <c r="R126" s="766"/>
      <c r="S126" s="766"/>
      <c r="T126" s="766"/>
      <c r="U126" s="757"/>
      <c r="V126" s="757"/>
      <c r="W126" s="757"/>
      <c r="X126" s="757"/>
      <c r="Y126" s="766"/>
      <c r="Z126" s="766"/>
      <c r="AA126" s="766"/>
      <c r="AB126" s="786"/>
      <c r="AC126" s="783">
        <f t="shared" si="9"/>
        <v>0</v>
      </c>
      <c r="AD126" s="784"/>
      <c r="AE126" s="784"/>
      <c r="AF126" s="785"/>
      <c r="AG126" s="340"/>
      <c r="AH126" s="353"/>
      <c r="AI126" s="353"/>
      <c r="AJ126" s="353"/>
      <c r="AK126" s="353"/>
      <c r="AL126" s="5">
        <v>1</v>
      </c>
      <c r="AM126" s="105">
        <v>0.3</v>
      </c>
      <c r="AN126" s="105">
        <v>0.3</v>
      </c>
      <c r="AO126" s="105">
        <v>0.65</v>
      </c>
      <c r="AP126" s="105">
        <v>0.75</v>
      </c>
      <c r="AR126" s="254"/>
      <c r="AS126" s="254"/>
      <c r="AT126" s="254"/>
      <c r="AU126" s="254"/>
      <c r="AV126" s="254" t="str">
        <f>'Žádost o valuty'!Y126</f>
        <v>Mongolsko </v>
      </c>
      <c r="AW126" s="254" t="str">
        <f>'Žádost o valuty'!Z126</f>
        <v>EUR</v>
      </c>
      <c r="AX126" s="254">
        <f>'Žádost o valuty'!AA126</f>
        <v>40</v>
      </c>
      <c r="AY126" s="254">
        <v>124</v>
      </c>
      <c r="AZ126" s="255"/>
      <c r="BA126" s="10"/>
    </row>
    <row r="127" spans="1:53" ht="12" customHeight="1">
      <c r="A127" s="10"/>
      <c r="B127" s="90"/>
      <c r="C127" s="755" t="s">
        <v>61</v>
      </c>
      <c r="D127" s="756"/>
      <c r="E127" s="757"/>
      <c r="F127" s="757"/>
      <c r="G127" s="757"/>
      <c r="H127" s="757"/>
      <c r="I127" s="766"/>
      <c r="J127" s="766"/>
      <c r="K127" s="766"/>
      <c r="L127" s="766"/>
      <c r="M127" s="757"/>
      <c r="N127" s="757"/>
      <c r="O127" s="757"/>
      <c r="P127" s="757"/>
      <c r="Q127" s="766"/>
      <c r="R127" s="766"/>
      <c r="S127" s="766"/>
      <c r="T127" s="766"/>
      <c r="U127" s="757"/>
      <c r="V127" s="757"/>
      <c r="W127" s="757"/>
      <c r="X127" s="757"/>
      <c r="Y127" s="766"/>
      <c r="Z127" s="766"/>
      <c r="AA127" s="766"/>
      <c r="AB127" s="786"/>
      <c r="AC127" s="783">
        <f>I127+Q127+Y127</f>
        <v>0</v>
      </c>
      <c r="AD127" s="784"/>
      <c r="AE127" s="784"/>
      <c r="AF127" s="785"/>
      <c r="AG127" s="340"/>
      <c r="AH127" s="353"/>
      <c r="AI127" s="353"/>
      <c r="AJ127" s="353"/>
      <c r="AK127" s="353"/>
      <c r="AL127" s="5">
        <v>2</v>
      </c>
      <c r="AM127" s="105">
        <v>0</v>
      </c>
      <c r="AN127" s="105">
        <v>0</v>
      </c>
      <c r="AO127" s="105">
        <v>0.3</v>
      </c>
      <c r="AP127" s="105">
        <v>0.5</v>
      </c>
      <c r="AR127" s="254"/>
      <c r="AS127" s="254"/>
      <c r="AT127" s="254"/>
      <c r="AU127" s="254"/>
      <c r="AV127" s="254" t="str">
        <f>'Žádost o valuty'!Y127</f>
        <v>Monserrat</v>
      </c>
      <c r="AW127" s="254" t="str">
        <f>'Žádost o valuty'!Z127</f>
        <v>USD</v>
      </c>
      <c r="AX127" s="254">
        <f>'Žádost o valuty'!AA127</f>
        <v>55</v>
      </c>
      <c r="AY127" s="254">
        <v>125</v>
      </c>
      <c r="AZ127" s="255"/>
      <c r="BA127" s="10"/>
    </row>
    <row r="128" spans="1:53" ht="12" customHeight="1">
      <c r="A128" s="10"/>
      <c r="B128" s="90"/>
      <c r="C128" s="755" t="s">
        <v>225</v>
      </c>
      <c r="D128" s="756"/>
      <c r="E128" s="757"/>
      <c r="F128" s="757"/>
      <c r="G128" s="757"/>
      <c r="H128" s="757"/>
      <c r="I128" s="766"/>
      <c r="J128" s="766"/>
      <c r="K128" s="766"/>
      <c r="L128" s="766"/>
      <c r="M128" s="757"/>
      <c r="N128" s="757"/>
      <c r="O128" s="757"/>
      <c r="P128" s="757"/>
      <c r="Q128" s="766"/>
      <c r="R128" s="766"/>
      <c r="S128" s="766"/>
      <c r="T128" s="766"/>
      <c r="U128" s="757"/>
      <c r="V128" s="757"/>
      <c r="W128" s="757"/>
      <c r="X128" s="757"/>
      <c r="Y128" s="766"/>
      <c r="Z128" s="766"/>
      <c r="AA128" s="766"/>
      <c r="AB128" s="786"/>
      <c r="AC128" s="783">
        <f>I128+Q128+Y128</f>
        <v>0</v>
      </c>
      <c r="AD128" s="784"/>
      <c r="AE128" s="784"/>
      <c r="AF128" s="785"/>
      <c r="AG128" s="340"/>
      <c r="AH128" s="353"/>
      <c r="AI128" s="353"/>
      <c r="AJ128" s="353"/>
      <c r="AK128" s="353"/>
      <c r="AL128" s="5">
        <v>3</v>
      </c>
      <c r="AM128" s="105">
        <v>0</v>
      </c>
      <c r="AN128" s="105">
        <v>0</v>
      </c>
      <c r="AO128" s="105">
        <v>0</v>
      </c>
      <c r="AP128" s="105">
        <v>0.25</v>
      </c>
      <c r="AR128" s="254"/>
      <c r="AS128" s="254"/>
      <c r="AT128" s="254"/>
      <c r="AU128" s="254"/>
      <c r="AV128" s="254" t="str">
        <f>'Žádost o valuty'!Y128</f>
        <v>Mozambik</v>
      </c>
      <c r="AW128" s="254" t="str">
        <f>'Žádost o valuty'!Z128</f>
        <v>USD</v>
      </c>
      <c r="AX128" s="254">
        <f>'Žádost o valuty'!AA128</f>
        <v>45</v>
      </c>
      <c r="AY128" s="254">
        <v>126</v>
      </c>
      <c r="AZ128" s="255"/>
      <c r="BA128" s="10"/>
    </row>
    <row r="129" spans="1:53" ht="12" customHeight="1">
      <c r="A129" s="10"/>
      <c r="B129" s="90"/>
      <c r="C129" s="787"/>
      <c r="D129" s="788"/>
      <c r="E129" s="757"/>
      <c r="F129" s="757"/>
      <c r="G129" s="757"/>
      <c r="H129" s="757"/>
      <c r="I129" s="766"/>
      <c r="J129" s="766"/>
      <c r="K129" s="766"/>
      <c r="L129" s="766"/>
      <c r="M129" s="757"/>
      <c r="N129" s="757"/>
      <c r="O129" s="757"/>
      <c r="P129" s="757"/>
      <c r="Q129" s="766"/>
      <c r="R129" s="766"/>
      <c r="S129" s="766"/>
      <c r="T129" s="766"/>
      <c r="U129" s="757"/>
      <c r="V129" s="757"/>
      <c r="W129" s="757"/>
      <c r="X129" s="757"/>
      <c r="Y129" s="766"/>
      <c r="Z129" s="766"/>
      <c r="AA129" s="766"/>
      <c r="AB129" s="786"/>
      <c r="AC129" s="783">
        <f>I129+Q129+Y129</f>
        <v>0</v>
      </c>
      <c r="AD129" s="784"/>
      <c r="AE129" s="784"/>
      <c r="AF129" s="785"/>
      <c r="AG129" s="340"/>
      <c r="AH129" s="353"/>
      <c r="AI129" s="353"/>
      <c r="AJ129" s="353"/>
      <c r="AK129" s="353"/>
      <c r="AL129" s="110">
        <v>0</v>
      </c>
      <c r="AM129" s="106">
        <v>0.333333333</v>
      </c>
      <c r="AN129" s="106">
        <v>0.333333333</v>
      </c>
      <c r="AO129" s="106">
        <v>0.666666666</v>
      </c>
      <c r="AP129" s="106">
        <v>1</v>
      </c>
      <c r="AQ129" s="101" t="s">
        <v>388</v>
      </c>
      <c r="AR129" s="254"/>
      <c r="AS129" s="254"/>
      <c r="AT129" s="254"/>
      <c r="AU129" s="254"/>
      <c r="AV129" s="254" t="str">
        <f>'Žádost o valuty'!Y129</f>
        <v>Myanmar (Barma)</v>
      </c>
      <c r="AW129" s="254" t="str">
        <f>'Žádost o valuty'!Z129</f>
        <v>USD</v>
      </c>
      <c r="AX129" s="254">
        <f>'Žádost o valuty'!AA129</f>
        <v>45</v>
      </c>
      <c r="AY129" s="254">
        <v>127</v>
      </c>
      <c r="AZ129" s="255"/>
      <c r="BA129" s="10"/>
    </row>
    <row r="130" spans="1:53" ht="12" customHeight="1">
      <c r="A130" s="10"/>
      <c r="B130" s="90"/>
      <c r="C130" s="787"/>
      <c r="D130" s="788"/>
      <c r="E130" s="757"/>
      <c r="F130" s="757"/>
      <c r="G130" s="757"/>
      <c r="H130" s="757"/>
      <c r="I130" s="766"/>
      <c r="J130" s="766"/>
      <c r="K130" s="766"/>
      <c r="L130" s="766"/>
      <c r="M130" s="757"/>
      <c r="N130" s="757"/>
      <c r="O130" s="757"/>
      <c r="P130" s="757"/>
      <c r="Q130" s="766"/>
      <c r="R130" s="766"/>
      <c r="S130" s="766"/>
      <c r="T130" s="766"/>
      <c r="U130" s="757"/>
      <c r="V130" s="757"/>
      <c r="W130" s="757"/>
      <c r="X130" s="757"/>
      <c r="Y130" s="766"/>
      <c r="Z130" s="766"/>
      <c r="AA130" s="766"/>
      <c r="AB130" s="786"/>
      <c r="AC130" s="783">
        <f t="shared" si="9"/>
        <v>0</v>
      </c>
      <c r="AD130" s="784"/>
      <c r="AE130" s="784"/>
      <c r="AF130" s="785"/>
      <c r="AG130" s="340"/>
      <c r="AH130" s="353"/>
      <c r="AI130" s="353"/>
      <c r="AJ130" s="353"/>
      <c r="AK130" s="353"/>
      <c r="AL130" s="1" t="s">
        <v>444</v>
      </c>
      <c r="AN130" s="38" t="b">
        <v>0</v>
      </c>
      <c r="AR130" s="254"/>
      <c r="AS130" s="254"/>
      <c r="AT130" s="254"/>
      <c r="AU130" s="254"/>
      <c r="AV130" s="254" t="str">
        <f>'Žádost o valuty'!Y130</f>
        <v>Namibie </v>
      </c>
      <c r="AW130" s="254" t="str">
        <f>'Žádost o valuty'!Z130</f>
        <v>USD</v>
      </c>
      <c r="AX130" s="254">
        <f>'Žádost o valuty'!AA130</f>
        <v>50</v>
      </c>
      <c r="AY130" s="254">
        <v>128</v>
      </c>
      <c r="AZ130" s="255"/>
      <c r="BA130" s="10"/>
    </row>
    <row r="131" spans="1:53" ht="12" customHeight="1">
      <c r="A131" s="10"/>
      <c r="B131" s="90"/>
      <c r="C131" s="787"/>
      <c r="D131" s="788"/>
      <c r="E131" s="757"/>
      <c r="F131" s="757"/>
      <c r="G131" s="757"/>
      <c r="H131" s="757"/>
      <c r="I131" s="766"/>
      <c r="J131" s="766"/>
      <c r="K131" s="766"/>
      <c r="L131" s="766"/>
      <c r="M131" s="757"/>
      <c r="N131" s="757"/>
      <c r="O131" s="757"/>
      <c r="P131" s="757"/>
      <c r="Q131" s="766"/>
      <c r="R131" s="766"/>
      <c r="S131" s="766"/>
      <c r="T131" s="766"/>
      <c r="U131" s="757"/>
      <c r="V131" s="757"/>
      <c r="W131" s="757"/>
      <c r="X131" s="757"/>
      <c r="Y131" s="766"/>
      <c r="Z131" s="766"/>
      <c r="AA131" s="766"/>
      <c r="AB131" s="786"/>
      <c r="AC131" s="783">
        <f t="shared" si="9"/>
        <v>0</v>
      </c>
      <c r="AD131" s="784"/>
      <c r="AE131" s="784"/>
      <c r="AF131" s="785"/>
      <c r="AG131" s="340"/>
      <c r="AH131" s="353"/>
      <c r="AI131" s="353"/>
      <c r="AJ131" s="353"/>
      <c r="AK131" s="353"/>
      <c r="AL131" s="6"/>
      <c r="AM131" s="91"/>
      <c r="AN131" s="6"/>
      <c r="AO131" s="6"/>
      <c r="AP131" s="6"/>
      <c r="AQ131" s="6"/>
      <c r="AR131" s="254"/>
      <c r="AS131" s="254"/>
      <c r="AT131" s="254"/>
      <c r="AU131" s="254"/>
      <c r="AV131" s="254" t="str">
        <f>'Žádost o valuty'!Y131</f>
        <v>Německo</v>
      </c>
      <c r="AW131" s="254" t="str">
        <f>'Žádost o valuty'!Z131</f>
        <v>EUR</v>
      </c>
      <c r="AX131" s="254">
        <f>'Žádost o valuty'!AA131</f>
        <v>45</v>
      </c>
      <c r="AY131" s="254">
        <v>129</v>
      </c>
      <c r="AZ131" s="255"/>
      <c r="BA131" s="10"/>
    </row>
    <row r="132" spans="1:53" ht="12" customHeight="1" thickBot="1">
      <c r="A132" s="10"/>
      <c r="B132" s="90"/>
      <c r="C132" s="960"/>
      <c r="D132" s="961"/>
      <c r="E132" s="870"/>
      <c r="F132" s="870"/>
      <c r="G132" s="870"/>
      <c r="H132" s="870"/>
      <c r="I132" s="959"/>
      <c r="J132" s="959"/>
      <c r="K132" s="959"/>
      <c r="L132" s="959"/>
      <c r="M132" s="870"/>
      <c r="N132" s="870"/>
      <c r="O132" s="870"/>
      <c r="P132" s="870"/>
      <c r="Q132" s="959"/>
      <c r="R132" s="959"/>
      <c r="S132" s="959"/>
      <c r="T132" s="959"/>
      <c r="U132" s="870"/>
      <c r="V132" s="870"/>
      <c r="W132" s="870"/>
      <c r="X132" s="870"/>
      <c r="Y132" s="959"/>
      <c r="Z132" s="959"/>
      <c r="AA132" s="959"/>
      <c r="AB132" s="1100"/>
      <c r="AC132" s="1180">
        <f t="shared" si="9"/>
        <v>0</v>
      </c>
      <c r="AD132" s="1181"/>
      <c r="AE132" s="1181"/>
      <c r="AF132" s="1182"/>
      <c r="AG132" s="340"/>
      <c r="AH132" s="353"/>
      <c r="AI132" s="353"/>
      <c r="AJ132" s="353"/>
      <c r="AK132" s="353"/>
      <c r="AL132" s="3"/>
      <c r="AM132" s="3"/>
      <c r="AN132" s="3"/>
      <c r="AO132" s="3"/>
      <c r="AP132" s="3"/>
      <c r="AQ132" s="3"/>
      <c r="AR132" s="254"/>
      <c r="AS132" s="254"/>
      <c r="AT132" s="254"/>
      <c r="AU132" s="254"/>
      <c r="AV132" s="254" t="str">
        <f>'Žádost o valuty'!Y132</f>
        <v>Nepál </v>
      </c>
      <c r="AW132" s="254" t="str">
        <f>'Žádost o valuty'!Z132</f>
        <v>USD</v>
      </c>
      <c r="AX132" s="254">
        <f>'Žádost o valuty'!AA132</f>
        <v>50</v>
      </c>
      <c r="AY132" s="254">
        <v>130</v>
      </c>
      <c r="AZ132" s="255"/>
      <c r="BA132" s="10"/>
    </row>
    <row r="133" spans="1:53" ht="7.5" customHeight="1" thickBot="1">
      <c r="A133" s="10"/>
      <c r="B133" s="90"/>
      <c r="C133" s="1007"/>
      <c r="D133" s="1008"/>
      <c r="E133" s="1008"/>
      <c r="F133" s="1008"/>
      <c r="G133" s="1008"/>
      <c r="H133" s="1008"/>
      <c r="I133" s="1008"/>
      <c r="J133" s="1008"/>
      <c r="K133" s="1008"/>
      <c r="L133" s="1008"/>
      <c r="M133" s="1008"/>
      <c r="N133" s="1008"/>
      <c r="O133" s="1008"/>
      <c r="P133" s="1008"/>
      <c r="Q133" s="1008"/>
      <c r="R133" s="1008"/>
      <c r="S133" s="1008"/>
      <c r="T133" s="1008"/>
      <c r="U133" s="1008"/>
      <c r="V133" s="1008"/>
      <c r="W133" s="1008"/>
      <c r="X133" s="1008"/>
      <c r="Y133" s="1008"/>
      <c r="Z133" s="1008"/>
      <c r="AA133" s="1008"/>
      <c r="AB133" s="1008"/>
      <c r="AC133" s="1008"/>
      <c r="AD133" s="1008"/>
      <c r="AE133" s="1008"/>
      <c r="AF133" s="1009"/>
      <c r="AG133" s="313"/>
      <c r="AH133" s="313"/>
      <c r="AI133" s="313"/>
      <c r="AJ133" s="313"/>
      <c r="AK133" s="313"/>
      <c r="AL133" s="2"/>
      <c r="AM133" s="2"/>
      <c r="AN133" s="2"/>
      <c r="AO133" s="2"/>
      <c r="AP133" s="2"/>
      <c r="AQ133" s="2"/>
      <c r="AR133" s="254"/>
      <c r="AS133" s="254"/>
      <c r="AT133" s="254"/>
      <c r="AU133" s="254"/>
      <c r="AV133" s="254" t="str">
        <f>'Žádost o valuty'!Y133</f>
        <v>Niger </v>
      </c>
      <c r="AW133" s="254" t="str">
        <f>'Žádost o valuty'!Z133</f>
        <v>EUR</v>
      </c>
      <c r="AX133" s="254">
        <f>'Žádost o valuty'!AA133</f>
        <v>40</v>
      </c>
      <c r="AY133" s="254">
        <v>131</v>
      </c>
      <c r="AZ133" s="255"/>
      <c r="BA133" s="10"/>
    </row>
    <row r="134" spans="1:53" s="6" customFormat="1" ht="21" customHeight="1" thickBot="1">
      <c r="A134" s="15"/>
      <c r="B134" s="97"/>
      <c r="C134" s="1095" t="s">
        <v>488</v>
      </c>
      <c r="D134" s="1096"/>
      <c r="E134" s="1096"/>
      <c r="F134" s="1096"/>
      <c r="G134" s="1096"/>
      <c r="H134" s="1096"/>
      <c r="I134" s="1096"/>
      <c r="J134" s="1096"/>
      <c r="K134" s="1096"/>
      <c r="L134" s="1096"/>
      <c r="M134" s="1096"/>
      <c r="N134" s="1096"/>
      <c r="O134" s="1096"/>
      <c r="P134" s="1096"/>
      <c r="Q134" s="1096"/>
      <c r="R134" s="1096"/>
      <c r="S134" s="1096"/>
      <c r="T134" s="1096"/>
      <c r="U134" s="1096"/>
      <c r="V134" s="1096"/>
      <c r="W134" s="1096"/>
      <c r="X134" s="1096"/>
      <c r="Y134" s="1096"/>
      <c r="Z134" s="1096"/>
      <c r="AA134" s="1096"/>
      <c r="AB134" s="1096"/>
      <c r="AC134" s="1096"/>
      <c r="AD134" s="1096"/>
      <c r="AE134" s="1096"/>
      <c r="AF134" s="1097"/>
      <c r="AG134" s="316"/>
      <c r="AH134" s="316"/>
      <c r="AI134" s="316"/>
      <c r="AJ134" s="316"/>
      <c r="AK134" s="316"/>
      <c r="AL134" s="2"/>
      <c r="AM134" s="2"/>
      <c r="AN134" s="2"/>
      <c r="AO134" s="2"/>
      <c r="AP134" s="2"/>
      <c r="AQ134" s="2"/>
      <c r="AR134" s="254"/>
      <c r="AS134" s="254"/>
      <c r="AT134" s="254"/>
      <c r="AU134" s="254"/>
      <c r="AV134" s="254" t="str">
        <f>'Žádost o valuty'!Y134</f>
        <v>Nigérie </v>
      </c>
      <c r="AW134" s="254" t="str">
        <f>'Žádost o valuty'!Z134</f>
        <v>EUR</v>
      </c>
      <c r="AX134" s="254">
        <f>'Žádost o valuty'!AA134</f>
        <v>45</v>
      </c>
      <c r="AY134" s="254">
        <v>132</v>
      </c>
      <c r="AZ134" s="255"/>
      <c r="BA134" s="15"/>
    </row>
    <row r="135" spans="1:53" s="3" customFormat="1" ht="18" customHeight="1" thickBot="1">
      <c r="A135" s="12"/>
      <c r="B135" s="94"/>
      <c r="C135" s="1174" t="s">
        <v>57</v>
      </c>
      <c r="D135" s="1175"/>
      <c r="E135" s="1175"/>
      <c r="F135" s="1175"/>
      <c r="G135" s="1175"/>
      <c r="H135" s="1175"/>
      <c r="I135" s="1061" t="s">
        <v>26</v>
      </c>
      <c r="J135" s="1067"/>
      <c r="K135" s="1067"/>
      <c r="L135" s="1098"/>
      <c r="M135" s="1061" t="s">
        <v>47</v>
      </c>
      <c r="N135" s="1067"/>
      <c r="O135" s="1067"/>
      <c r="P135" s="1067"/>
      <c r="Q135" s="1098"/>
      <c r="R135" s="1061" t="s">
        <v>30</v>
      </c>
      <c r="S135" s="1067"/>
      <c r="T135" s="1067"/>
      <c r="U135" s="1067"/>
      <c r="V135" s="1098"/>
      <c r="W135" s="1061" t="s">
        <v>487</v>
      </c>
      <c r="X135" s="1067"/>
      <c r="Y135" s="1067"/>
      <c r="Z135" s="1099"/>
      <c r="AA135" s="1174" t="s">
        <v>44</v>
      </c>
      <c r="AB135" s="1175"/>
      <c r="AC135" s="1175"/>
      <c r="AD135" s="1175"/>
      <c r="AE135" s="1175"/>
      <c r="AF135" s="1176"/>
      <c r="AG135" s="319"/>
      <c r="AH135" s="319"/>
      <c r="AI135" s="319"/>
      <c r="AJ135" s="319"/>
      <c r="AK135" s="319"/>
      <c r="AL135" s="2"/>
      <c r="AM135" s="2"/>
      <c r="AN135" s="2"/>
      <c r="AO135" s="2"/>
      <c r="AP135" s="2"/>
      <c r="AQ135" s="2"/>
      <c r="AR135" s="254"/>
      <c r="AS135" s="254"/>
      <c r="AT135" s="254"/>
      <c r="AU135" s="254"/>
      <c r="AV135" s="254" t="str">
        <f>'Žádost o valuty'!Y135</f>
        <v>Nikaragua </v>
      </c>
      <c r="AW135" s="254" t="str">
        <f>'Žádost o valuty'!Z135</f>
        <v>USD</v>
      </c>
      <c r="AX135" s="254">
        <f>'Žádost o valuty'!AA135</f>
        <v>45</v>
      </c>
      <c r="AY135" s="254">
        <v>133</v>
      </c>
      <c r="AZ135" s="255"/>
      <c r="BA135" s="12"/>
    </row>
    <row r="136" spans="1:53" s="2" customFormat="1" ht="12" customHeight="1" thickTop="1">
      <c r="A136" s="13"/>
      <c r="B136" s="95"/>
      <c r="C136" s="1124" t="s">
        <v>9</v>
      </c>
      <c r="D136" s="1125"/>
      <c r="E136" s="1125"/>
      <c r="F136" s="1125"/>
      <c r="G136" s="1125"/>
      <c r="H136" s="1125"/>
      <c r="I136" s="1185">
        <f>U14</f>
        <v>0</v>
      </c>
      <c r="J136" s="1186"/>
      <c r="K136" s="1186"/>
      <c r="L136" s="1187"/>
      <c r="M136" s="1189"/>
      <c r="N136" s="1190"/>
      <c r="O136" s="1190"/>
      <c r="P136" s="1190"/>
      <c r="Q136" s="1191"/>
      <c r="R136" s="1185">
        <f>VLOOKUP($C136,C$124:AF$132,27,0)</f>
        <v>0</v>
      </c>
      <c r="S136" s="1186"/>
      <c r="T136" s="1186"/>
      <c r="U136" s="1186"/>
      <c r="V136" s="1187"/>
      <c r="W136" s="1185">
        <f>kc_celk</f>
        <v>0</v>
      </c>
      <c r="X136" s="1186"/>
      <c r="Y136" s="1186"/>
      <c r="Z136" s="1188"/>
      <c r="AA136" s="1177">
        <f aca="true" t="shared" si="10" ref="AA136:AA144">SUM(I136:Z136)</f>
        <v>0</v>
      </c>
      <c r="AB136" s="1178"/>
      <c r="AC136" s="1178"/>
      <c r="AD136" s="1178"/>
      <c r="AE136" s="1178"/>
      <c r="AF136" s="1179"/>
      <c r="AG136" s="321"/>
      <c r="AH136" s="321"/>
      <c r="AI136" s="321"/>
      <c r="AJ136" s="321"/>
      <c r="AK136" s="321"/>
      <c r="AR136" s="254"/>
      <c r="AS136" s="254"/>
      <c r="AT136" s="254"/>
      <c r="AU136" s="254"/>
      <c r="AV136" s="254" t="str">
        <f>'Žádost o valuty'!Y136</f>
        <v>Norsko </v>
      </c>
      <c r="AW136" s="254" t="str">
        <f>'Žádost o valuty'!Z136</f>
        <v>EUR</v>
      </c>
      <c r="AX136" s="254">
        <f>'Žádost o valuty'!AA136</f>
        <v>55</v>
      </c>
      <c r="AY136" s="254">
        <v>134</v>
      </c>
      <c r="AZ136" s="255"/>
      <c r="BA136" s="13"/>
    </row>
    <row r="137" spans="1:53" s="2" customFormat="1" ht="12" customHeight="1">
      <c r="A137" s="13"/>
      <c r="B137" s="95"/>
      <c r="C137" s="955" t="str">
        <f>C125</f>
        <v>EUR</v>
      </c>
      <c r="D137" s="956"/>
      <c r="E137" s="956"/>
      <c r="F137" s="956"/>
      <c r="G137" s="956"/>
      <c r="H137" s="956"/>
      <c r="I137" s="996">
        <f>SUMIF($J$31:$K$118,$C137,Z$31:Z$118)</f>
        <v>0</v>
      </c>
      <c r="J137" s="997"/>
      <c r="K137" s="997"/>
      <c r="L137" s="998"/>
      <c r="M137" s="996">
        <f>SUMIF($J$31:$K$118,$C137,W$31:Y$118)</f>
        <v>0</v>
      </c>
      <c r="N137" s="997"/>
      <c r="O137" s="997"/>
      <c r="P137" s="997"/>
      <c r="Q137" s="998"/>
      <c r="R137" s="996">
        <f>VLOOKUP($C137,C$124:AF$132,27,0)</f>
        <v>0</v>
      </c>
      <c r="S137" s="997"/>
      <c r="T137" s="997"/>
      <c r="U137" s="997"/>
      <c r="V137" s="998"/>
      <c r="W137" s="1192">
        <f>IF(ISERROR(HLOOKUP(C137,'Použití soukr.vozidla'!$P$33:$AA$39,5,FALSE)),"",HLOOKUP(C137,'Použití soukr.vozidla'!$P$33:$AA$39,5,FALSE))</f>
      </c>
      <c r="X137" s="1193"/>
      <c r="Y137" s="1193"/>
      <c r="Z137" s="1194"/>
      <c r="AA137" s="752">
        <f t="shared" si="10"/>
        <v>0</v>
      </c>
      <c r="AB137" s="753"/>
      <c r="AC137" s="753"/>
      <c r="AD137" s="753"/>
      <c r="AE137" s="753"/>
      <c r="AF137" s="754"/>
      <c r="AG137" s="321"/>
      <c r="AH137" s="321"/>
      <c r="AI137" s="321"/>
      <c r="AJ137" s="321"/>
      <c r="AK137" s="321"/>
      <c r="AR137" s="254"/>
      <c r="AS137" s="254"/>
      <c r="AT137" s="254"/>
      <c r="AU137" s="254"/>
      <c r="AV137" s="254" t="str">
        <f>'Žádost o valuty'!Y137</f>
        <v>Nový Zéland </v>
      </c>
      <c r="AW137" s="254" t="str">
        <f>'Žádost o valuty'!Z137</f>
        <v>USD</v>
      </c>
      <c r="AX137" s="254">
        <f>'Žádost o valuty'!AA137</f>
        <v>50</v>
      </c>
      <c r="AY137" s="254">
        <v>135</v>
      </c>
      <c r="AZ137" s="255"/>
      <c r="BA137" s="13"/>
    </row>
    <row r="138" spans="1:53" s="2" customFormat="1" ht="12" customHeight="1">
      <c r="A138" s="13"/>
      <c r="B138" s="95"/>
      <c r="C138" s="955" t="str">
        <f>C126</f>
        <v>USD</v>
      </c>
      <c r="D138" s="956"/>
      <c r="E138" s="956"/>
      <c r="F138" s="956"/>
      <c r="G138" s="956"/>
      <c r="H138" s="956"/>
      <c r="I138" s="996">
        <f>SUMIF($J$31:$K$118,$C138,Z$31:Z$118)</f>
        <v>0</v>
      </c>
      <c r="J138" s="997"/>
      <c r="K138" s="997"/>
      <c r="L138" s="998"/>
      <c r="M138" s="996">
        <f>SUMIF($J$31:$K$118,$C138,W$31:Y$118)</f>
        <v>0</v>
      </c>
      <c r="N138" s="997"/>
      <c r="O138" s="997"/>
      <c r="P138" s="997"/>
      <c r="Q138" s="998"/>
      <c r="R138" s="996">
        <f>VLOOKUP($C138,C$124:AF$132,27,0)</f>
        <v>0</v>
      </c>
      <c r="S138" s="997"/>
      <c r="T138" s="997"/>
      <c r="U138" s="997"/>
      <c r="V138" s="998"/>
      <c r="W138" s="1192">
        <f>IF(ISERROR(HLOOKUP(C138,'Použití soukr.vozidla'!$P$33:$AA$39,5,FALSE)),"",HLOOKUP(C138,'Použití soukr.vozidla'!$P$33:$AA$39,5,FALSE))</f>
      </c>
      <c r="X138" s="1193"/>
      <c r="Y138" s="1193"/>
      <c r="Z138" s="1194"/>
      <c r="AA138" s="752">
        <f t="shared" si="10"/>
        <v>0</v>
      </c>
      <c r="AB138" s="753"/>
      <c r="AC138" s="753"/>
      <c r="AD138" s="753"/>
      <c r="AE138" s="753"/>
      <c r="AF138" s="754"/>
      <c r="AG138" s="321"/>
      <c r="AH138" s="321"/>
      <c r="AI138" s="321"/>
      <c r="AJ138" s="321"/>
      <c r="AK138" s="321"/>
      <c r="AR138" s="254"/>
      <c r="AS138" s="254"/>
      <c r="AT138" s="254"/>
      <c r="AU138" s="254"/>
      <c r="AV138" s="254" t="str">
        <f>'Žádost o valuty'!Y138</f>
        <v>Oceánie-ostrovní státy</v>
      </c>
      <c r="AW138" s="254" t="str">
        <f>'Žádost o valuty'!Z138</f>
        <v>USD</v>
      </c>
      <c r="AX138" s="254">
        <f>'Žádost o valuty'!AA138</f>
        <v>50</v>
      </c>
      <c r="AY138" s="254">
        <v>136</v>
      </c>
      <c r="AZ138" s="255"/>
      <c r="BA138" s="13"/>
    </row>
    <row r="139" spans="1:53" s="2" customFormat="1" ht="12" customHeight="1">
      <c r="A139" s="13"/>
      <c r="B139" s="95"/>
      <c r="C139" s="761" t="str">
        <f>C127</f>
        <v>GBP</v>
      </c>
      <c r="D139" s="762"/>
      <c r="E139" s="762"/>
      <c r="F139" s="762"/>
      <c r="G139" s="762"/>
      <c r="H139" s="763"/>
      <c r="I139" s="996">
        <f>SUMIF($J$31:$K$118,$C139,Z$31:Z$118)</f>
        <v>0</v>
      </c>
      <c r="J139" s="997"/>
      <c r="K139" s="997"/>
      <c r="L139" s="998"/>
      <c r="M139" s="996">
        <f>SUMIF($J$31:$K$118,$C139,W$31:Y$118)</f>
        <v>0</v>
      </c>
      <c r="N139" s="997"/>
      <c r="O139" s="997"/>
      <c r="P139" s="997"/>
      <c r="Q139" s="998"/>
      <c r="R139" s="996">
        <f>VLOOKUP($C139,C$124:AF$132,27,0)</f>
        <v>0</v>
      </c>
      <c r="S139" s="997"/>
      <c r="T139" s="997"/>
      <c r="U139" s="997"/>
      <c r="V139" s="998"/>
      <c r="W139" s="1192">
        <f>IF(ISERROR(HLOOKUP(C139,'Použití soukr.vozidla'!$P$33:$AA$39,5,FALSE)),"",HLOOKUP(C139,'Použití soukr.vozidla'!$P$33:$AA$39,5,FALSE))</f>
      </c>
      <c r="X139" s="1193"/>
      <c r="Y139" s="1193"/>
      <c r="Z139" s="1194"/>
      <c r="AA139" s="752">
        <f t="shared" si="10"/>
        <v>0</v>
      </c>
      <c r="AB139" s="753"/>
      <c r="AC139" s="753"/>
      <c r="AD139" s="753"/>
      <c r="AE139" s="753"/>
      <c r="AF139" s="754"/>
      <c r="AG139" s="321"/>
      <c r="AH139" s="321"/>
      <c r="AI139" s="321"/>
      <c r="AJ139" s="321"/>
      <c r="AK139" s="321"/>
      <c r="AR139" s="254"/>
      <c r="AS139" s="254"/>
      <c r="AT139" s="254"/>
      <c r="AU139" s="254"/>
      <c r="AV139" s="254" t="str">
        <f>'Žádost o valuty'!Y139</f>
        <v>Omán </v>
      </c>
      <c r="AW139" s="254" t="str">
        <f>'Žádost o valuty'!Z139</f>
        <v>EUR</v>
      </c>
      <c r="AX139" s="254">
        <f>'Žádost o valuty'!AA139</f>
        <v>40</v>
      </c>
      <c r="AY139" s="254">
        <v>137</v>
      </c>
      <c r="AZ139" s="255"/>
      <c r="BA139" s="13"/>
    </row>
    <row r="140" spans="1:53" s="2" customFormat="1" ht="12" customHeight="1">
      <c r="A140" s="13"/>
      <c r="B140" s="95"/>
      <c r="C140" s="761" t="str">
        <f>C128</f>
        <v>CHF</v>
      </c>
      <c r="D140" s="762"/>
      <c r="E140" s="762"/>
      <c r="F140" s="762"/>
      <c r="G140" s="762"/>
      <c r="H140" s="763"/>
      <c r="I140" s="996">
        <f>SUMIF($J$31:$K$118,$C140,Z$31:Z$118)</f>
        <v>0</v>
      </c>
      <c r="J140" s="997"/>
      <c r="K140" s="997"/>
      <c r="L140" s="998"/>
      <c r="M140" s="996">
        <f>SUMIF($J$31:$K$118,$C140,W$31:Y$118)</f>
        <v>0</v>
      </c>
      <c r="N140" s="997"/>
      <c r="O140" s="997"/>
      <c r="P140" s="997"/>
      <c r="Q140" s="998"/>
      <c r="R140" s="996">
        <f>VLOOKUP($C140,C$124:AF$132,27,0)</f>
        <v>0</v>
      </c>
      <c r="S140" s="997"/>
      <c r="T140" s="997"/>
      <c r="U140" s="997"/>
      <c r="V140" s="998"/>
      <c r="W140" s="1192">
        <f>IF(ISERROR(HLOOKUP(C140,'Použití soukr.vozidla'!$P$33:$AA$39,5,FALSE)),"",HLOOKUP(C140,'Použití soukr.vozidla'!$P$33:$AA$39,5,FALSE))</f>
      </c>
      <c r="X140" s="1193"/>
      <c r="Y140" s="1193"/>
      <c r="Z140" s="1194"/>
      <c r="AA140" s="752">
        <f t="shared" si="10"/>
        <v>0</v>
      </c>
      <c r="AB140" s="753"/>
      <c r="AC140" s="753"/>
      <c r="AD140" s="753"/>
      <c r="AE140" s="753"/>
      <c r="AF140" s="754"/>
      <c r="AG140" s="321"/>
      <c r="AH140" s="321"/>
      <c r="AI140" s="321"/>
      <c r="AJ140" s="321"/>
      <c r="AK140" s="321"/>
      <c r="AR140" s="254"/>
      <c r="AS140" s="254"/>
      <c r="AT140" s="254"/>
      <c r="AU140" s="254"/>
      <c r="AV140" s="254" t="str">
        <f>'Žádost o valuty'!Y140</f>
        <v>Pákistán </v>
      </c>
      <c r="AW140" s="254" t="str">
        <f>'Žádost o valuty'!Z140</f>
        <v>EUR</v>
      </c>
      <c r="AX140" s="254">
        <f>'Žádost o valuty'!AA140</f>
        <v>35</v>
      </c>
      <c r="AY140" s="254">
        <v>138</v>
      </c>
      <c r="AZ140" s="256"/>
      <c r="BA140" s="13"/>
    </row>
    <row r="141" spans="1:53" s="2" customFormat="1" ht="12" customHeight="1">
      <c r="A141" s="13"/>
      <c r="B141" s="95"/>
      <c r="C141" s="758">
        <f>IF(C129="","",C129)</f>
      </c>
      <c r="D141" s="759"/>
      <c r="E141" s="759"/>
      <c r="F141" s="759"/>
      <c r="G141" s="759"/>
      <c r="H141" s="760"/>
      <c r="I141" s="988"/>
      <c r="J141" s="989"/>
      <c r="K141" s="989"/>
      <c r="L141" s="990"/>
      <c r="M141" s="988"/>
      <c r="N141" s="989"/>
      <c r="O141" s="989"/>
      <c r="P141" s="989"/>
      <c r="Q141" s="990"/>
      <c r="R141" s="996">
        <f>IF(ISERROR(VLOOKUP($C141,C$124:AF$132,27,0)),"",VLOOKUP($C141,C$124:AF$132,27,0))</f>
      </c>
      <c r="S141" s="997"/>
      <c r="T141" s="997"/>
      <c r="U141" s="997"/>
      <c r="V141" s="997"/>
      <c r="W141" s="1192">
        <f>IF(ISERROR(HLOOKUP(C141,'Použití soukr.vozidla'!$P$33:$AA$39,5,FALSE)),"",HLOOKUP(C141,'Použití soukr.vozidla'!$P$33:$AA$39,5,FALSE))</f>
      </c>
      <c r="X141" s="1193"/>
      <c r="Y141" s="1193"/>
      <c r="Z141" s="1194"/>
      <c r="AA141" s="752">
        <f>SUM(I141:Z141)</f>
        <v>0</v>
      </c>
      <c r="AB141" s="753"/>
      <c r="AC141" s="753"/>
      <c r="AD141" s="753"/>
      <c r="AE141" s="753"/>
      <c r="AF141" s="754"/>
      <c r="AG141" s="321"/>
      <c r="AH141" s="321"/>
      <c r="AI141" s="321"/>
      <c r="AJ141" s="321"/>
      <c r="AK141" s="321"/>
      <c r="AL141" s="293"/>
      <c r="AM141" s="293"/>
      <c r="AN141" s="293"/>
      <c r="AO141" s="293"/>
      <c r="AP141" s="293"/>
      <c r="AQ141" s="293"/>
      <c r="AR141" s="254"/>
      <c r="AS141" s="254"/>
      <c r="AT141" s="254"/>
      <c r="AU141" s="254"/>
      <c r="AV141" s="254" t="str">
        <f>'Žádost o valuty'!Y141</f>
        <v>Panama </v>
      </c>
      <c r="AW141" s="254" t="str">
        <f>'Žádost o valuty'!Z141</f>
        <v>USD</v>
      </c>
      <c r="AX141" s="254">
        <f>'Žádost o valuty'!AA141</f>
        <v>45</v>
      </c>
      <c r="AY141" s="254">
        <v>139</v>
      </c>
      <c r="AZ141" s="255"/>
      <c r="BA141" s="13"/>
    </row>
    <row r="142" spans="1:53" s="2" customFormat="1" ht="12" customHeight="1">
      <c r="A142" s="13"/>
      <c r="B142" s="95"/>
      <c r="C142" s="758">
        <f>IF(C130="","",C130)</f>
      </c>
      <c r="D142" s="759"/>
      <c r="E142" s="759"/>
      <c r="F142" s="759"/>
      <c r="G142" s="759"/>
      <c r="H142" s="760"/>
      <c r="I142" s="988"/>
      <c r="J142" s="989"/>
      <c r="K142" s="989"/>
      <c r="L142" s="990"/>
      <c r="M142" s="988"/>
      <c r="N142" s="989"/>
      <c r="O142" s="989"/>
      <c r="P142" s="989"/>
      <c r="Q142" s="990"/>
      <c r="R142" s="996">
        <f>IF(ISERROR(VLOOKUP($C142,C$124:AF$132,27,0)),"",VLOOKUP($C142,C$124:AF$132,27,0))</f>
      </c>
      <c r="S142" s="997"/>
      <c r="T142" s="997"/>
      <c r="U142" s="997"/>
      <c r="V142" s="997"/>
      <c r="W142" s="1192">
        <f>IF(ISERROR(HLOOKUP(C142,'Použití soukr.vozidla'!$P$33:$AA$39,5,FALSE)),"",HLOOKUP(C142,'Použití soukr.vozidla'!$P$33:$AA$39,5,FALSE))</f>
      </c>
      <c r="X142" s="1193"/>
      <c r="Y142" s="1193"/>
      <c r="Z142" s="1194"/>
      <c r="AA142" s="752">
        <f>SUM(I142:Z142)</f>
        <v>0</v>
      </c>
      <c r="AB142" s="753"/>
      <c r="AC142" s="753"/>
      <c r="AD142" s="753"/>
      <c r="AE142" s="753"/>
      <c r="AF142" s="754"/>
      <c r="AG142" s="321"/>
      <c r="AH142" s="321"/>
      <c r="AI142" s="321"/>
      <c r="AJ142" s="321"/>
      <c r="AK142" s="321"/>
      <c r="AL142" s="293"/>
      <c r="AM142" s="293"/>
      <c r="AN142" s="293"/>
      <c r="AO142" s="293"/>
      <c r="AP142" s="293"/>
      <c r="AQ142" s="293"/>
      <c r="AR142" s="254"/>
      <c r="AS142" s="254"/>
      <c r="AT142" s="254"/>
      <c r="AU142" s="254"/>
      <c r="AV142" s="254" t="str">
        <f>'Žádost o valuty'!Y142</f>
        <v>Papua-Nová Guinea </v>
      </c>
      <c r="AW142" s="254" t="str">
        <f>'Žádost o valuty'!Z142</f>
        <v>USD</v>
      </c>
      <c r="AX142" s="254">
        <f>'Žádost o valuty'!AA142</f>
        <v>50</v>
      </c>
      <c r="AY142" s="254">
        <v>140</v>
      </c>
      <c r="AZ142" s="255"/>
      <c r="BA142" s="13"/>
    </row>
    <row r="143" spans="1:53" s="2" customFormat="1" ht="12" customHeight="1">
      <c r="A143" s="13"/>
      <c r="B143" s="95"/>
      <c r="C143" s="758">
        <f>IF(C131="","",C131)</f>
      </c>
      <c r="D143" s="759"/>
      <c r="E143" s="759"/>
      <c r="F143" s="759"/>
      <c r="G143" s="759"/>
      <c r="H143" s="760"/>
      <c r="I143" s="988"/>
      <c r="J143" s="989"/>
      <c r="K143" s="989"/>
      <c r="L143" s="990"/>
      <c r="M143" s="988"/>
      <c r="N143" s="989"/>
      <c r="O143" s="989"/>
      <c r="P143" s="989"/>
      <c r="Q143" s="990"/>
      <c r="R143" s="996">
        <f>IF(ISERROR(VLOOKUP($C143,C$124:AF$132,27,0)),"",VLOOKUP($C143,C$124:AF$132,27,0))</f>
      </c>
      <c r="S143" s="997"/>
      <c r="T143" s="997"/>
      <c r="U143" s="997"/>
      <c r="V143" s="997"/>
      <c r="W143" s="1192">
        <f>IF(ISERROR(HLOOKUP(C143,'Použití soukr.vozidla'!$P$33:$AA$39,5,FALSE)),"",HLOOKUP(C143,'Použití soukr.vozidla'!$P$33:$AA$39,5,FALSE))</f>
      </c>
      <c r="X143" s="1193"/>
      <c r="Y143" s="1193"/>
      <c r="Z143" s="1194"/>
      <c r="AA143" s="752">
        <f>SUM(I143:Z143)</f>
        <v>0</v>
      </c>
      <c r="AB143" s="753"/>
      <c r="AC143" s="753"/>
      <c r="AD143" s="753"/>
      <c r="AE143" s="753"/>
      <c r="AF143" s="754"/>
      <c r="AG143" s="321"/>
      <c r="AH143" s="321"/>
      <c r="AI143" s="321"/>
      <c r="AJ143" s="321"/>
      <c r="AK143" s="321"/>
      <c r="AL143" s="293"/>
      <c r="AM143" s="293"/>
      <c r="AN143" s="293"/>
      <c r="AO143" s="293"/>
      <c r="AP143" s="293"/>
      <c r="AQ143" s="293"/>
      <c r="AR143" s="254"/>
      <c r="AS143" s="254"/>
      <c r="AT143" s="254"/>
      <c r="AU143" s="254"/>
      <c r="AV143" s="254" t="str">
        <f>'Žádost o valuty'!Y143</f>
        <v>Paraguay </v>
      </c>
      <c r="AW143" s="254" t="str">
        <f>'Žádost o valuty'!Z143</f>
        <v>USD</v>
      </c>
      <c r="AX143" s="254">
        <f>'Žádost o valuty'!AA143</f>
        <v>45</v>
      </c>
      <c r="AY143" s="254">
        <v>141</v>
      </c>
      <c r="AZ143" s="256"/>
      <c r="BA143" s="13"/>
    </row>
    <row r="144" spans="1:53" s="2" customFormat="1" ht="12" customHeight="1" thickBot="1">
      <c r="A144" s="13"/>
      <c r="B144" s="95"/>
      <c r="C144" s="1127">
        <f>IF(C132="","",C132)</f>
      </c>
      <c r="D144" s="1128"/>
      <c r="E144" s="1128"/>
      <c r="F144" s="1128"/>
      <c r="G144" s="1128"/>
      <c r="H144" s="1129"/>
      <c r="I144" s="993"/>
      <c r="J144" s="994"/>
      <c r="K144" s="994"/>
      <c r="L144" s="995"/>
      <c r="M144" s="993"/>
      <c r="N144" s="994"/>
      <c r="O144" s="994"/>
      <c r="P144" s="994"/>
      <c r="Q144" s="995"/>
      <c r="R144" s="1134">
        <f>IF(ISERROR(VLOOKUP($C144,C$124:AF$132,27,0)),"",VLOOKUP($C144,C$124:AF$132,27,0))</f>
      </c>
      <c r="S144" s="1135"/>
      <c r="T144" s="1135"/>
      <c r="U144" s="1135"/>
      <c r="V144" s="1135"/>
      <c r="W144" s="1192">
        <f>IF(ISERROR(HLOOKUP(C144,'Použití soukr.vozidla'!$P$33:$AA$39,5,FALSE)),"",HLOOKUP(C144,'Použití soukr.vozidla'!$P$33:$AA$39,5,FALSE))</f>
      </c>
      <c r="X144" s="1193"/>
      <c r="Y144" s="1193"/>
      <c r="Z144" s="1194"/>
      <c r="AA144" s="1130">
        <f t="shared" si="10"/>
        <v>0</v>
      </c>
      <c r="AB144" s="1131"/>
      <c r="AC144" s="1131"/>
      <c r="AD144" s="1131"/>
      <c r="AE144" s="1131"/>
      <c r="AF144" s="1132"/>
      <c r="AG144" s="321"/>
      <c r="AH144" s="321"/>
      <c r="AI144" s="321"/>
      <c r="AJ144" s="321"/>
      <c r="AK144" s="321"/>
      <c r="AL144" s="1"/>
      <c r="AM144" s="1"/>
      <c r="AN144" s="1"/>
      <c r="AO144" s="1"/>
      <c r="AP144" s="1"/>
      <c r="AQ144" s="1"/>
      <c r="AR144" s="294"/>
      <c r="AS144" s="294"/>
      <c r="AT144" s="294"/>
      <c r="AU144" s="294"/>
      <c r="AV144" s="254" t="str">
        <f>'Žádost o valuty'!Y144</f>
        <v>Peru </v>
      </c>
      <c r="AW144" s="254" t="str">
        <f>'Žádost o valuty'!Z144</f>
        <v>USD</v>
      </c>
      <c r="AX144" s="254">
        <f>'Žádost o valuty'!AA144</f>
        <v>50</v>
      </c>
      <c r="AY144" s="254">
        <v>142</v>
      </c>
      <c r="AZ144" s="255"/>
      <c r="BA144" s="13"/>
    </row>
    <row r="145" spans="1:53" s="2" customFormat="1" ht="6" customHeight="1">
      <c r="A145" s="13"/>
      <c r="B145" s="292"/>
      <c r="C145" s="962"/>
      <c r="D145" s="962"/>
      <c r="E145" s="962"/>
      <c r="F145" s="962"/>
      <c r="G145" s="962"/>
      <c r="H145" s="962"/>
      <c r="I145" s="962"/>
      <c r="J145" s="962"/>
      <c r="K145" s="962"/>
      <c r="L145" s="962"/>
      <c r="M145" s="962"/>
      <c r="N145" s="962"/>
      <c r="O145" s="962"/>
      <c r="P145" s="962"/>
      <c r="Q145" s="962"/>
      <c r="R145" s="962"/>
      <c r="S145" s="962"/>
      <c r="T145" s="962"/>
      <c r="U145" s="962"/>
      <c r="V145" s="962"/>
      <c r="W145" s="962"/>
      <c r="X145" s="962"/>
      <c r="Y145" s="962"/>
      <c r="Z145" s="962"/>
      <c r="AA145" s="962"/>
      <c r="AB145" s="962"/>
      <c r="AC145" s="962"/>
      <c r="AD145" s="962"/>
      <c r="AE145" s="962"/>
      <c r="AF145" s="962"/>
      <c r="AG145" s="322"/>
      <c r="AH145" s="322"/>
      <c r="AI145" s="322"/>
      <c r="AJ145" s="322"/>
      <c r="AK145" s="322"/>
      <c r="AL145" s="293"/>
      <c r="AM145" s="293"/>
      <c r="AN145" s="293"/>
      <c r="AO145" s="293"/>
      <c r="AP145" s="293"/>
      <c r="AQ145" s="293"/>
      <c r="AR145" s="294"/>
      <c r="AS145" s="294"/>
      <c r="AT145" s="294"/>
      <c r="AU145" s="294"/>
      <c r="AV145" s="254" t="str">
        <f>'Žádost o valuty'!Y145</f>
        <v>Pobřeží slonoviny </v>
      </c>
      <c r="AW145" s="254" t="str">
        <f>'Žádost o valuty'!Z145</f>
        <v>EUR</v>
      </c>
      <c r="AX145" s="254">
        <f>'Žádost o valuty'!AA145</f>
        <v>40</v>
      </c>
      <c r="AY145" s="254">
        <v>143</v>
      </c>
      <c r="AZ145" s="295"/>
      <c r="BA145" s="13"/>
    </row>
    <row r="146" spans="1:53" s="2" customFormat="1" ht="12.75" customHeight="1">
      <c r="A146" s="13"/>
      <c r="B146" s="292"/>
      <c r="C146" s="984" t="s">
        <v>455</v>
      </c>
      <c r="D146" s="984"/>
      <c r="E146" s="984"/>
      <c r="F146" s="984"/>
      <c r="G146" s="984"/>
      <c r="H146" s="984"/>
      <c r="I146" s="984"/>
      <c r="J146" s="984"/>
      <c r="K146" s="984"/>
      <c r="L146" s="984"/>
      <c r="M146" s="984"/>
      <c r="N146" s="984"/>
      <c r="O146" s="984"/>
      <c r="P146" s="984"/>
      <c r="Q146" s="984"/>
      <c r="R146" s="984"/>
      <c r="S146" s="984"/>
      <c r="T146" s="984"/>
      <c r="U146" s="984"/>
      <c r="V146" s="984"/>
      <c r="W146" s="984"/>
      <c r="X146" s="984"/>
      <c r="Y146" s="984"/>
      <c r="Z146" s="984"/>
      <c r="AA146" s="984"/>
      <c r="AB146" s="984"/>
      <c r="AC146" s="984"/>
      <c r="AD146" s="984"/>
      <c r="AE146" s="984"/>
      <c r="AF146" s="984"/>
      <c r="AG146" s="311"/>
      <c r="AH146" s="311"/>
      <c r="AI146" s="311"/>
      <c r="AJ146" s="311"/>
      <c r="AK146" s="311"/>
      <c r="AL146" s="1"/>
      <c r="AM146" s="1"/>
      <c r="AN146" s="1"/>
      <c r="AO146" s="1"/>
      <c r="AP146" s="1"/>
      <c r="AQ146" s="1"/>
      <c r="AR146" s="254"/>
      <c r="AS146" s="254"/>
      <c r="AT146" s="254"/>
      <c r="AU146" s="254"/>
      <c r="AV146" s="254" t="str">
        <f>'Žádost o valuty'!Y146</f>
        <v>Polsko </v>
      </c>
      <c r="AW146" s="254" t="str">
        <f>'Žádost o valuty'!Z146</f>
        <v>EUR</v>
      </c>
      <c r="AX146" s="254">
        <f>'Žádost o valuty'!AA146</f>
        <v>35</v>
      </c>
      <c r="AY146" s="254">
        <v>144</v>
      </c>
      <c r="AZ146" s="295"/>
      <c r="BA146" s="13"/>
    </row>
    <row r="147" spans="1:53" ht="3.75" customHeight="1">
      <c r="A147" s="10"/>
      <c r="B147" s="90"/>
      <c r="C147" s="971"/>
      <c r="D147" s="971"/>
      <c r="E147" s="971"/>
      <c r="F147" s="971"/>
      <c r="G147" s="971"/>
      <c r="H147" s="971"/>
      <c r="I147" s="971"/>
      <c r="J147" s="971"/>
      <c r="K147" s="971"/>
      <c r="L147" s="971"/>
      <c r="M147" s="971"/>
      <c r="N147" s="971"/>
      <c r="O147" s="971"/>
      <c r="P147" s="971"/>
      <c r="Q147" s="971"/>
      <c r="R147" s="971"/>
      <c r="S147" s="971"/>
      <c r="T147" s="971"/>
      <c r="U147" s="971"/>
      <c r="V147" s="971"/>
      <c r="W147" s="971"/>
      <c r="X147" s="971"/>
      <c r="Y147" s="971"/>
      <c r="Z147" s="971"/>
      <c r="AA147" s="971"/>
      <c r="AB147" s="971"/>
      <c r="AC147" s="971"/>
      <c r="AD147" s="971"/>
      <c r="AE147" s="971"/>
      <c r="AF147" s="971"/>
      <c r="AG147" s="306"/>
      <c r="AH147" s="306"/>
      <c r="AI147" s="306"/>
      <c r="AJ147" s="306"/>
      <c r="AK147" s="306"/>
      <c r="AR147" s="294"/>
      <c r="AS147" s="294"/>
      <c r="AT147" s="294"/>
      <c r="AU147" s="294"/>
      <c r="AV147" s="254" t="str">
        <f>'Žádost o valuty'!Y147</f>
        <v>Portoriko </v>
      </c>
      <c r="AW147" s="254" t="str">
        <f>'Žádost o valuty'!Z147</f>
        <v>USD</v>
      </c>
      <c r="AX147" s="254">
        <f>'Žádost o valuty'!AA147</f>
        <v>55</v>
      </c>
      <c r="AY147" s="254">
        <v>145</v>
      </c>
      <c r="AZ147" s="255"/>
      <c r="BA147" s="10"/>
    </row>
    <row r="148" spans="1:53" s="2" customFormat="1" ht="21.75" customHeight="1">
      <c r="A148" s="13"/>
      <c r="B148" s="292"/>
      <c r="C148" s="1133" t="s">
        <v>456</v>
      </c>
      <c r="D148" s="984"/>
      <c r="E148" s="984"/>
      <c r="F148" s="984"/>
      <c r="G148" s="984"/>
      <c r="H148" s="984"/>
      <c r="I148" s="984"/>
      <c r="J148" s="984"/>
      <c r="K148" s="984"/>
      <c r="L148" s="984"/>
      <c r="M148" s="984"/>
      <c r="N148" s="984"/>
      <c r="O148" s="984"/>
      <c r="P148" s="984"/>
      <c r="Q148" s="984"/>
      <c r="R148" s="984"/>
      <c r="S148" s="984"/>
      <c r="T148" s="984"/>
      <c r="U148" s="984"/>
      <c r="V148" s="984"/>
      <c r="W148" s="984"/>
      <c r="X148" s="984"/>
      <c r="Y148" s="984"/>
      <c r="Z148" s="984"/>
      <c r="AA148" s="984"/>
      <c r="AB148" s="984"/>
      <c r="AC148" s="984"/>
      <c r="AD148" s="984"/>
      <c r="AE148" s="984"/>
      <c r="AF148" s="984"/>
      <c r="AG148" s="311"/>
      <c r="AH148" s="311"/>
      <c r="AI148" s="311"/>
      <c r="AJ148" s="311"/>
      <c r="AK148" s="311"/>
      <c r="AL148" s="1"/>
      <c r="AM148" s="1"/>
      <c r="AN148" s="1"/>
      <c r="AO148" s="1"/>
      <c r="AP148" s="1"/>
      <c r="AQ148" s="1"/>
      <c r="AR148" s="254"/>
      <c r="AS148" s="254"/>
      <c r="AT148" s="254"/>
      <c r="AU148" s="254"/>
      <c r="AV148" s="254" t="str">
        <f>'Žádost o valuty'!Y148</f>
        <v>Portugalsko+Azory </v>
      </c>
      <c r="AW148" s="254" t="str">
        <f>'Žádost o valuty'!Z148</f>
        <v>EUR</v>
      </c>
      <c r="AX148" s="254">
        <f>'Žádost o valuty'!AA148</f>
        <v>40</v>
      </c>
      <c r="AY148" s="254">
        <v>146</v>
      </c>
      <c r="AZ148" s="295"/>
      <c r="BA148" s="13"/>
    </row>
    <row r="149" spans="1:53" ht="3.75" customHeight="1">
      <c r="A149" s="10"/>
      <c r="B149" s="90"/>
      <c r="C149" s="971"/>
      <c r="D149" s="971"/>
      <c r="E149" s="971"/>
      <c r="F149" s="971"/>
      <c r="G149" s="971"/>
      <c r="H149" s="971"/>
      <c r="I149" s="971"/>
      <c r="J149" s="971"/>
      <c r="K149" s="971"/>
      <c r="L149" s="971"/>
      <c r="M149" s="971"/>
      <c r="N149" s="971"/>
      <c r="O149" s="971"/>
      <c r="P149" s="971"/>
      <c r="Q149" s="971"/>
      <c r="R149" s="971"/>
      <c r="S149" s="971"/>
      <c r="T149" s="971"/>
      <c r="U149" s="971"/>
      <c r="V149" s="971"/>
      <c r="W149" s="971"/>
      <c r="X149" s="971"/>
      <c r="Y149" s="971"/>
      <c r="Z149" s="971"/>
      <c r="AA149" s="971"/>
      <c r="AB149" s="971"/>
      <c r="AC149" s="971"/>
      <c r="AD149" s="971"/>
      <c r="AE149" s="971"/>
      <c r="AF149" s="971"/>
      <c r="AG149" s="306"/>
      <c r="AH149" s="306"/>
      <c r="AI149" s="306"/>
      <c r="AJ149" s="306"/>
      <c r="AK149" s="306"/>
      <c r="AL149" s="5"/>
      <c r="AM149" s="5"/>
      <c r="AN149" s="5"/>
      <c r="AO149" s="5"/>
      <c r="AP149" s="5"/>
      <c r="AQ149" s="5"/>
      <c r="AR149" s="254"/>
      <c r="AS149" s="254"/>
      <c r="AT149" s="254"/>
      <c r="AU149" s="254"/>
      <c r="AV149" s="254" t="str">
        <f>'Žádost o valuty'!Y149</f>
        <v>Rakousko </v>
      </c>
      <c r="AW149" s="254" t="str">
        <f>'Žádost o valuty'!Z149</f>
        <v>EUR</v>
      </c>
      <c r="AX149" s="254">
        <f>'Žádost o valuty'!AA149</f>
        <v>45</v>
      </c>
      <c r="AY149" s="254">
        <v>147</v>
      </c>
      <c r="AZ149" s="255"/>
      <c r="BA149" s="10"/>
    </row>
    <row r="150" spans="1:53" ht="18" customHeight="1">
      <c r="A150" s="10"/>
      <c r="B150" s="90"/>
      <c r="C150" s="977" t="s">
        <v>48</v>
      </c>
      <c r="D150" s="977"/>
      <c r="E150" s="977"/>
      <c r="F150" s="977"/>
      <c r="G150" s="977"/>
      <c r="H150" s="977"/>
      <c r="I150" s="977"/>
      <c r="J150" s="977"/>
      <c r="K150" s="977"/>
      <c r="L150" s="977"/>
      <c r="M150" s="977"/>
      <c r="N150" s="977"/>
      <c r="O150" s="977"/>
      <c r="P150" s="977"/>
      <c r="Q150" s="970"/>
      <c r="R150" s="606"/>
      <c r="S150" s="606"/>
      <c r="T150" s="606"/>
      <c r="U150" s="606"/>
      <c r="V150" s="606"/>
      <c r="W150" s="626"/>
      <c r="X150" s="626"/>
      <c r="Y150" s="626"/>
      <c r="Z150" s="626"/>
      <c r="AA150" s="626"/>
      <c r="AB150" s="626"/>
      <c r="AC150" s="626"/>
      <c r="AD150" s="626"/>
      <c r="AE150" s="626"/>
      <c r="AF150" s="626"/>
      <c r="AG150" s="89"/>
      <c r="AH150" s="89"/>
      <c r="AI150" s="89"/>
      <c r="AJ150" s="89"/>
      <c r="AK150" s="89"/>
      <c r="AR150" s="254"/>
      <c r="AS150" s="254"/>
      <c r="AT150" s="254"/>
      <c r="AU150" s="254"/>
      <c r="AV150" s="254" t="str">
        <f>'Žádost o valuty'!Y150</f>
        <v>Rovníková Guinea</v>
      </c>
      <c r="AW150" s="254" t="str">
        <f>'Žádost o valuty'!Z150</f>
        <v>EUR</v>
      </c>
      <c r="AX150" s="254">
        <f>'Žádost o valuty'!AA150</f>
        <v>40</v>
      </c>
      <c r="AY150" s="254">
        <v>148</v>
      </c>
      <c r="AZ150" s="255"/>
      <c r="BA150" s="10"/>
    </row>
    <row r="151" spans="1:53" ht="3.75" customHeight="1">
      <c r="A151" s="10"/>
      <c r="B151" s="90"/>
      <c r="C151" s="626"/>
      <c r="D151" s="626"/>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89"/>
      <c r="AH151" s="89"/>
      <c r="AI151" s="89"/>
      <c r="AJ151" s="89"/>
      <c r="AK151" s="89"/>
      <c r="AR151" s="254"/>
      <c r="AS151" s="254"/>
      <c r="AT151" s="254"/>
      <c r="AU151" s="254"/>
      <c r="AV151" s="254" t="str">
        <f>'Žádost o valuty'!Y151</f>
        <v>Rumunsko</v>
      </c>
      <c r="AW151" s="254" t="str">
        <f>'Žádost o valuty'!Z151</f>
        <v>EUR</v>
      </c>
      <c r="AX151" s="254">
        <f>'Žádost o valuty'!AA151</f>
        <v>35</v>
      </c>
      <c r="AY151" s="254">
        <v>149</v>
      </c>
      <c r="AZ151" s="255"/>
      <c r="BA151" s="10"/>
    </row>
    <row r="152" spans="1:53" s="5" customFormat="1" ht="13.5" customHeight="1">
      <c r="A152" s="16"/>
      <c r="B152" s="98"/>
      <c r="C152" s="992" t="s">
        <v>49</v>
      </c>
      <c r="D152" s="992"/>
      <c r="E152" s="992"/>
      <c r="F152" s="992"/>
      <c r="G152" s="992"/>
      <c r="H152" s="992"/>
      <c r="I152" s="992"/>
      <c r="J152" s="992"/>
      <c r="K152" s="992"/>
      <c r="L152" s="992"/>
      <c r="M152" s="992"/>
      <c r="N152" s="992"/>
      <c r="O152" s="992"/>
      <c r="P152" s="992"/>
      <c r="Q152" s="992"/>
      <c r="R152" s="992"/>
      <c r="S152" s="992"/>
      <c r="T152" s="992"/>
      <c r="U152" s="992"/>
      <c r="V152" s="992"/>
      <c r="W152" s="992"/>
      <c r="X152" s="992"/>
      <c r="Y152" s="992"/>
      <c r="Z152" s="992"/>
      <c r="AA152" s="992"/>
      <c r="AB152" s="992"/>
      <c r="AC152" s="992"/>
      <c r="AD152" s="992"/>
      <c r="AE152" s="992"/>
      <c r="AF152" s="992"/>
      <c r="AG152" s="312"/>
      <c r="AH152" s="312"/>
      <c r="AI152" s="312"/>
      <c r="AJ152" s="312"/>
      <c r="AK152" s="312"/>
      <c r="AL152" s="1"/>
      <c r="AM152" s="1"/>
      <c r="AN152" s="1"/>
      <c r="AO152" s="1"/>
      <c r="AP152" s="1"/>
      <c r="AQ152" s="1"/>
      <c r="AR152" s="254"/>
      <c r="AS152" s="254"/>
      <c r="AT152" s="254"/>
      <c r="AU152" s="254"/>
      <c r="AV152" s="254" t="str">
        <f>'Žádost o valuty'!Y152</f>
        <v>Rusko </v>
      </c>
      <c r="AW152" s="254" t="str">
        <f>'Žádost o valuty'!Z152</f>
        <v>EUR</v>
      </c>
      <c r="AX152" s="254">
        <f>'Žádost o valuty'!AA152</f>
        <v>45</v>
      </c>
      <c r="AY152" s="254">
        <v>150</v>
      </c>
      <c r="AZ152" s="255"/>
      <c r="BA152" s="16"/>
    </row>
    <row r="153" spans="1:53" ht="12.75" customHeight="1">
      <c r="A153" s="10"/>
      <c r="B153" s="90"/>
      <c r="C153" s="88"/>
      <c r="D153" s="88"/>
      <c r="E153" s="88"/>
      <c r="F153" s="88"/>
      <c r="G153" s="88"/>
      <c r="H153" s="88"/>
      <c r="I153" s="88"/>
      <c r="J153" s="88"/>
      <c r="K153" s="88"/>
      <c r="L153" s="88"/>
      <c r="M153" s="88"/>
      <c r="N153" s="88"/>
      <c r="O153" s="626" t="s">
        <v>384</v>
      </c>
      <c r="P153" s="626"/>
      <c r="Q153" s="626"/>
      <c r="R153" s="626"/>
      <c r="S153" s="626"/>
      <c r="T153" s="626"/>
      <c r="U153" s="626"/>
      <c r="V153" s="991"/>
      <c r="W153" s="991"/>
      <c r="X153" s="991"/>
      <c r="Y153" s="972"/>
      <c r="Z153" s="972"/>
      <c r="AA153" s="972"/>
      <c r="AB153" s="972"/>
      <c r="AC153" s="972"/>
      <c r="AD153" s="972"/>
      <c r="AE153" s="972"/>
      <c r="AF153" s="972"/>
      <c r="AG153" s="310"/>
      <c r="AH153" s="310"/>
      <c r="AI153" s="310"/>
      <c r="AJ153" s="310"/>
      <c r="AK153" s="310"/>
      <c r="AR153" s="254"/>
      <c r="AS153" s="254"/>
      <c r="AT153" s="254"/>
      <c r="AU153" s="254"/>
      <c r="AV153" s="254" t="str">
        <f>'Žádost o valuty'!Y153</f>
        <v>Rwanda </v>
      </c>
      <c r="AW153" s="254" t="str">
        <f>'Žádost o valuty'!Z153</f>
        <v>USD</v>
      </c>
      <c r="AX153" s="254">
        <f>'Žádost o valuty'!AA153</f>
        <v>55</v>
      </c>
      <c r="AY153" s="254">
        <v>151</v>
      </c>
      <c r="AZ153" s="255"/>
      <c r="BA153" s="10"/>
    </row>
    <row r="154" spans="1:53" ht="6.75" customHeight="1" thickBot="1">
      <c r="A154" s="10"/>
      <c r="B154" s="90"/>
      <c r="C154" s="976"/>
      <c r="D154" s="976"/>
      <c r="E154" s="976"/>
      <c r="F154" s="976"/>
      <c r="G154" s="976"/>
      <c r="H154" s="976"/>
      <c r="I154" s="976"/>
      <c r="J154" s="976"/>
      <c r="K154" s="976"/>
      <c r="L154" s="976"/>
      <c r="M154" s="976"/>
      <c r="N154" s="976"/>
      <c r="O154" s="976"/>
      <c r="P154" s="976"/>
      <c r="Q154" s="976"/>
      <c r="R154" s="976"/>
      <c r="S154" s="976"/>
      <c r="T154" s="976"/>
      <c r="U154" s="976"/>
      <c r="V154" s="976"/>
      <c r="W154" s="976"/>
      <c r="X154" s="976"/>
      <c r="Y154" s="976"/>
      <c r="Z154" s="976"/>
      <c r="AA154" s="976"/>
      <c r="AB154" s="976"/>
      <c r="AC154" s="976"/>
      <c r="AD154" s="976"/>
      <c r="AE154" s="976"/>
      <c r="AF154" s="976"/>
      <c r="AR154" s="254"/>
      <c r="AS154" s="254"/>
      <c r="AT154" s="254"/>
      <c r="AU154" s="254"/>
      <c r="AV154" s="254" t="str">
        <f>'Žádost o valuty'!Y154</f>
        <v>Řecko </v>
      </c>
      <c r="AW154" s="254" t="str">
        <f>'Žádost o valuty'!Z154</f>
        <v>EUR</v>
      </c>
      <c r="AX154" s="254">
        <f>'Žádost o valuty'!AA154</f>
        <v>40</v>
      </c>
      <c r="AY154" s="254">
        <v>152</v>
      </c>
      <c r="AZ154" s="256"/>
      <c r="BA154" s="10"/>
    </row>
    <row r="155" spans="1:53" ht="12.75" customHeight="1">
      <c r="A155" s="10"/>
      <c r="B155" s="90"/>
      <c r="C155" s="973" t="s">
        <v>385</v>
      </c>
      <c r="D155" s="974"/>
      <c r="E155" s="974"/>
      <c r="F155" s="974"/>
      <c r="G155" s="974"/>
      <c r="H155" s="974"/>
      <c r="I155" s="974"/>
      <c r="J155" s="974"/>
      <c r="K155" s="974"/>
      <c r="L155" s="974"/>
      <c r="M155" s="974"/>
      <c r="N155" s="974"/>
      <c r="O155" s="974"/>
      <c r="P155" s="974"/>
      <c r="Q155" s="974"/>
      <c r="R155" s="974"/>
      <c r="S155" s="974"/>
      <c r="T155" s="974"/>
      <c r="U155" s="974"/>
      <c r="V155" s="974"/>
      <c r="W155" s="974"/>
      <c r="X155" s="974"/>
      <c r="Y155" s="974"/>
      <c r="Z155" s="974"/>
      <c r="AA155" s="974"/>
      <c r="AB155" s="974"/>
      <c r="AC155" s="974"/>
      <c r="AD155" s="974"/>
      <c r="AE155" s="974"/>
      <c r="AF155" s="975"/>
      <c r="AG155" s="323"/>
      <c r="AH155" s="323"/>
      <c r="AI155" s="323"/>
      <c r="AJ155" s="323"/>
      <c r="AK155" s="323"/>
      <c r="AR155" s="254"/>
      <c r="AS155" s="254"/>
      <c r="AT155" s="254"/>
      <c r="AU155" s="254"/>
      <c r="AV155" s="254" t="str">
        <f>'Žádost o valuty'!Y155</f>
        <v>Salvador </v>
      </c>
      <c r="AW155" s="254" t="str">
        <f>'Žádost o valuty'!Z155</f>
        <v>USD</v>
      </c>
      <c r="AX155" s="254">
        <f>'Žádost o valuty'!AA155</f>
        <v>45</v>
      </c>
      <c r="AY155" s="254">
        <v>153</v>
      </c>
      <c r="AZ155" s="255"/>
      <c r="BA155" s="10"/>
    </row>
    <row r="156" spans="1:53" ht="13.5" customHeight="1">
      <c r="A156" s="10"/>
      <c r="B156" s="90"/>
      <c r="C156" s="985" t="s">
        <v>414</v>
      </c>
      <c r="D156" s="986"/>
      <c r="E156" s="986"/>
      <c r="F156" s="986"/>
      <c r="G156" s="986"/>
      <c r="H156" s="987"/>
      <c r="I156" s="963" t="s">
        <v>523</v>
      </c>
      <c r="J156" s="964"/>
      <c r="K156" s="964"/>
      <c r="L156" s="964"/>
      <c r="M156" s="964"/>
      <c r="N156" s="964"/>
      <c r="O156" s="964"/>
      <c r="P156" s="965"/>
      <c r="Q156" s="981"/>
      <c r="R156" s="982"/>
      <c r="S156" s="982"/>
      <c r="T156" s="982"/>
      <c r="U156" s="982"/>
      <c r="V156" s="982"/>
      <c r="W156" s="982"/>
      <c r="X156" s="983"/>
      <c r="Y156" s="978"/>
      <c r="Z156" s="979"/>
      <c r="AA156" s="979"/>
      <c r="AB156" s="979"/>
      <c r="AC156" s="979"/>
      <c r="AD156" s="979"/>
      <c r="AE156" s="979"/>
      <c r="AF156" s="980"/>
      <c r="AG156" s="341"/>
      <c r="AH156" s="341"/>
      <c r="AI156" s="341"/>
      <c r="AJ156" s="341"/>
      <c r="AK156" s="341"/>
      <c r="AR156" s="254"/>
      <c r="AS156" s="254"/>
      <c r="AT156" s="254"/>
      <c r="AU156" s="254"/>
      <c r="AV156" s="254" t="str">
        <f>'Žádost o valuty'!Y156</f>
        <v>San Marino</v>
      </c>
      <c r="AW156" s="254" t="str">
        <f>'Žádost o valuty'!Z156</f>
        <v>EUR</v>
      </c>
      <c r="AX156" s="254">
        <f>'Žádost o valuty'!AA156</f>
        <v>45</v>
      </c>
      <c r="AY156" s="254">
        <v>154</v>
      </c>
      <c r="AZ156" s="256"/>
      <c r="BA156" s="10"/>
    </row>
    <row r="157" spans="1:53" ht="13.5" customHeight="1">
      <c r="A157" s="10"/>
      <c r="B157" s="90"/>
      <c r="C157" s="847" t="s">
        <v>415</v>
      </c>
      <c r="D157" s="848"/>
      <c r="E157" s="848"/>
      <c r="F157" s="848"/>
      <c r="G157" s="848"/>
      <c r="H157" s="849"/>
      <c r="I157" s="831"/>
      <c r="J157" s="832"/>
      <c r="K157" s="832"/>
      <c r="L157" s="832"/>
      <c r="M157" s="832"/>
      <c r="N157" s="832"/>
      <c r="O157" s="832"/>
      <c r="P157" s="833"/>
      <c r="Q157" s="835"/>
      <c r="R157" s="836"/>
      <c r="S157" s="836"/>
      <c r="T157" s="836"/>
      <c r="U157" s="836"/>
      <c r="V157" s="836"/>
      <c r="W157" s="836"/>
      <c r="X157" s="837"/>
      <c r="Y157" s="821"/>
      <c r="Z157" s="822"/>
      <c r="AA157" s="822"/>
      <c r="AB157" s="822"/>
      <c r="AC157" s="822"/>
      <c r="AD157" s="822"/>
      <c r="AE157" s="822"/>
      <c r="AF157" s="824"/>
      <c r="AG157" s="341"/>
      <c r="AH157" s="341"/>
      <c r="AI157" s="341"/>
      <c r="AJ157" s="341"/>
      <c r="AK157" s="341"/>
      <c r="AR157" s="254"/>
      <c r="AS157" s="254"/>
      <c r="AT157" s="254"/>
      <c r="AU157" s="254"/>
      <c r="AV157" s="254" t="str">
        <f>'Žádost o valuty'!Y157</f>
        <v>Saudská Arábie </v>
      </c>
      <c r="AW157" s="254" t="str">
        <f>'Žádost o valuty'!Z157</f>
        <v>EUR</v>
      </c>
      <c r="AX157" s="254">
        <f>'Žádost o valuty'!AA157</f>
        <v>40</v>
      </c>
      <c r="AY157" s="254">
        <v>155</v>
      </c>
      <c r="AZ157" s="255"/>
      <c r="BA157" s="10"/>
    </row>
    <row r="158" spans="1:53" ht="13.5" customHeight="1">
      <c r="A158" s="10"/>
      <c r="B158" s="90"/>
      <c r="C158" s="844" t="s">
        <v>285</v>
      </c>
      <c r="D158" s="845"/>
      <c r="E158" s="845"/>
      <c r="F158" s="845"/>
      <c r="G158" s="845"/>
      <c r="H158" s="846"/>
      <c r="I158" s="821"/>
      <c r="J158" s="822"/>
      <c r="K158" s="822"/>
      <c r="L158" s="822"/>
      <c r="M158" s="822"/>
      <c r="N158" s="822"/>
      <c r="O158" s="822"/>
      <c r="P158" s="823"/>
      <c r="Q158" s="835"/>
      <c r="R158" s="836"/>
      <c r="S158" s="836"/>
      <c r="T158" s="836"/>
      <c r="U158" s="836"/>
      <c r="V158" s="836"/>
      <c r="W158" s="836"/>
      <c r="X158" s="837"/>
      <c r="Y158" s="821"/>
      <c r="Z158" s="822"/>
      <c r="AA158" s="822"/>
      <c r="AB158" s="822"/>
      <c r="AC158" s="822"/>
      <c r="AD158" s="822"/>
      <c r="AE158" s="822"/>
      <c r="AF158" s="824"/>
      <c r="AG158" s="341"/>
      <c r="AH158" s="341"/>
      <c r="AI158" s="341"/>
      <c r="AJ158" s="341"/>
      <c r="AK158" s="341"/>
      <c r="AR158" s="254"/>
      <c r="AS158" s="254"/>
      <c r="AT158" s="254"/>
      <c r="AU158" s="254"/>
      <c r="AV158" s="254" t="str">
        <f>'Žádost o valuty'!Y158</f>
        <v>Senegal </v>
      </c>
      <c r="AW158" s="254" t="str">
        <f>'Žádost o valuty'!Z158</f>
        <v>EUR</v>
      </c>
      <c r="AX158" s="254">
        <f>'Žádost o valuty'!AA158</f>
        <v>40</v>
      </c>
      <c r="AY158" s="254">
        <v>156</v>
      </c>
      <c r="AZ158" s="255"/>
      <c r="BA158" s="10"/>
    </row>
    <row r="159" spans="1:53" ht="13.5" customHeight="1">
      <c r="A159" s="10"/>
      <c r="B159" s="90"/>
      <c r="C159" s="847" t="s">
        <v>416</v>
      </c>
      <c r="D159" s="848"/>
      <c r="E159" s="848"/>
      <c r="F159" s="848"/>
      <c r="G159" s="848"/>
      <c r="H159" s="849"/>
      <c r="I159" s="831"/>
      <c r="J159" s="832"/>
      <c r="K159" s="832"/>
      <c r="L159" s="832"/>
      <c r="M159" s="832"/>
      <c r="N159" s="832"/>
      <c r="O159" s="832"/>
      <c r="P159" s="833"/>
      <c r="Q159" s="835"/>
      <c r="R159" s="836"/>
      <c r="S159" s="836"/>
      <c r="T159" s="836"/>
      <c r="U159" s="836"/>
      <c r="V159" s="836"/>
      <c r="W159" s="836"/>
      <c r="X159" s="837"/>
      <c r="Y159" s="821"/>
      <c r="Z159" s="822"/>
      <c r="AA159" s="822"/>
      <c r="AB159" s="822"/>
      <c r="AC159" s="822"/>
      <c r="AD159" s="822"/>
      <c r="AE159" s="822"/>
      <c r="AF159" s="824"/>
      <c r="AG159" s="341"/>
      <c r="AH159" s="341"/>
      <c r="AI159" s="341"/>
      <c r="AJ159" s="341"/>
      <c r="AK159" s="341"/>
      <c r="AL159" s="261"/>
      <c r="AM159" s="261"/>
      <c r="AN159" s="261"/>
      <c r="AO159" s="261"/>
      <c r="AP159" s="261"/>
      <c r="AQ159" s="261"/>
      <c r="AR159" s="254"/>
      <c r="AS159" s="254"/>
      <c r="AT159" s="254"/>
      <c r="AU159" s="254"/>
      <c r="AV159" s="254" t="str">
        <f>'Žádost o valuty'!Y159</f>
        <v>Seychellské ostrovy </v>
      </c>
      <c r="AW159" s="254" t="str">
        <f>'Žádost o valuty'!Z159</f>
        <v>USD</v>
      </c>
      <c r="AX159" s="254">
        <f>'Žádost o valuty'!AA159</f>
        <v>60</v>
      </c>
      <c r="AY159" s="254">
        <v>157</v>
      </c>
      <c r="AZ159" s="255"/>
      <c r="BA159" s="10"/>
    </row>
    <row r="160" spans="1:53" ht="13.5" customHeight="1">
      <c r="A160" s="10"/>
      <c r="B160" s="90"/>
      <c r="C160" s="847" t="s">
        <v>417</v>
      </c>
      <c r="D160" s="848"/>
      <c r="E160" s="848"/>
      <c r="F160" s="848"/>
      <c r="G160" s="848"/>
      <c r="H160" s="849"/>
      <c r="I160" s="831"/>
      <c r="J160" s="832"/>
      <c r="K160" s="832"/>
      <c r="L160" s="832"/>
      <c r="M160" s="832"/>
      <c r="N160" s="832"/>
      <c r="O160" s="832"/>
      <c r="P160" s="833"/>
      <c r="Q160" s="835"/>
      <c r="R160" s="836"/>
      <c r="S160" s="836"/>
      <c r="T160" s="836"/>
      <c r="U160" s="836"/>
      <c r="V160" s="836"/>
      <c r="W160" s="836"/>
      <c r="X160" s="837"/>
      <c r="Y160" s="821"/>
      <c r="Z160" s="822"/>
      <c r="AA160" s="822"/>
      <c r="AB160" s="822"/>
      <c r="AC160" s="822"/>
      <c r="AD160" s="822"/>
      <c r="AE160" s="822"/>
      <c r="AF160" s="824"/>
      <c r="AG160" s="341"/>
      <c r="AH160" s="341"/>
      <c r="AI160" s="341"/>
      <c r="AJ160" s="341"/>
      <c r="AK160" s="341"/>
      <c r="AL160" s="2"/>
      <c r="AM160" s="2"/>
      <c r="AN160" s="2"/>
      <c r="AO160" s="2"/>
      <c r="AP160" s="2"/>
      <c r="AQ160" s="2"/>
      <c r="AR160" s="254"/>
      <c r="AS160" s="254"/>
      <c r="AT160" s="254"/>
      <c r="AU160" s="254"/>
      <c r="AV160" s="254" t="str">
        <f>'Žádost o valuty'!Y160</f>
        <v>Sierra Leone </v>
      </c>
      <c r="AW160" s="254" t="str">
        <f>'Žádost o valuty'!Z160</f>
        <v>EUR</v>
      </c>
      <c r="AX160" s="254">
        <f>'Žádost o valuty'!AA160</f>
        <v>40</v>
      </c>
      <c r="AY160" s="254">
        <v>158</v>
      </c>
      <c r="AZ160" s="255"/>
      <c r="BA160" s="10"/>
    </row>
    <row r="161" spans="1:53" ht="13.5" customHeight="1">
      <c r="A161" s="10"/>
      <c r="B161" s="90"/>
      <c r="C161" s="925" t="s">
        <v>418</v>
      </c>
      <c r="D161" s="926"/>
      <c r="E161" s="926"/>
      <c r="F161" s="926"/>
      <c r="G161" s="926"/>
      <c r="H161" s="927"/>
      <c r="I161" s="828"/>
      <c r="J161" s="829"/>
      <c r="K161" s="829"/>
      <c r="L161" s="829"/>
      <c r="M161" s="829"/>
      <c r="N161" s="829"/>
      <c r="O161" s="829"/>
      <c r="P161" s="834"/>
      <c r="Q161" s="838"/>
      <c r="R161" s="839"/>
      <c r="S161" s="839"/>
      <c r="T161" s="839"/>
      <c r="U161" s="839"/>
      <c r="V161" s="839"/>
      <c r="W161" s="839"/>
      <c r="X161" s="840"/>
      <c r="Y161" s="828"/>
      <c r="Z161" s="829"/>
      <c r="AA161" s="829"/>
      <c r="AB161" s="829"/>
      <c r="AC161" s="829"/>
      <c r="AD161" s="829"/>
      <c r="AE161" s="829"/>
      <c r="AF161" s="830"/>
      <c r="AG161" s="342"/>
      <c r="AH161" s="342"/>
      <c r="AI161" s="342"/>
      <c r="AJ161" s="342"/>
      <c r="AK161" s="342"/>
      <c r="AL161" s="2"/>
      <c r="AM161" s="2"/>
      <c r="AN161" s="2"/>
      <c r="AO161" s="2"/>
      <c r="AP161" s="2"/>
      <c r="AQ161" s="2"/>
      <c r="AR161" s="254"/>
      <c r="AS161" s="254"/>
      <c r="AT161" s="254"/>
      <c r="AU161" s="254"/>
      <c r="AV161" s="254" t="str">
        <f>'Žádost o valuty'!Y161</f>
        <v>Singapur </v>
      </c>
      <c r="AW161" s="254" t="str">
        <f>'Žádost o valuty'!Z161</f>
        <v>USD</v>
      </c>
      <c r="AX161" s="254">
        <f>'Žádost o valuty'!AA161</f>
        <v>50</v>
      </c>
      <c r="AY161" s="254">
        <v>159</v>
      </c>
      <c r="AZ161" s="255"/>
      <c r="BA161" s="10"/>
    </row>
    <row r="162" spans="1:57" s="263" customFormat="1" ht="11.25" customHeight="1">
      <c r="A162" s="13"/>
      <c r="B162" s="95"/>
      <c r="C162" s="825" t="s">
        <v>448</v>
      </c>
      <c r="D162" s="826"/>
      <c r="E162" s="826"/>
      <c r="F162" s="826"/>
      <c r="G162" s="826"/>
      <c r="H162" s="826"/>
      <c r="I162" s="826"/>
      <c r="J162" s="826"/>
      <c r="K162" s="826"/>
      <c r="L162" s="826"/>
      <c r="M162" s="826"/>
      <c r="N162" s="826"/>
      <c r="O162" s="826"/>
      <c r="P162" s="826"/>
      <c r="Q162" s="826"/>
      <c r="R162" s="826"/>
      <c r="S162" s="826"/>
      <c r="T162" s="826"/>
      <c r="U162" s="826"/>
      <c r="V162" s="826"/>
      <c r="W162" s="826"/>
      <c r="X162" s="826"/>
      <c r="Y162" s="826"/>
      <c r="Z162" s="826"/>
      <c r="AA162" s="826"/>
      <c r="AB162" s="826"/>
      <c r="AC162" s="826"/>
      <c r="AD162" s="826"/>
      <c r="AE162" s="826"/>
      <c r="AF162" s="827"/>
      <c r="AG162" s="324"/>
      <c r="AH162" s="324"/>
      <c r="AI162" s="324"/>
      <c r="AJ162" s="324"/>
      <c r="AK162" s="324"/>
      <c r="AL162" s="261"/>
      <c r="AM162" s="261"/>
      <c r="AN162" s="261"/>
      <c r="AO162" s="261"/>
      <c r="AP162" s="261"/>
      <c r="AQ162" s="261"/>
      <c r="AR162" s="254"/>
      <c r="AS162" s="254"/>
      <c r="AT162" s="254"/>
      <c r="AU162" s="254"/>
      <c r="AV162" s="254" t="str">
        <f>'Žádost o valuty'!Y162</f>
        <v>Sjednocené arabské emiráty</v>
      </c>
      <c r="AW162" s="254" t="str">
        <f>'Žádost o valuty'!Z162</f>
        <v>USD</v>
      </c>
      <c r="AX162" s="254">
        <f>'Žádost o valuty'!AA162</f>
        <v>55</v>
      </c>
      <c r="AY162" s="254">
        <v>160</v>
      </c>
      <c r="AZ162" s="255"/>
      <c r="BA162" s="262"/>
      <c r="BB162" s="261"/>
      <c r="BC162" s="261"/>
      <c r="BD162" s="261"/>
      <c r="BE162" s="261"/>
    </row>
    <row r="163" spans="1:53" s="2" customFormat="1" ht="13.5" customHeight="1">
      <c r="A163" s="13"/>
      <c r="B163" s="95"/>
      <c r="C163" s="922" t="s">
        <v>355</v>
      </c>
      <c r="D163" s="923"/>
      <c r="E163" s="923"/>
      <c r="F163" s="923"/>
      <c r="G163" s="923"/>
      <c r="H163" s="924"/>
      <c r="I163" s="937"/>
      <c r="J163" s="938"/>
      <c r="K163" s="938"/>
      <c r="L163" s="938"/>
      <c r="M163" s="938"/>
      <c r="N163" s="938"/>
      <c r="O163" s="938"/>
      <c r="P163" s="1137"/>
      <c r="Q163" s="937"/>
      <c r="R163" s="938"/>
      <c r="S163" s="938"/>
      <c r="T163" s="938"/>
      <c r="U163" s="938"/>
      <c r="V163" s="938"/>
      <c r="W163" s="938"/>
      <c r="X163" s="1137"/>
      <c r="Y163" s="937"/>
      <c r="Z163" s="938"/>
      <c r="AA163" s="938"/>
      <c r="AB163" s="938"/>
      <c r="AC163" s="938"/>
      <c r="AD163" s="938"/>
      <c r="AE163" s="938"/>
      <c r="AF163" s="939"/>
      <c r="AG163" s="343"/>
      <c r="AH163" s="343"/>
      <c r="AI163" s="343"/>
      <c r="AJ163" s="343"/>
      <c r="AK163" s="343"/>
      <c r="AR163" s="254"/>
      <c r="AS163" s="254"/>
      <c r="AT163" s="254"/>
      <c r="AU163" s="254"/>
      <c r="AV163" s="254" t="str">
        <f>'Žádost o valuty'!Y163</f>
        <v>Slovensko </v>
      </c>
      <c r="AW163" s="254" t="str">
        <f>'Žádost o valuty'!Z163</f>
        <v>EUR</v>
      </c>
      <c r="AX163" s="254">
        <f>'Žádost o valuty'!AA163</f>
        <v>35</v>
      </c>
      <c r="AY163" s="254">
        <v>161</v>
      </c>
      <c r="AZ163" s="255"/>
      <c r="BA163" s="13"/>
    </row>
    <row r="164" spans="1:53" s="2" customFormat="1" ht="19.5" customHeight="1">
      <c r="A164" s="13"/>
      <c r="B164" s="95"/>
      <c r="C164" s="815" t="s">
        <v>449</v>
      </c>
      <c r="D164" s="816"/>
      <c r="E164" s="816"/>
      <c r="F164" s="816"/>
      <c r="G164" s="816"/>
      <c r="H164" s="817"/>
      <c r="I164" s="932"/>
      <c r="J164" s="933"/>
      <c r="K164" s="933"/>
      <c r="L164" s="933"/>
      <c r="M164" s="933"/>
      <c r="N164" s="933"/>
      <c r="O164" s="933"/>
      <c r="P164" s="934"/>
      <c r="Q164" s="940"/>
      <c r="R164" s="941"/>
      <c r="S164" s="941"/>
      <c r="T164" s="941"/>
      <c r="U164" s="941"/>
      <c r="V164" s="941"/>
      <c r="W164" s="941"/>
      <c r="X164" s="942"/>
      <c r="Y164" s="1138"/>
      <c r="Z164" s="1139"/>
      <c r="AA164" s="1139"/>
      <c r="AB164" s="1139"/>
      <c r="AC164" s="1139"/>
      <c r="AD164" s="1139"/>
      <c r="AE164" s="1139"/>
      <c r="AF164" s="1140"/>
      <c r="AG164" s="325"/>
      <c r="AH164" s="325"/>
      <c r="AI164" s="325"/>
      <c r="AJ164" s="325"/>
      <c r="AK164" s="325"/>
      <c r="AR164" s="254"/>
      <c r="AS164" s="254"/>
      <c r="AT164" s="254"/>
      <c r="AU164" s="254"/>
      <c r="AV164" s="254" t="str">
        <f>'Žádost o valuty'!Y164</f>
        <v>Slovinsko </v>
      </c>
      <c r="AW164" s="254" t="str">
        <f>'Žádost o valuty'!Z164</f>
        <v>EUR</v>
      </c>
      <c r="AX164" s="254">
        <f>'Žádost o valuty'!AA164</f>
        <v>35</v>
      </c>
      <c r="AY164" s="254">
        <v>162</v>
      </c>
      <c r="AZ164" s="255"/>
      <c r="BA164" s="13"/>
    </row>
    <row r="165" spans="1:57" s="263" customFormat="1" ht="11.25" customHeight="1">
      <c r="A165" s="13"/>
      <c r="B165" s="95"/>
      <c r="C165" s="825" t="s">
        <v>451</v>
      </c>
      <c r="D165" s="826"/>
      <c r="E165" s="826"/>
      <c r="F165" s="826"/>
      <c r="G165" s="826"/>
      <c r="H165" s="935" t="s">
        <v>450</v>
      </c>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6"/>
      <c r="AG165" s="326"/>
      <c r="AH165" s="326"/>
      <c r="AI165" s="326"/>
      <c r="AJ165" s="326"/>
      <c r="AK165" s="326"/>
      <c r="AL165" s="1"/>
      <c r="AM165" s="1"/>
      <c r="AN165" s="1"/>
      <c r="AO165" s="1"/>
      <c r="AP165" s="1"/>
      <c r="AQ165" s="1"/>
      <c r="AR165" s="254"/>
      <c r="AS165" s="254"/>
      <c r="AT165" s="254"/>
      <c r="AU165" s="254"/>
      <c r="AV165" s="254" t="str">
        <f>'Žádost o valuty'!Y165</f>
        <v>Somálsko </v>
      </c>
      <c r="AW165" s="254" t="str">
        <f>'Žádost o valuty'!Z165</f>
        <v>USD</v>
      </c>
      <c r="AX165" s="254">
        <f>'Žádost o valuty'!AA165</f>
        <v>55</v>
      </c>
      <c r="AY165" s="254">
        <v>163</v>
      </c>
      <c r="AZ165" s="255"/>
      <c r="BA165" s="262"/>
      <c r="BB165" s="261"/>
      <c r="BC165" s="261"/>
      <c r="BD165" s="261"/>
      <c r="BE165" s="261"/>
    </row>
    <row r="166" spans="1:53" s="2" customFormat="1" ht="13.5" customHeight="1">
      <c r="A166" s="13"/>
      <c r="B166" s="95"/>
      <c r="C166" s="922" t="s">
        <v>355</v>
      </c>
      <c r="D166" s="923"/>
      <c r="E166" s="923"/>
      <c r="F166" s="923"/>
      <c r="G166" s="923"/>
      <c r="H166" s="924"/>
      <c r="I166" s="929" t="s">
        <v>522</v>
      </c>
      <c r="J166" s="930"/>
      <c r="K166" s="930"/>
      <c r="L166" s="930"/>
      <c r="M166" s="930"/>
      <c r="N166" s="930"/>
      <c r="O166" s="930"/>
      <c r="P166" s="931"/>
      <c r="Q166" s="937"/>
      <c r="R166" s="938"/>
      <c r="S166" s="938"/>
      <c r="T166" s="938"/>
      <c r="U166" s="938"/>
      <c r="V166" s="938"/>
      <c r="W166" s="938"/>
      <c r="X166" s="1137"/>
      <c r="Y166" s="937"/>
      <c r="Z166" s="938"/>
      <c r="AA166" s="938"/>
      <c r="AB166" s="938"/>
      <c r="AC166" s="938"/>
      <c r="AD166" s="938"/>
      <c r="AE166" s="938"/>
      <c r="AF166" s="939"/>
      <c r="AG166" s="343"/>
      <c r="AH166" s="343"/>
      <c r="AI166" s="343"/>
      <c r="AJ166" s="343"/>
      <c r="AK166" s="343"/>
      <c r="AR166" s="254"/>
      <c r="AS166" s="254"/>
      <c r="AT166" s="254"/>
      <c r="AU166" s="254"/>
      <c r="AV166" s="254" t="str">
        <f>'Žádost o valuty'!Y166</f>
        <v>Srbsko </v>
      </c>
      <c r="AW166" s="254" t="str">
        <f>'Žádost o valuty'!Z166</f>
        <v>EUR</v>
      </c>
      <c r="AX166" s="254">
        <f>'Žádost o valuty'!AA166</f>
        <v>35</v>
      </c>
      <c r="AY166" s="254">
        <v>164</v>
      </c>
      <c r="AZ166" s="255"/>
      <c r="BA166" s="13"/>
    </row>
    <row r="167" spans="1:53" s="2" customFormat="1" ht="19.5" customHeight="1">
      <c r="A167" s="13"/>
      <c r="B167" s="95"/>
      <c r="C167" s="815" t="s">
        <v>449</v>
      </c>
      <c r="D167" s="816"/>
      <c r="E167" s="816"/>
      <c r="F167" s="816"/>
      <c r="G167" s="816"/>
      <c r="H167" s="817"/>
      <c r="I167" s="932"/>
      <c r="J167" s="933"/>
      <c r="K167" s="933"/>
      <c r="L167" s="933"/>
      <c r="M167" s="933"/>
      <c r="N167" s="933"/>
      <c r="O167" s="933"/>
      <c r="P167" s="934"/>
      <c r="Q167" s="940"/>
      <c r="R167" s="941"/>
      <c r="S167" s="941"/>
      <c r="T167" s="941"/>
      <c r="U167" s="941"/>
      <c r="V167" s="941"/>
      <c r="W167" s="941"/>
      <c r="X167" s="942"/>
      <c r="Y167" s="1138"/>
      <c r="Z167" s="1139"/>
      <c r="AA167" s="1139"/>
      <c r="AB167" s="1139"/>
      <c r="AC167" s="1139"/>
      <c r="AD167" s="1139"/>
      <c r="AE167" s="1139"/>
      <c r="AF167" s="1140"/>
      <c r="AG167" s="325"/>
      <c r="AH167" s="325"/>
      <c r="AI167" s="325"/>
      <c r="AJ167" s="325"/>
      <c r="AK167" s="325"/>
      <c r="AR167" s="254"/>
      <c r="AS167" s="254"/>
      <c r="AT167" s="254"/>
      <c r="AU167" s="254"/>
      <c r="AV167" s="254" t="str">
        <f>'Žádost o valuty'!Y167</f>
        <v>Srí Lanka </v>
      </c>
      <c r="AW167" s="254" t="str">
        <f>'Žádost o valuty'!Z167</f>
        <v>USD</v>
      </c>
      <c r="AX167" s="254">
        <f>'Žádost o valuty'!AA167</f>
        <v>50</v>
      </c>
      <c r="AY167" s="254">
        <v>165</v>
      </c>
      <c r="AZ167" s="255"/>
      <c r="BA167" s="13"/>
    </row>
    <row r="168" spans="1:53" ht="11.25" customHeight="1">
      <c r="A168" s="10"/>
      <c r="B168" s="90"/>
      <c r="C168" s="1141" t="s">
        <v>441</v>
      </c>
      <c r="D168" s="1142"/>
      <c r="E168" s="1142"/>
      <c r="F168" s="1142"/>
      <c r="G168" s="1142"/>
      <c r="H168" s="1142"/>
      <c r="I168" s="1142"/>
      <c r="J168" s="1142"/>
      <c r="K168" s="1142"/>
      <c r="L168" s="1142"/>
      <c r="M168" s="1142"/>
      <c r="N168" s="1142"/>
      <c r="O168" s="1142"/>
      <c r="P168" s="1142"/>
      <c r="Q168" s="1142"/>
      <c r="R168" s="1142"/>
      <c r="S168" s="1142"/>
      <c r="T168" s="1142"/>
      <c r="U168" s="1142"/>
      <c r="V168" s="1142"/>
      <c r="W168" s="1142"/>
      <c r="X168" s="1142"/>
      <c r="Y168" s="1142"/>
      <c r="Z168" s="1142"/>
      <c r="AA168" s="1142"/>
      <c r="AB168" s="1142"/>
      <c r="AC168" s="1142"/>
      <c r="AD168" s="1142"/>
      <c r="AE168" s="1142"/>
      <c r="AF168" s="1143"/>
      <c r="AG168" s="327"/>
      <c r="AH168" s="327"/>
      <c r="AI168" s="327"/>
      <c r="AJ168" s="327"/>
      <c r="AK168" s="327"/>
      <c r="AL168" s="2"/>
      <c r="AM168" s="2"/>
      <c r="AN168" s="2"/>
      <c r="AO168" s="2"/>
      <c r="AP168" s="2"/>
      <c r="AQ168" s="2"/>
      <c r="AR168" s="254"/>
      <c r="AS168" s="254"/>
      <c r="AT168" s="254"/>
      <c r="AU168" s="254"/>
      <c r="AV168" s="254" t="str">
        <f>'Žádost o valuty'!Y168</f>
        <v>Středoafrická rep. </v>
      </c>
      <c r="AW168" s="254" t="str">
        <f>'Žádost o valuty'!Z168</f>
        <v>USD</v>
      </c>
      <c r="AX168" s="254">
        <f>'Žádost o valuty'!AA168</f>
        <v>45</v>
      </c>
      <c r="AY168" s="254">
        <v>166</v>
      </c>
      <c r="AZ168" s="255"/>
      <c r="BA168" s="10"/>
    </row>
    <row r="169" spans="1:53" s="2" customFormat="1" ht="13.5" customHeight="1">
      <c r="A169" s="13"/>
      <c r="B169" s="95"/>
      <c r="C169" s="922" t="s">
        <v>355</v>
      </c>
      <c r="D169" s="923"/>
      <c r="E169" s="923"/>
      <c r="F169" s="923"/>
      <c r="G169" s="923"/>
      <c r="H169" s="924"/>
      <c r="I169" s="929"/>
      <c r="J169" s="930"/>
      <c r="K169" s="930"/>
      <c r="L169" s="930"/>
      <c r="M169" s="930"/>
      <c r="N169" s="930"/>
      <c r="O169" s="930"/>
      <c r="P169" s="930"/>
      <c r="Q169" s="930"/>
      <c r="R169" s="930"/>
      <c r="S169" s="930"/>
      <c r="T169" s="930"/>
      <c r="U169" s="930"/>
      <c r="V169" s="930"/>
      <c r="W169" s="930"/>
      <c r="X169" s="930"/>
      <c r="Y169" s="930"/>
      <c r="Z169" s="930"/>
      <c r="AA169" s="930"/>
      <c r="AB169" s="930"/>
      <c r="AC169" s="930"/>
      <c r="AD169" s="930"/>
      <c r="AE169" s="930"/>
      <c r="AF169" s="1136"/>
      <c r="AG169" s="344"/>
      <c r="AH169" s="344"/>
      <c r="AI169" s="344"/>
      <c r="AJ169" s="344"/>
      <c r="AK169" s="344"/>
      <c r="AR169" s="254"/>
      <c r="AS169" s="254"/>
      <c r="AT169" s="254"/>
      <c r="AU169" s="254"/>
      <c r="AV169" s="254" t="str">
        <f>'Žádost o valuty'!Y169</f>
        <v>Súdán </v>
      </c>
      <c r="AW169" s="254" t="str">
        <f>'Žádost o valuty'!Z169</f>
        <v>USD</v>
      </c>
      <c r="AX169" s="254">
        <f>'Žádost o valuty'!AA169</f>
        <v>55</v>
      </c>
      <c r="AY169" s="254">
        <v>167</v>
      </c>
      <c r="AZ169" s="255"/>
      <c r="BA169" s="13"/>
    </row>
    <row r="170" spans="1:53" s="2" customFormat="1" ht="19.5" customHeight="1">
      <c r="A170" s="13"/>
      <c r="B170" s="95"/>
      <c r="C170" s="815" t="s">
        <v>449</v>
      </c>
      <c r="D170" s="816"/>
      <c r="E170" s="816"/>
      <c r="F170" s="816"/>
      <c r="G170" s="816"/>
      <c r="H170" s="817"/>
      <c r="I170" s="950"/>
      <c r="J170" s="951"/>
      <c r="K170" s="951"/>
      <c r="L170" s="951"/>
      <c r="M170" s="951"/>
      <c r="N170" s="951"/>
      <c r="O170" s="951"/>
      <c r="P170" s="951"/>
      <c r="Q170" s="951"/>
      <c r="R170" s="951"/>
      <c r="S170" s="951"/>
      <c r="T170" s="951"/>
      <c r="U170" s="951"/>
      <c r="V170" s="951"/>
      <c r="W170" s="951"/>
      <c r="X170" s="951"/>
      <c r="Y170" s="951"/>
      <c r="Z170" s="951"/>
      <c r="AA170" s="951"/>
      <c r="AB170" s="951"/>
      <c r="AC170" s="951"/>
      <c r="AD170" s="951"/>
      <c r="AE170" s="951"/>
      <c r="AF170" s="952"/>
      <c r="AG170" s="345"/>
      <c r="AH170" s="345"/>
      <c r="AI170" s="345"/>
      <c r="AJ170" s="345"/>
      <c r="AK170" s="345"/>
      <c r="AR170" s="254"/>
      <c r="AS170" s="254"/>
      <c r="AT170" s="254"/>
      <c r="AU170" s="254"/>
      <c r="AV170" s="254" t="str">
        <f>'Žádost o valuty'!Y170</f>
        <v>Surinam </v>
      </c>
      <c r="AW170" s="254" t="str">
        <f>'Žádost o valuty'!Z170</f>
        <v>USD</v>
      </c>
      <c r="AX170" s="254">
        <f>'Žádost o valuty'!AA170</f>
        <v>50</v>
      </c>
      <c r="AY170" s="254">
        <v>168</v>
      </c>
      <c r="AZ170" s="255"/>
      <c r="BA170" s="13"/>
    </row>
    <row r="171" spans="1:53" s="2" customFormat="1" ht="11.25" customHeight="1">
      <c r="A171" s="13"/>
      <c r="B171" s="95"/>
      <c r="C171" s="825" t="s">
        <v>354</v>
      </c>
      <c r="D171" s="826"/>
      <c r="E171" s="826"/>
      <c r="F171" s="826"/>
      <c r="G171" s="826"/>
      <c r="H171" s="826"/>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7"/>
      <c r="AG171" s="324"/>
      <c r="AH171" s="324"/>
      <c r="AI171" s="324"/>
      <c r="AJ171" s="324"/>
      <c r="AK171" s="324"/>
      <c r="AL171" s="1"/>
      <c r="AM171" s="1"/>
      <c r="AN171" s="1"/>
      <c r="AO171" s="1"/>
      <c r="AP171" s="1"/>
      <c r="AQ171" s="1"/>
      <c r="AR171" s="254"/>
      <c r="AS171" s="254"/>
      <c r="AT171" s="254"/>
      <c r="AU171" s="254"/>
      <c r="AV171" s="254" t="str">
        <f>'Žádost o valuty'!Y171</f>
        <v>Svatý Kryštof a Nevis</v>
      </c>
      <c r="AW171" s="254" t="str">
        <f>'Žádost o valuty'!Z171</f>
        <v>USD</v>
      </c>
      <c r="AX171" s="254">
        <f>'Žádost o valuty'!AA171</f>
        <v>55</v>
      </c>
      <c r="AY171" s="254">
        <v>169</v>
      </c>
      <c r="AZ171" s="255"/>
      <c r="BA171" s="13"/>
    </row>
    <row r="172" spans="1:53" s="2" customFormat="1" ht="13.5" customHeight="1">
      <c r="A172" s="13"/>
      <c r="B172" s="95"/>
      <c r="C172" s="922" t="s">
        <v>355</v>
      </c>
      <c r="D172" s="923"/>
      <c r="E172" s="923"/>
      <c r="F172" s="923"/>
      <c r="G172" s="923"/>
      <c r="H172" s="924"/>
      <c r="I172" s="929" t="s">
        <v>521</v>
      </c>
      <c r="J172" s="930"/>
      <c r="K172" s="930"/>
      <c r="L172" s="930"/>
      <c r="M172" s="930"/>
      <c r="N172" s="930"/>
      <c r="O172" s="930"/>
      <c r="P172" s="930"/>
      <c r="Q172" s="930"/>
      <c r="R172" s="930"/>
      <c r="S172" s="930"/>
      <c r="T172" s="930"/>
      <c r="U172" s="930"/>
      <c r="V172" s="930"/>
      <c r="W172" s="930"/>
      <c r="X172" s="930"/>
      <c r="Y172" s="930"/>
      <c r="Z172" s="930"/>
      <c r="AA172" s="930"/>
      <c r="AB172" s="930"/>
      <c r="AC172" s="930"/>
      <c r="AD172" s="930"/>
      <c r="AE172" s="930"/>
      <c r="AF172" s="1136"/>
      <c r="AG172" s="344"/>
      <c r="AH172" s="344"/>
      <c r="AI172" s="344"/>
      <c r="AJ172" s="344"/>
      <c r="AK172" s="344"/>
      <c r="AL172" s="1"/>
      <c r="AM172" s="1"/>
      <c r="AN172" s="1"/>
      <c r="AO172" s="1"/>
      <c r="AP172" s="1"/>
      <c r="AQ172" s="1"/>
      <c r="AR172" s="254"/>
      <c r="AS172" s="254"/>
      <c r="AT172" s="254"/>
      <c r="AU172" s="254"/>
      <c r="AV172" s="254" t="str">
        <f>'Žádost o valuty'!Y172</f>
        <v>Svatá Lucie</v>
      </c>
      <c r="AW172" s="254" t="str">
        <f>'Žádost o valuty'!Z172</f>
        <v>USD</v>
      </c>
      <c r="AX172" s="254">
        <f>'Žádost o valuty'!AA172</f>
        <v>55</v>
      </c>
      <c r="AY172" s="254">
        <v>170</v>
      </c>
      <c r="AZ172" s="255"/>
      <c r="BA172" s="13"/>
    </row>
    <row r="173" spans="1:53" s="2" customFormat="1" ht="19.5" customHeight="1" thickBot="1">
      <c r="A173" s="13"/>
      <c r="B173" s="95"/>
      <c r="C173" s="1149" t="s">
        <v>449</v>
      </c>
      <c r="D173" s="1150"/>
      <c r="E173" s="1150"/>
      <c r="F173" s="1150"/>
      <c r="G173" s="1150"/>
      <c r="H173" s="1151"/>
      <c r="I173" s="818"/>
      <c r="J173" s="819"/>
      <c r="K173" s="819"/>
      <c r="L173" s="819"/>
      <c r="M173" s="819"/>
      <c r="N173" s="819"/>
      <c r="O173" s="819"/>
      <c r="P173" s="819"/>
      <c r="Q173" s="819"/>
      <c r="R173" s="819"/>
      <c r="S173" s="819"/>
      <c r="T173" s="819"/>
      <c r="U173" s="819"/>
      <c r="V173" s="819"/>
      <c r="W173" s="819"/>
      <c r="X173" s="819"/>
      <c r="Y173" s="819"/>
      <c r="Z173" s="819"/>
      <c r="AA173" s="819"/>
      <c r="AB173" s="819"/>
      <c r="AC173" s="819"/>
      <c r="AD173" s="819"/>
      <c r="AE173" s="819"/>
      <c r="AF173" s="820"/>
      <c r="AG173" s="325"/>
      <c r="AH173" s="325"/>
      <c r="AI173" s="325"/>
      <c r="AJ173" s="325"/>
      <c r="AK173" s="325"/>
      <c r="AL173" s="1"/>
      <c r="AM173" s="1"/>
      <c r="AN173" s="1"/>
      <c r="AO173" s="1"/>
      <c r="AP173" s="1"/>
      <c r="AQ173" s="1"/>
      <c r="AR173" s="254"/>
      <c r="AS173" s="254"/>
      <c r="AT173" s="254"/>
      <c r="AU173" s="254"/>
      <c r="AV173" s="254" t="str">
        <f>'Žádost o valuty'!Y173</f>
        <v>Svatý Tomáš a Princův ostrov</v>
      </c>
      <c r="AW173" s="254" t="str">
        <f>'Žádost o valuty'!Z173</f>
        <v>EUR</v>
      </c>
      <c r="AX173" s="254">
        <f>'Žádost o valuty'!AA173</f>
        <v>35</v>
      </c>
      <c r="AY173" s="254">
        <v>171</v>
      </c>
      <c r="AZ173" s="255"/>
      <c r="BA173" s="13"/>
    </row>
    <row r="174" spans="1:53" ht="5.25" customHeight="1">
      <c r="A174" s="10"/>
      <c r="B174" s="90"/>
      <c r="C174" s="264"/>
      <c r="D174" s="265"/>
      <c r="E174" s="265"/>
      <c r="F174" s="266"/>
      <c r="G174" s="266"/>
      <c r="H174" s="266"/>
      <c r="I174" s="266"/>
      <c r="J174" s="266"/>
      <c r="K174" s="266"/>
      <c r="L174" s="266"/>
      <c r="M174" s="266"/>
      <c r="N174" s="266"/>
      <c r="O174" s="267"/>
      <c r="P174" s="267"/>
      <c r="Q174" s="267"/>
      <c r="R174" s="267"/>
      <c r="S174" s="267"/>
      <c r="T174" s="267"/>
      <c r="U174" s="267"/>
      <c r="V174" s="267"/>
      <c r="W174" s="267"/>
      <c r="X174" s="268"/>
      <c r="Y174" s="268"/>
      <c r="Z174" s="268"/>
      <c r="AA174" s="268"/>
      <c r="AB174" s="268"/>
      <c r="AC174" s="268"/>
      <c r="AD174" s="268"/>
      <c r="AE174" s="268"/>
      <c r="AF174" s="269"/>
      <c r="AG174" s="271"/>
      <c r="AH174" s="271"/>
      <c r="AI174" s="271"/>
      <c r="AJ174" s="271"/>
      <c r="AK174" s="271"/>
      <c r="AR174" s="257"/>
      <c r="AS174" s="257"/>
      <c r="AT174" s="257"/>
      <c r="AU174" s="257"/>
      <c r="AV174" s="254" t="str">
        <f>'Žádost o valuty'!Y174</f>
        <v>Svatý Vincent a Grenadiny</v>
      </c>
      <c r="AW174" s="254" t="str">
        <f>'Žádost o valuty'!Z174</f>
        <v>USD</v>
      </c>
      <c r="AX174" s="254">
        <f>'Žádost o valuty'!AA174</f>
        <v>55</v>
      </c>
      <c r="AY174" s="254">
        <v>172</v>
      </c>
      <c r="AZ174" s="255"/>
      <c r="BA174" s="10"/>
    </row>
    <row r="175" spans="1:53" ht="18.75" customHeight="1">
      <c r="A175" s="10"/>
      <c r="B175" s="90"/>
      <c r="C175" s="270" t="s">
        <v>442</v>
      </c>
      <c r="D175" s="271"/>
      <c r="E175" s="271"/>
      <c r="F175" s="271"/>
      <c r="G175" s="271"/>
      <c r="H175" s="1144"/>
      <c r="I175" s="1145"/>
      <c r="J175" s="1145"/>
      <c r="K175" s="1145"/>
      <c r="L175" s="1145"/>
      <c r="M175" s="1145"/>
      <c r="N175" s="1145"/>
      <c r="O175" s="1145"/>
      <c r="P175" s="1145"/>
      <c r="Q175" s="1145"/>
      <c r="R175" s="1145"/>
      <c r="S175" s="1145"/>
      <c r="T175" s="1145"/>
      <c r="U175" s="1145"/>
      <c r="V175" s="1145"/>
      <c r="W175" s="1145"/>
      <c r="X175" s="1145"/>
      <c r="Y175" s="1145"/>
      <c r="Z175" s="1145"/>
      <c r="AA175" s="1145"/>
      <c r="AB175" s="1145"/>
      <c r="AC175" s="1145"/>
      <c r="AD175" s="1145"/>
      <c r="AE175" s="1146"/>
      <c r="AF175" s="272"/>
      <c r="AG175" s="271"/>
      <c r="AH175" s="271"/>
      <c r="AI175" s="271"/>
      <c r="AJ175" s="271"/>
      <c r="AK175" s="271"/>
      <c r="AR175" s="254"/>
      <c r="AS175" s="254"/>
      <c r="AT175" s="254"/>
      <c r="AU175" s="254"/>
      <c r="AV175" s="254" t="str">
        <f>'Žádost o valuty'!Y175</f>
        <v>Svazijsko  </v>
      </c>
      <c r="AW175" s="254" t="str">
        <f>'Žádost o valuty'!Z175</f>
        <v>USD</v>
      </c>
      <c r="AX175" s="254">
        <f>'Žádost o valuty'!AA175</f>
        <v>55</v>
      </c>
      <c r="AY175" s="254">
        <v>173</v>
      </c>
      <c r="AZ175" s="255"/>
      <c r="BA175" s="10"/>
    </row>
    <row r="176" spans="1:53" ht="5.25" customHeight="1" thickBot="1">
      <c r="A176" s="10"/>
      <c r="B176" s="90"/>
      <c r="C176" s="273"/>
      <c r="D176" s="274"/>
      <c r="E176" s="274"/>
      <c r="F176" s="275"/>
      <c r="G176" s="275"/>
      <c r="H176" s="275"/>
      <c r="I176" s="275"/>
      <c r="J176" s="275"/>
      <c r="K176" s="275"/>
      <c r="L176" s="275"/>
      <c r="M176" s="275"/>
      <c r="N176" s="275"/>
      <c r="O176" s="276"/>
      <c r="P176" s="276"/>
      <c r="Q176" s="276"/>
      <c r="R176" s="276"/>
      <c r="S176" s="276"/>
      <c r="T176" s="276"/>
      <c r="U176" s="276"/>
      <c r="V176" s="276"/>
      <c r="W176" s="276"/>
      <c r="X176" s="277"/>
      <c r="Y176" s="277"/>
      <c r="Z176" s="277"/>
      <c r="AA176" s="277"/>
      <c r="AB176" s="277"/>
      <c r="AC176" s="277"/>
      <c r="AD176" s="277"/>
      <c r="AE176" s="277"/>
      <c r="AF176" s="278"/>
      <c r="AG176" s="271"/>
      <c r="AH176" s="271"/>
      <c r="AI176" s="271"/>
      <c r="AJ176" s="271"/>
      <c r="AK176" s="271"/>
      <c r="AL176" s="90"/>
      <c r="AM176" s="90"/>
      <c r="AN176" s="90"/>
      <c r="AO176" s="90"/>
      <c r="AP176" s="90"/>
      <c r="AQ176" s="90"/>
      <c r="AR176" s="254"/>
      <c r="AS176" s="254"/>
      <c r="AT176" s="254"/>
      <c r="AU176" s="254"/>
      <c r="AV176" s="254" t="str">
        <f>'Žádost o valuty'!Y176</f>
        <v>Sýrie </v>
      </c>
      <c r="AW176" s="254" t="str">
        <f>'Žádost o valuty'!Z176</f>
        <v>EUR</v>
      </c>
      <c r="AX176" s="254">
        <f>'Žádost o valuty'!AA176</f>
        <v>35</v>
      </c>
      <c r="AY176" s="254">
        <v>174</v>
      </c>
      <c r="AZ176" s="255"/>
      <c r="BA176" s="10"/>
    </row>
    <row r="177" spans="1:53" ht="16.5" customHeight="1">
      <c r="A177" s="16"/>
      <c r="B177" s="98"/>
      <c r="C177" s="1147" t="s">
        <v>394</v>
      </c>
      <c r="D177" s="1148"/>
      <c r="E177" s="1148"/>
      <c r="F177" s="1148"/>
      <c r="G177" s="1148"/>
      <c r="H177" s="1148"/>
      <c r="I177" s="1148"/>
      <c r="J177" s="1148"/>
      <c r="K177" s="1148"/>
      <c r="L177" s="1148"/>
      <c r="M177" s="1148"/>
      <c r="N177" s="1148"/>
      <c r="O177" s="1148"/>
      <c r="P177" s="1148"/>
      <c r="Q177" s="1148"/>
      <c r="R177" s="1148"/>
      <c r="S177" s="1148"/>
      <c r="T177" s="1148"/>
      <c r="U177" s="1148"/>
      <c r="V177" s="1148"/>
      <c r="W177" s="1148"/>
      <c r="X177" s="1148"/>
      <c r="Y177" s="1148"/>
      <c r="Z177" s="1148"/>
      <c r="AA177" s="1148"/>
      <c r="AB177" s="1148"/>
      <c r="AC177" s="1148"/>
      <c r="AD177" s="1148"/>
      <c r="AE177" s="1148"/>
      <c r="AF177" s="1148"/>
      <c r="AG177" s="305"/>
      <c r="AH177" s="305"/>
      <c r="AI177" s="305"/>
      <c r="AJ177" s="305"/>
      <c r="AK177" s="305"/>
      <c r="AL177" s="90"/>
      <c r="AM177" s="90"/>
      <c r="AN177" s="90"/>
      <c r="AO177" s="90"/>
      <c r="AP177" s="90"/>
      <c r="AQ177" s="90"/>
      <c r="AR177" s="254"/>
      <c r="AS177" s="254"/>
      <c r="AT177" s="254"/>
      <c r="AU177" s="254"/>
      <c r="AV177" s="254" t="str">
        <f>'Žádost o valuty'!Y177</f>
        <v>Španělsko a Kanár. o. </v>
      </c>
      <c r="AW177" s="254" t="str">
        <f>'Žádost o valuty'!Z177</f>
        <v>EUR</v>
      </c>
      <c r="AX177" s="254">
        <f>'Žádost o valuty'!AA177</f>
        <v>40</v>
      </c>
      <c r="AY177" s="254">
        <v>175</v>
      </c>
      <c r="AZ177" s="255"/>
      <c r="BA177" s="10"/>
    </row>
    <row r="178" spans="1:53" ht="3.75" customHeight="1">
      <c r="A178" s="10"/>
      <c r="B178" s="90"/>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89"/>
      <c r="AH178" s="89"/>
      <c r="AI178" s="89"/>
      <c r="AJ178" s="89"/>
      <c r="AK178" s="89"/>
      <c r="AR178" s="254"/>
      <c r="AS178" s="254"/>
      <c r="AT178" s="254"/>
      <c r="AU178" s="254"/>
      <c r="AV178" s="254" t="str">
        <f>'Žádost o valuty'!Y178</f>
        <v>Švédsko </v>
      </c>
      <c r="AW178" s="254" t="str">
        <f>'Žádost o valuty'!Z178</f>
        <v>EUR</v>
      </c>
      <c r="AX178" s="254">
        <f>'Žádost o valuty'!AA178</f>
        <v>50</v>
      </c>
      <c r="AY178" s="254">
        <v>176</v>
      </c>
      <c r="AZ178" s="255"/>
      <c r="BA178" s="10"/>
    </row>
    <row r="179" spans="1:53" ht="16.5" customHeight="1">
      <c r="A179" s="10"/>
      <c r="B179" s="90"/>
      <c r="C179" s="592" t="s">
        <v>51</v>
      </c>
      <c r="D179" s="592"/>
      <c r="E179" s="592"/>
      <c r="F179" s="592"/>
      <c r="G179" s="594" t="s">
        <v>395</v>
      </c>
      <c r="H179" s="594"/>
      <c r="I179" s="594"/>
      <c r="J179" s="594"/>
      <c r="K179" s="594"/>
      <c r="L179" s="594"/>
      <c r="M179" s="594"/>
      <c r="N179" s="1152"/>
      <c r="O179" s="1152"/>
      <c r="P179" s="1152"/>
      <c r="Q179" s="1152"/>
      <c r="R179" s="1152"/>
      <c r="S179" s="1152"/>
      <c r="T179" s="89"/>
      <c r="U179" s="594" t="s">
        <v>50</v>
      </c>
      <c r="V179" s="594"/>
      <c r="W179" s="594"/>
      <c r="X179" s="594"/>
      <c r="Y179" s="594"/>
      <c r="Z179" s="1152"/>
      <c r="AA179" s="1152"/>
      <c r="AB179" s="1152"/>
      <c r="AC179" s="1152"/>
      <c r="AD179" s="1152"/>
      <c r="AE179" s="1152"/>
      <c r="AF179" s="1152"/>
      <c r="AG179" s="307"/>
      <c r="AH179" s="307"/>
      <c r="AI179" s="307"/>
      <c r="AJ179" s="307"/>
      <c r="AK179" s="307"/>
      <c r="AR179" s="254"/>
      <c r="AS179" s="254"/>
      <c r="AT179" s="254"/>
      <c r="AU179" s="254"/>
      <c r="AV179" s="254" t="str">
        <f>'Žádost o valuty'!Y179</f>
        <v>Švýcarsko </v>
      </c>
      <c r="AW179" s="254" t="str">
        <f>'Žádost o valuty'!Z179</f>
        <v>CHF</v>
      </c>
      <c r="AX179" s="254">
        <f>'Žádost o valuty'!AA179</f>
        <v>75</v>
      </c>
      <c r="AY179" s="254">
        <v>177</v>
      </c>
      <c r="AZ179" s="255"/>
      <c r="BA179" s="10"/>
    </row>
    <row r="180" spans="1:53" ht="2.25" customHeight="1">
      <c r="A180" s="10"/>
      <c r="B180" s="90"/>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89"/>
      <c r="AH180" s="89"/>
      <c r="AI180" s="89"/>
      <c r="AJ180" s="89"/>
      <c r="AK180" s="89"/>
      <c r="AV180" s="254" t="str">
        <f>'Žádost o valuty'!Y180</f>
        <v>Tadžikistán </v>
      </c>
      <c r="AW180" s="254" t="str">
        <f>'Žádost o valuty'!Z180</f>
        <v>EUR</v>
      </c>
      <c r="AX180" s="254">
        <f>'Žádost o valuty'!AA180</f>
        <v>40</v>
      </c>
      <c r="AY180" s="254">
        <v>178</v>
      </c>
      <c r="AZ180" s="255"/>
      <c r="BA180" s="10"/>
    </row>
    <row r="181" spans="1:53" ht="11.25">
      <c r="A181" s="10"/>
      <c r="B181" s="10"/>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10"/>
      <c r="AH181" s="10"/>
      <c r="AI181" s="10"/>
      <c r="AJ181" s="10"/>
      <c r="AK181" s="10"/>
      <c r="AL181" s="10"/>
      <c r="AM181" s="10"/>
      <c r="AN181" s="10"/>
      <c r="AO181" s="10"/>
      <c r="AP181" s="10"/>
      <c r="AQ181" s="10"/>
      <c r="AR181" s="297"/>
      <c r="AS181" s="297"/>
      <c r="AT181" s="297"/>
      <c r="AU181" s="297"/>
      <c r="AV181" s="254" t="str">
        <f>'Žádost o valuty'!Y181</f>
        <v>Tahiti </v>
      </c>
      <c r="AW181" s="254" t="str">
        <f>'Žádost o valuty'!Z181</f>
        <v>USD</v>
      </c>
      <c r="AX181" s="254">
        <f>'Žádost o valuty'!AA181</f>
        <v>50</v>
      </c>
      <c r="AY181" s="254">
        <v>179</v>
      </c>
      <c r="AZ181" s="10"/>
      <c r="BA181" s="10"/>
    </row>
    <row r="182" spans="1:53" ht="11.25">
      <c r="A182" s="10"/>
      <c r="B182" s="10"/>
      <c r="C182" s="857"/>
      <c r="D182" s="857"/>
      <c r="E182" s="857"/>
      <c r="F182" s="857"/>
      <c r="G182" s="857"/>
      <c r="H182" s="857"/>
      <c r="I182" s="857"/>
      <c r="J182" s="857"/>
      <c r="K182" s="857"/>
      <c r="L182" s="857"/>
      <c r="M182" s="857"/>
      <c r="N182" s="857"/>
      <c r="O182" s="857"/>
      <c r="P182" s="857"/>
      <c r="Q182" s="857"/>
      <c r="R182" s="857"/>
      <c r="S182" s="857"/>
      <c r="T182" s="857"/>
      <c r="U182" s="857"/>
      <c r="V182" s="857"/>
      <c r="W182" s="857"/>
      <c r="X182" s="857"/>
      <c r="Y182" s="857"/>
      <c r="Z182" s="857"/>
      <c r="AA182" s="857"/>
      <c r="AB182" s="857"/>
      <c r="AC182" s="857"/>
      <c r="AD182" s="857"/>
      <c r="AE182" s="857"/>
      <c r="AF182" s="857"/>
      <c r="AG182" s="10"/>
      <c r="AH182" s="10"/>
      <c r="AI182" s="10"/>
      <c r="AJ182" s="10"/>
      <c r="AK182" s="10"/>
      <c r="AL182" s="10"/>
      <c r="AM182" s="10"/>
      <c r="AN182" s="10"/>
      <c r="AO182" s="10"/>
      <c r="AP182" s="10"/>
      <c r="AQ182" s="10"/>
      <c r="AR182" s="297"/>
      <c r="AS182" s="297"/>
      <c r="AT182" s="297"/>
      <c r="AU182" s="297"/>
      <c r="AV182" s="254" t="str">
        <f>'Žádost o valuty'!Y182</f>
        <v>Tanzánie </v>
      </c>
      <c r="AW182" s="254" t="str">
        <f>'Žádost o valuty'!Z182</f>
        <v>USD</v>
      </c>
      <c r="AX182" s="254">
        <f>'Žádost o valuty'!AA182</f>
        <v>55</v>
      </c>
      <c r="AY182" s="254">
        <v>180</v>
      </c>
      <c r="AZ182" s="10"/>
      <c r="BA182" s="10"/>
    </row>
    <row r="183" spans="1:53" ht="11.25">
      <c r="A183" s="10"/>
      <c r="B183" s="10"/>
      <c r="C183" s="857"/>
      <c r="D183" s="857"/>
      <c r="E183" s="857"/>
      <c r="F183" s="857"/>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10"/>
      <c r="AH183" s="10"/>
      <c r="AI183" s="10"/>
      <c r="AJ183" s="10"/>
      <c r="AK183" s="10"/>
      <c r="AL183" s="10"/>
      <c r="AM183" s="10"/>
      <c r="AN183" s="10"/>
      <c r="AO183" s="10"/>
      <c r="AP183" s="10"/>
      <c r="AQ183" s="10"/>
      <c r="AR183" s="297"/>
      <c r="AS183" s="297"/>
      <c r="AT183" s="297"/>
      <c r="AU183" s="297"/>
      <c r="AV183" s="254" t="str">
        <f>'Žádost o valuty'!Y183</f>
        <v>Thajsko </v>
      </c>
      <c r="AW183" s="254" t="str">
        <f>'Žádost o valuty'!Z183</f>
        <v>EUR</v>
      </c>
      <c r="AX183" s="254">
        <f>'Žádost o valuty'!AA183</f>
        <v>40</v>
      </c>
      <c r="AY183" s="254">
        <v>181</v>
      </c>
      <c r="AZ183" s="10"/>
      <c r="BA183" s="10"/>
    </row>
    <row r="184" spans="1:53" ht="11.25">
      <c r="A184" s="10"/>
      <c r="B184" s="10"/>
      <c r="C184" s="857"/>
      <c r="D184" s="857"/>
      <c r="E184" s="857"/>
      <c r="F184" s="857"/>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10"/>
      <c r="AH184" s="10"/>
      <c r="AI184" s="10"/>
      <c r="AJ184" s="10"/>
      <c r="AK184" s="10"/>
      <c r="AL184" s="10"/>
      <c r="AM184" s="10"/>
      <c r="AN184" s="10"/>
      <c r="AO184" s="10"/>
      <c r="AP184" s="10"/>
      <c r="AQ184" s="10"/>
      <c r="AR184" s="297"/>
      <c r="AS184" s="297"/>
      <c r="AT184" s="297"/>
      <c r="AU184" s="297"/>
      <c r="AV184" s="254" t="str">
        <f>'Žádost o valuty'!Y184</f>
        <v>Tchaj-wan </v>
      </c>
      <c r="AW184" s="254" t="str">
        <f>'Žádost o valuty'!Z184</f>
        <v>EUR</v>
      </c>
      <c r="AX184" s="254">
        <f>'Žádost o valuty'!AA184</f>
        <v>40</v>
      </c>
      <c r="AY184" s="254">
        <v>182</v>
      </c>
      <c r="AZ184" s="10"/>
      <c r="BA184" s="10"/>
    </row>
    <row r="185" spans="44:52" ht="11.25">
      <c r="AR185" s="254"/>
      <c r="AS185" s="254"/>
      <c r="AT185" s="254"/>
      <c r="AU185" s="254"/>
      <c r="AV185" s="254" t="str">
        <f>'Žádost o valuty'!Y185</f>
        <v>Togo </v>
      </c>
      <c r="AW185" s="254" t="str">
        <f>'Žádost o valuty'!Z185</f>
        <v>EUR</v>
      </c>
      <c r="AX185" s="254">
        <f>'Žádost o valuty'!AA185</f>
        <v>40</v>
      </c>
      <c r="AY185" s="254">
        <v>183</v>
      </c>
      <c r="AZ185" s="255"/>
    </row>
    <row r="186" spans="44:52" ht="22.5">
      <c r="AR186" s="254"/>
      <c r="AS186" s="254"/>
      <c r="AT186" s="254"/>
      <c r="AU186" s="254"/>
      <c r="AV186" s="254" t="str">
        <f>'Žádost o valuty'!Y186</f>
        <v>Trinidad a Tobago </v>
      </c>
      <c r="AW186" s="254" t="str">
        <f>'Žádost o valuty'!Z186</f>
        <v>USD</v>
      </c>
      <c r="AX186" s="254">
        <f>'Žádost o valuty'!AA186</f>
        <v>55</v>
      </c>
      <c r="AY186" s="254">
        <v>184</v>
      </c>
      <c r="AZ186" s="255"/>
    </row>
    <row r="187" spans="44:52" ht="13.5" customHeight="1">
      <c r="AR187" s="254"/>
      <c r="AS187" s="254"/>
      <c r="AT187" s="254"/>
      <c r="AU187" s="254"/>
      <c r="AV187" s="254" t="str">
        <f>'Žádost o valuty'!Y187</f>
        <v>Tunisko </v>
      </c>
      <c r="AW187" s="254" t="str">
        <f>'Žádost o valuty'!Z187</f>
        <v>EUR</v>
      </c>
      <c r="AX187" s="254">
        <f>'Žádost o valuty'!AA187</f>
        <v>40</v>
      </c>
      <c r="AY187" s="254">
        <v>185</v>
      </c>
      <c r="AZ187" s="255"/>
    </row>
    <row r="188" spans="44:52" ht="11.25">
      <c r="AR188" s="254"/>
      <c r="AS188" s="254"/>
      <c r="AT188" s="254"/>
      <c r="AU188" s="254"/>
      <c r="AV188" s="254" t="str">
        <f>'Žádost o valuty'!Y188</f>
        <v>Turecko </v>
      </c>
      <c r="AW188" s="254" t="str">
        <f>'Žádost o valuty'!Z188</f>
        <v>EUR</v>
      </c>
      <c r="AX188" s="254">
        <f>'Žádost o valuty'!AA188</f>
        <v>40</v>
      </c>
      <c r="AY188" s="254">
        <v>186</v>
      </c>
      <c r="AZ188" s="255"/>
    </row>
    <row r="189" spans="44:52" ht="11.25">
      <c r="AR189" s="254"/>
      <c r="AS189" s="254"/>
      <c r="AT189" s="254"/>
      <c r="AU189" s="254"/>
      <c r="AV189" s="254" t="str">
        <f>'Žádost o valuty'!Y189</f>
        <v>Turkmenistán </v>
      </c>
      <c r="AW189" s="254" t="str">
        <f>'Žádost o valuty'!Z189</f>
        <v>EUR</v>
      </c>
      <c r="AX189" s="254">
        <f>'Žádost o valuty'!AA189</f>
        <v>40</v>
      </c>
      <c r="AY189" s="254">
        <v>187</v>
      </c>
      <c r="AZ189" s="255"/>
    </row>
    <row r="190" spans="44:52" ht="11.25">
      <c r="AR190" s="254"/>
      <c r="AS190" s="254"/>
      <c r="AT190" s="254"/>
      <c r="AU190" s="254"/>
      <c r="AV190" s="254" t="str">
        <f>'Žádost o valuty'!Y190</f>
        <v>Uganda </v>
      </c>
      <c r="AW190" s="254" t="str">
        <f>'Žádost o valuty'!Z190</f>
        <v>USD</v>
      </c>
      <c r="AX190" s="254">
        <f>'Žádost o valuty'!AA190</f>
        <v>55</v>
      </c>
      <c r="AY190" s="254">
        <v>188</v>
      </c>
      <c r="AZ190" s="256"/>
    </row>
    <row r="191" spans="3:52" ht="11.25">
      <c r="C191" s="1101"/>
      <c r="D191" s="1101"/>
      <c r="E191" s="1101"/>
      <c r="F191" s="1101"/>
      <c r="G191" s="1101"/>
      <c r="H191" s="1101"/>
      <c r="I191" s="1101"/>
      <c r="J191" s="1101"/>
      <c r="K191" s="1101"/>
      <c r="AR191" s="254"/>
      <c r="AS191" s="254"/>
      <c r="AT191" s="254"/>
      <c r="AU191" s="254"/>
      <c r="AV191" s="254" t="str">
        <f>'Žádost o valuty'!Y191</f>
        <v>Ukrajina </v>
      </c>
      <c r="AW191" s="254" t="str">
        <f>'Žádost o valuty'!Z191</f>
        <v>EUR</v>
      </c>
      <c r="AX191" s="254">
        <f>'Žádost o valuty'!AA191</f>
        <v>45</v>
      </c>
      <c r="AY191" s="254">
        <v>189</v>
      </c>
      <c r="AZ191" s="255"/>
    </row>
    <row r="192" spans="3:52" ht="12.75">
      <c r="C192" s="1156"/>
      <c r="D192" s="1156"/>
      <c r="E192" s="1156"/>
      <c r="F192" s="1156"/>
      <c r="G192" s="1156"/>
      <c r="H192" s="1155"/>
      <c r="I192" s="1155"/>
      <c r="J192" s="1154"/>
      <c r="K192" s="1154"/>
      <c r="N192" s="299"/>
      <c r="AR192" s="254"/>
      <c r="AS192" s="254"/>
      <c r="AT192" s="254"/>
      <c r="AU192" s="254"/>
      <c r="AV192" s="254" t="str">
        <f>'Žádost o valuty'!Y192</f>
        <v>Uruguay </v>
      </c>
      <c r="AW192" s="254" t="str">
        <f>'Žádost o valuty'!Z192</f>
        <v>USD</v>
      </c>
      <c r="AX192" s="254">
        <f>'Žádost o valuty'!AA192</f>
        <v>50</v>
      </c>
      <c r="AY192" s="254">
        <v>190</v>
      </c>
      <c r="AZ192" s="255"/>
    </row>
    <row r="193" spans="3:52" ht="12.75">
      <c r="C193" s="1156"/>
      <c r="D193" s="1156"/>
      <c r="E193" s="1156"/>
      <c r="F193" s="1156"/>
      <c r="G193" s="1156"/>
      <c r="H193" s="1155"/>
      <c r="I193" s="1155"/>
      <c r="J193" s="1154"/>
      <c r="K193" s="1154"/>
      <c r="AR193" s="254"/>
      <c r="AS193" s="254"/>
      <c r="AT193" s="254"/>
      <c r="AU193" s="254"/>
      <c r="AV193" s="254" t="str">
        <f>'Žádost o valuty'!Y193</f>
        <v>USA </v>
      </c>
      <c r="AW193" s="254" t="str">
        <f>'Žádost o valuty'!Z193</f>
        <v>USD</v>
      </c>
      <c r="AX193" s="254">
        <f>'Žádost o valuty'!AA193</f>
        <v>55</v>
      </c>
      <c r="AY193" s="254">
        <v>191</v>
      </c>
      <c r="AZ193" s="256"/>
    </row>
    <row r="194" spans="3:52" ht="11.25">
      <c r="C194" s="1156"/>
      <c r="D194" s="1156"/>
      <c r="E194" s="1156"/>
      <c r="F194" s="1153"/>
      <c r="G194" s="1153"/>
      <c r="AR194" s="254"/>
      <c r="AS194" s="254"/>
      <c r="AT194" s="254"/>
      <c r="AU194" s="254"/>
      <c r="AV194" s="254" t="str">
        <f>'Žádost o valuty'!Y194</f>
        <v>Uzbekistán </v>
      </c>
      <c r="AW194" s="254" t="str">
        <f>'Žádost o valuty'!Z194</f>
        <v>EUR</v>
      </c>
      <c r="AX194" s="254">
        <f>'Žádost o valuty'!AA194</f>
        <v>40</v>
      </c>
      <c r="AY194" s="254">
        <v>192</v>
      </c>
      <c r="AZ194" s="255"/>
    </row>
    <row r="195" spans="6:52" ht="11.25">
      <c r="F195" s="1153"/>
      <c r="G195" s="1153"/>
      <c r="AR195" s="254"/>
      <c r="AS195" s="254"/>
      <c r="AT195" s="254"/>
      <c r="AU195" s="254"/>
      <c r="AV195" s="254" t="str">
        <f>'Žádost o valuty'!Y195</f>
        <v>Vatikán</v>
      </c>
      <c r="AW195" s="254" t="str">
        <f>'Žádost o valuty'!Z195</f>
        <v>EUR</v>
      </c>
      <c r="AX195" s="254">
        <f>'Žádost o valuty'!AA195</f>
        <v>45</v>
      </c>
      <c r="AY195" s="254">
        <v>193</v>
      </c>
      <c r="AZ195" s="255"/>
    </row>
    <row r="196" spans="6:52" ht="11.25">
      <c r="F196" s="1153"/>
      <c r="G196" s="1153"/>
      <c r="AR196" s="254"/>
      <c r="AS196" s="254"/>
      <c r="AT196" s="254"/>
      <c r="AU196" s="254"/>
      <c r="AV196" s="254" t="str">
        <f>'Žádost o valuty'!Y196</f>
        <v>Velká Británie </v>
      </c>
      <c r="AW196" s="254" t="str">
        <f>'Žádost o valuty'!Z196</f>
        <v>GBP</v>
      </c>
      <c r="AX196" s="254">
        <f>'Žádost o valuty'!AA196</f>
        <v>40</v>
      </c>
      <c r="AY196" s="254">
        <v>194</v>
      </c>
      <c r="AZ196" s="255"/>
    </row>
    <row r="197" spans="5:52" ht="11.25">
      <c r="E197" s="298"/>
      <c r="AR197" s="257"/>
      <c r="AS197" s="257"/>
      <c r="AT197" s="257"/>
      <c r="AU197" s="257"/>
      <c r="AV197" s="254" t="str">
        <f>'Žádost o valuty'!Y197</f>
        <v>Venezuela </v>
      </c>
      <c r="AW197" s="254" t="str">
        <f>'Žádost o valuty'!Z197</f>
        <v>USD</v>
      </c>
      <c r="AX197" s="254">
        <f>'Žádost o valuty'!AA197</f>
        <v>60</v>
      </c>
      <c r="AY197" s="254">
        <v>195</v>
      </c>
      <c r="AZ197" s="255"/>
    </row>
    <row r="198" spans="44:52" ht="11.25">
      <c r="AR198" s="254"/>
      <c r="AS198" s="254"/>
      <c r="AT198" s="254"/>
      <c r="AU198" s="254"/>
      <c r="AV198" s="254" t="str">
        <f>'Žádost o valuty'!Y198</f>
        <v>Vietnam </v>
      </c>
      <c r="AW198" s="254" t="str">
        <f>'Žádost o valuty'!Z198</f>
        <v>EUR</v>
      </c>
      <c r="AX198" s="254">
        <f>'Žádost o valuty'!AA198</f>
        <v>40</v>
      </c>
      <c r="AY198" s="254">
        <v>196</v>
      </c>
      <c r="AZ198" s="255"/>
    </row>
    <row r="199" spans="44:52" ht="11.25">
      <c r="AR199" s="254"/>
      <c r="AS199" s="254"/>
      <c r="AT199" s="254"/>
      <c r="AU199" s="254"/>
      <c r="AV199" s="254" t="str">
        <f>'Žádost o valuty'!Y199</f>
        <v>Zambie </v>
      </c>
      <c r="AW199" s="254" t="str">
        <f>'Žádost o valuty'!Z199</f>
        <v>USD</v>
      </c>
      <c r="AX199" s="254">
        <f>'Žádost o valuty'!AA199</f>
        <v>50</v>
      </c>
      <c r="AY199" s="254">
        <v>197</v>
      </c>
      <c r="AZ199" s="255"/>
    </row>
    <row r="200" spans="44:52" ht="11.25">
      <c r="AR200" s="254"/>
      <c r="AS200" s="254"/>
      <c r="AT200" s="254"/>
      <c r="AU200" s="254"/>
      <c r="AV200" s="254" t="str">
        <f>'Žádost o valuty'!Y200</f>
        <v>Zimbabwe </v>
      </c>
      <c r="AW200" s="254" t="str">
        <f>'Žádost o valuty'!Z200</f>
        <v>USD</v>
      </c>
      <c r="AX200" s="254">
        <f>'Žádost o valuty'!AA200</f>
        <v>45</v>
      </c>
      <c r="AY200" s="254">
        <v>198</v>
      </c>
      <c r="AZ200" s="255"/>
    </row>
    <row r="201" spans="44:52" ht="11.25">
      <c r="AR201" s="254"/>
      <c r="AS201" s="254"/>
      <c r="AT201" s="254"/>
      <c r="AU201" s="254"/>
      <c r="AY201" s="254">
        <v>199</v>
      </c>
      <c r="AZ201" s="255"/>
    </row>
    <row r="202" spans="44:52" ht="11.25">
      <c r="AR202" s="254"/>
      <c r="AS202" s="254"/>
      <c r="AT202" s="254"/>
      <c r="AU202" s="254"/>
      <c r="AV202" s="254">
        <f>'Žádost o valuty'!Y201</f>
        <v>0</v>
      </c>
      <c r="AW202" s="254">
        <f>'Žádost o valuty'!Z201</f>
        <v>0</v>
      </c>
      <c r="AX202" s="254">
        <f>'Žádost o valuty'!AA201</f>
        <v>0</v>
      </c>
      <c r="AY202" s="254">
        <v>200</v>
      </c>
      <c r="AZ202" s="255"/>
    </row>
    <row r="203" spans="44:52" ht="11.25">
      <c r="AR203" s="254"/>
      <c r="AS203" s="254"/>
      <c r="AT203" s="254"/>
      <c r="AU203" s="254"/>
      <c r="AV203" s="254">
        <f>'Žádost o valuty'!Y202</f>
        <v>0</v>
      </c>
      <c r="AW203" s="254">
        <f>'Žádost o valuty'!Z202</f>
        <v>0</v>
      </c>
      <c r="AX203" s="254">
        <f>'Žádost o valuty'!AA202</f>
        <v>0</v>
      </c>
      <c r="AY203" s="254">
        <v>201</v>
      </c>
      <c r="AZ203" s="255"/>
    </row>
    <row r="204" spans="44:52" ht="11.25">
      <c r="AR204" s="254"/>
      <c r="AS204" s="254"/>
      <c r="AT204" s="254"/>
      <c r="AU204" s="254"/>
      <c r="AV204" s="254">
        <f>'Žádost o valuty'!Y203</f>
        <v>0</v>
      </c>
      <c r="AW204" s="254">
        <f>'Žádost o valuty'!Z203</f>
        <v>0</v>
      </c>
      <c r="AX204" s="254">
        <f>'Žádost o valuty'!AA203</f>
        <v>0</v>
      </c>
      <c r="AY204" s="254">
        <v>202</v>
      </c>
      <c r="AZ204" s="255"/>
    </row>
    <row r="205" spans="44:52" ht="11.25">
      <c r="AR205" s="254"/>
      <c r="AS205" s="254"/>
      <c r="AT205" s="254"/>
      <c r="AU205" s="254"/>
      <c r="AV205" s="254">
        <f>'Žádost o valuty'!Y204</f>
        <v>0</v>
      </c>
      <c r="AW205" s="254">
        <f>'Žádost o valuty'!Z204</f>
        <v>0</v>
      </c>
      <c r="AX205" s="254">
        <f>'Žádost o valuty'!AA204</f>
        <v>0</v>
      </c>
      <c r="AY205" s="254">
        <v>203</v>
      </c>
      <c r="AZ205" s="256"/>
    </row>
    <row r="206" spans="44:52" ht="11.25">
      <c r="AR206" s="254"/>
      <c r="AS206" s="254"/>
      <c r="AT206" s="254"/>
      <c r="AU206" s="254"/>
      <c r="AV206" s="254">
        <f>'Žádost o valuty'!Y205</f>
        <v>0</v>
      </c>
      <c r="AW206" s="254">
        <f>'Žádost o valuty'!Z205</f>
        <v>0</v>
      </c>
      <c r="AX206" s="254">
        <f>'Žádost o valuty'!AA205</f>
        <v>0</v>
      </c>
      <c r="AY206" s="254">
        <v>204</v>
      </c>
      <c r="AZ206" s="255"/>
    </row>
    <row r="207" spans="44:52" ht="11.25">
      <c r="AR207" s="254"/>
      <c r="AS207" s="254"/>
      <c r="AT207" s="254"/>
      <c r="AU207" s="254"/>
      <c r="AV207" s="254">
        <f>'Žádost o valuty'!Y206</f>
        <v>0</v>
      </c>
      <c r="AW207" s="254">
        <f>'Žádost o valuty'!Z206</f>
        <v>0</v>
      </c>
      <c r="AX207" s="254">
        <f>'Žádost o valuty'!AA206</f>
        <v>0</v>
      </c>
      <c r="AY207" s="254">
        <v>205</v>
      </c>
      <c r="AZ207" s="255"/>
    </row>
    <row r="208" spans="44:52" ht="11.25">
      <c r="AR208" s="254"/>
      <c r="AS208" s="254"/>
      <c r="AT208" s="254"/>
      <c r="AU208" s="254"/>
      <c r="AV208" s="254">
        <f>'Žádost o valuty'!Y207</f>
        <v>0</v>
      </c>
      <c r="AW208" s="254">
        <f>'Žádost o valuty'!Z207</f>
        <v>0</v>
      </c>
      <c r="AX208" s="254">
        <f>'Žádost o valuty'!AA207</f>
        <v>0</v>
      </c>
      <c r="AY208" s="254">
        <v>206</v>
      </c>
      <c r="AZ208" s="255"/>
    </row>
    <row r="209" spans="44:52" ht="11.25">
      <c r="AR209" s="254"/>
      <c r="AS209" s="254"/>
      <c r="AT209" s="254"/>
      <c r="AU209" s="254"/>
      <c r="AV209" s="254"/>
      <c r="AW209" s="254"/>
      <c r="AX209" s="254"/>
      <c r="AY209" s="255"/>
      <c r="AZ209" s="255"/>
    </row>
  </sheetData>
  <sheetProtection sheet="1" objects="1" scenarios="1" selectLockedCells="1"/>
  <mergeCells count="1016">
    <mergeCell ref="W143:Z143"/>
    <mergeCell ref="W144:Z144"/>
    <mergeCell ref="W139:Z139"/>
    <mergeCell ref="W140:Z140"/>
    <mergeCell ref="W141:Z141"/>
    <mergeCell ref="W142:Z142"/>
    <mergeCell ref="M142:Q142"/>
    <mergeCell ref="M143:Q143"/>
    <mergeCell ref="R137:V137"/>
    <mergeCell ref="R138:V138"/>
    <mergeCell ref="R139:V139"/>
    <mergeCell ref="R140:V140"/>
    <mergeCell ref="R141:V141"/>
    <mergeCell ref="R142:V142"/>
    <mergeCell ref="R143:V143"/>
    <mergeCell ref="M138:Q138"/>
    <mergeCell ref="M140:Q140"/>
    <mergeCell ref="M141:Q141"/>
    <mergeCell ref="R136:V136"/>
    <mergeCell ref="W136:Z136"/>
    <mergeCell ref="M136:Q136"/>
    <mergeCell ref="M137:Q137"/>
    <mergeCell ref="W137:Z137"/>
    <mergeCell ref="W138:Z138"/>
    <mergeCell ref="I135:L135"/>
    <mergeCell ref="I138:L138"/>
    <mergeCell ref="I139:L139"/>
    <mergeCell ref="I140:L140"/>
    <mergeCell ref="I141:L141"/>
    <mergeCell ref="I136:L136"/>
    <mergeCell ref="I137:L137"/>
    <mergeCell ref="AI29:AI30"/>
    <mergeCell ref="AD55:AF55"/>
    <mergeCell ref="J55:K56"/>
    <mergeCell ref="L55:S56"/>
    <mergeCell ref="T55:V56"/>
    <mergeCell ref="W55:Y56"/>
    <mergeCell ref="AC31:AC32"/>
    <mergeCell ref="Z33:AB34"/>
    <mergeCell ref="AC33:AC34"/>
    <mergeCell ref="AF33:AF34"/>
    <mergeCell ref="C55:E56"/>
    <mergeCell ref="F55:G56"/>
    <mergeCell ref="H55:H56"/>
    <mergeCell ref="I55:I56"/>
    <mergeCell ref="C111:E111"/>
    <mergeCell ref="F111:G111"/>
    <mergeCell ref="H111:H112"/>
    <mergeCell ref="I111:I112"/>
    <mergeCell ref="C112:E112"/>
    <mergeCell ref="F112:G112"/>
    <mergeCell ref="AA136:AF136"/>
    <mergeCell ref="AC132:AF132"/>
    <mergeCell ref="Y131:AB131"/>
    <mergeCell ref="J111:K112"/>
    <mergeCell ref="L111:S112"/>
    <mergeCell ref="T111:V112"/>
    <mergeCell ref="W111:Y112"/>
    <mergeCell ref="AE117:AE118"/>
    <mergeCell ref="AD115:AD116"/>
    <mergeCell ref="AE115:AE116"/>
    <mergeCell ref="AF115:AF116"/>
    <mergeCell ref="AF117:AF118"/>
    <mergeCell ref="AD117:AD118"/>
    <mergeCell ref="Z45:AB46"/>
    <mergeCell ref="C141:H141"/>
    <mergeCell ref="AA141:AF141"/>
    <mergeCell ref="M129:P129"/>
    <mergeCell ref="Q129:T129"/>
    <mergeCell ref="C135:H135"/>
    <mergeCell ref="AC130:AF130"/>
    <mergeCell ref="AA135:AF135"/>
    <mergeCell ref="AC131:AF131"/>
    <mergeCell ref="AA140:AF140"/>
    <mergeCell ref="Z47:AB48"/>
    <mergeCell ref="AC47:AC48"/>
    <mergeCell ref="Z49:AB50"/>
    <mergeCell ref="AC49:AC50"/>
    <mergeCell ref="AF109:AF110"/>
    <mergeCell ref="AD109:AD110"/>
    <mergeCell ref="AE109:AE110"/>
    <mergeCell ref="AF103:AF104"/>
    <mergeCell ref="AF105:AF106"/>
    <mergeCell ref="AD103:AD104"/>
    <mergeCell ref="AC45:AC46"/>
    <mergeCell ref="AF113:AF114"/>
    <mergeCell ref="AD113:AD114"/>
    <mergeCell ref="AE113:AE114"/>
    <mergeCell ref="AD111:AD112"/>
    <mergeCell ref="AE111:AE112"/>
    <mergeCell ref="AF111:AF112"/>
    <mergeCell ref="AD107:AD108"/>
    <mergeCell ref="AE107:AE108"/>
    <mergeCell ref="AF107:AF108"/>
    <mergeCell ref="C117:E117"/>
    <mergeCell ref="F117:G117"/>
    <mergeCell ref="H117:H118"/>
    <mergeCell ref="I117:I118"/>
    <mergeCell ref="C118:E118"/>
    <mergeCell ref="F118:G118"/>
    <mergeCell ref="J117:K118"/>
    <mergeCell ref="L117:S118"/>
    <mergeCell ref="T117:V118"/>
    <mergeCell ref="W117:Y118"/>
    <mergeCell ref="C113:E113"/>
    <mergeCell ref="F113:G113"/>
    <mergeCell ref="H113:H114"/>
    <mergeCell ref="I113:I114"/>
    <mergeCell ref="C114:E114"/>
    <mergeCell ref="F114:G114"/>
    <mergeCell ref="J115:K116"/>
    <mergeCell ref="L115:S116"/>
    <mergeCell ref="T115:V116"/>
    <mergeCell ref="W115:Y116"/>
    <mergeCell ref="C115:E115"/>
    <mergeCell ref="F115:G115"/>
    <mergeCell ref="H115:H116"/>
    <mergeCell ref="I115:I116"/>
    <mergeCell ref="C116:E116"/>
    <mergeCell ref="F116:G116"/>
    <mergeCell ref="J113:K114"/>
    <mergeCell ref="L113:S114"/>
    <mergeCell ref="T113:V114"/>
    <mergeCell ref="W113:Y114"/>
    <mergeCell ref="L109:S110"/>
    <mergeCell ref="T109:V110"/>
    <mergeCell ref="W109:Y110"/>
    <mergeCell ref="J109:K110"/>
    <mergeCell ref="C109:E109"/>
    <mergeCell ref="F109:G109"/>
    <mergeCell ref="H109:H110"/>
    <mergeCell ref="I109:I110"/>
    <mergeCell ref="C110:E110"/>
    <mergeCell ref="F110:G110"/>
    <mergeCell ref="C105:E105"/>
    <mergeCell ref="F105:G105"/>
    <mergeCell ref="H105:H106"/>
    <mergeCell ref="I105:I106"/>
    <mergeCell ref="C106:E106"/>
    <mergeCell ref="F106:G106"/>
    <mergeCell ref="J107:K108"/>
    <mergeCell ref="L107:S108"/>
    <mergeCell ref="T107:V108"/>
    <mergeCell ref="W107:Y108"/>
    <mergeCell ref="C107:E107"/>
    <mergeCell ref="F107:G107"/>
    <mergeCell ref="H107:H108"/>
    <mergeCell ref="I107:I108"/>
    <mergeCell ref="C108:E108"/>
    <mergeCell ref="F108:G108"/>
    <mergeCell ref="J105:K106"/>
    <mergeCell ref="L105:S106"/>
    <mergeCell ref="T105:V106"/>
    <mergeCell ref="W105:Y106"/>
    <mergeCell ref="AD105:AD106"/>
    <mergeCell ref="AE105:AE106"/>
    <mergeCell ref="AE103:AE104"/>
    <mergeCell ref="AF101:AF102"/>
    <mergeCell ref="J101:K102"/>
    <mergeCell ref="L101:S102"/>
    <mergeCell ref="T101:V102"/>
    <mergeCell ref="W101:Y102"/>
    <mergeCell ref="AD101:AD102"/>
    <mergeCell ref="AE101:AE102"/>
    <mergeCell ref="Z101:AB102"/>
    <mergeCell ref="J103:K104"/>
    <mergeCell ref="L103:S104"/>
    <mergeCell ref="T103:V104"/>
    <mergeCell ref="W103:Y104"/>
    <mergeCell ref="C103:E103"/>
    <mergeCell ref="F103:G103"/>
    <mergeCell ref="H103:H104"/>
    <mergeCell ref="I103:I104"/>
    <mergeCell ref="C104:E104"/>
    <mergeCell ref="F104:G104"/>
    <mergeCell ref="C101:E101"/>
    <mergeCell ref="F101:G101"/>
    <mergeCell ref="H101:H102"/>
    <mergeCell ref="I101:I102"/>
    <mergeCell ref="C102:E102"/>
    <mergeCell ref="F102:G102"/>
    <mergeCell ref="C97:E97"/>
    <mergeCell ref="F97:G97"/>
    <mergeCell ref="H97:H98"/>
    <mergeCell ref="I97:I98"/>
    <mergeCell ref="C98:E98"/>
    <mergeCell ref="F98:G98"/>
    <mergeCell ref="AD99:AD100"/>
    <mergeCell ref="AE99:AE100"/>
    <mergeCell ref="AF99:AF100"/>
    <mergeCell ref="J99:K100"/>
    <mergeCell ref="L99:S100"/>
    <mergeCell ref="T99:V100"/>
    <mergeCell ref="W99:Y100"/>
    <mergeCell ref="C99:E99"/>
    <mergeCell ref="F99:G99"/>
    <mergeCell ref="H99:H100"/>
    <mergeCell ref="I99:I100"/>
    <mergeCell ref="C100:E100"/>
    <mergeCell ref="F100:G100"/>
    <mergeCell ref="AF95:AF96"/>
    <mergeCell ref="AF97:AF98"/>
    <mergeCell ref="J97:K98"/>
    <mergeCell ref="L97:S98"/>
    <mergeCell ref="T97:V98"/>
    <mergeCell ref="W97:Y98"/>
    <mergeCell ref="AD97:AD98"/>
    <mergeCell ref="AE97:AE98"/>
    <mergeCell ref="AD95:AD96"/>
    <mergeCell ref="AE95:AE96"/>
    <mergeCell ref="AF93:AF94"/>
    <mergeCell ref="J93:K94"/>
    <mergeCell ref="L93:S94"/>
    <mergeCell ref="T93:V94"/>
    <mergeCell ref="W93:Y94"/>
    <mergeCell ref="AD93:AD94"/>
    <mergeCell ref="AE93:AE94"/>
    <mergeCell ref="Z93:AB94"/>
    <mergeCell ref="AC93:AC94"/>
    <mergeCell ref="J95:K96"/>
    <mergeCell ref="L95:S96"/>
    <mergeCell ref="T95:V96"/>
    <mergeCell ref="W95:Y96"/>
    <mergeCell ref="C95:E95"/>
    <mergeCell ref="F95:G95"/>
    <mergeCell ref="H95:H96"/>
    <mergeCell ref="I95:I96"/>
    <mergeCell ref="C96:E96"/>
    <mergeCell ref="F96:G96"/>
    <mergeCell ref="F90:G90"/>
    <mergeCell ref="C93:E93"/>
    <mergeCell ref="F93:G93"/>
    <mergeCell ref="H93:H94"/>
    <mergeCell ref="I93:I94"/>
    <mergeCell ref="C94:E94"/>
    <mergeCell ref="F94:G94"/>
    <mergeCell ref="L91:S92"/>
    <mergeCell ref="T91:V92"/>
    <mergeCell ref="W91:Y92"/>
    <mergeCell ref="AD91:AD92"/>
    <mergeCell ref="AE91:AE92"/>
    <mergeCell ref="C89:E89"/>
    <mergeCell ref="F89:G89"/>
    <mergeCell ref="H89:H90"/>
    <mergeCell ref="I89:I90"/>
    <mergeCell ref="C90:E90"/>
    <mergeCell ref="AF91:AF92"/>
    <mergeCell ref="Z91:AB92"/>
    <mergeCell ref="AC91:AC92"/>
    <mergeCell ref="C91:E91"/>
    <mergeCell ref="F91:G91"/>
    <mergeCell ref="H91:H92"/>
    <mergeCell ref="I91:I92"/>
    <mergeCell ref="C92:E92"/>
    <mergeCell ref="F92:G92"/>
    <mergeCell ref="J91:K92"/>
    <mergeCell ref="AF89:AF90"/>
    <mergeCell ref="J89:K90"/>
    <mergeCell ref="L89:S90"/>
    <mergeCell ref="T89:V90"/>
    <mergeCell ref="W89:Y90"/>
    <mergeCell ref="AD89:AD90"/>
    <mergeCell ref="AE89:AE90"/>
    <mergeCell ref="Z89:AB90"/>
    <mergeCell ref="AC89:AC90"/>
    <mergeCell ref="AD87:AD88"/>
    <mergeCell ref="AE87:AE88"/>
    <mergeCell ref="AF87:AF88"/>
    <mergeCell ref="C88:E88"/>
    <mergeCell ref="F88:G88"/>
    <mergeCell ref="L87:S88"/>
    <mergeCell ref="T87:V88"/>
    <mergeCell ref="F87:G87"/>
    <mergeCell ref="H87:H88"/>
    <mergeCell ref="I87:I88"/>
    <mergeCell ref="W87:Y88"/>
    <mergeCell ref="C85:E85"/>
    <mergeCell ref="F85:G85"/>
    <mergeCell ref="H85:H86"/>
    <mergeCell ref="I85:I86"/>
    <mergeCell ref="C86:E86"/>
    <mergeCell ref="F86:G86"/>
    <mergeCell ref="J85:K86"/>
    <mergeCell ref="L85:S86"/>
    <mergeCell ref="J87:K88"/>
    <mergeCell ref="T85:V86"/>
    <mergeCell ref="W85:Y86"/>
    <mergeCell ref="L83:S84"/>
    <mergeCell ref="T83:V84"/>
    <mergeCell ref="W83:Y84"/>
    <mergeCell ref="AF85:AF86"/>
    <mergeCell ref="AD85:AD86"/>
    <mergeCell ref="AE85:AE86"/>
    <mergeCell ref="Z85:AB86"/>
    <mergeCell ref="AC85:AC86"/>
    <mergeCell ref="AD83:AD84"/>
    <mergeCell ref="AE83:AE84"/>
    <mergeCell ref="AF83:AF84"/>
    <mergeCell ref="I128:L128"/>
    <mergeCell ref="M128:P128"/>
    <mergeCell ref="Q128:T128"/>
    <mergeCell ref="U128:X128"/>
    <mergeCell ref="Y128:AB128"/>
    <mergeCell ref="AC128:AF128"/>
    <mergeCell ref="J83:K84"/>
    <mergeCell ref="C81:E81"/>
    <mergeCell ref="F81:G81"/>
    <mergeCell ref="H81:H82"/>
    <mergeCell ref="I81:I82"/>
    <mergeCell ref="C82:E82"/>
    <mergeCell ref="F82:G82"/>
    <mergeCell ref="C83:E83"/>
    <mergeCell ref="F83:G83"/>
    <mergeCell ref="H83:H84"/>
    <mergeCell ref="I83:I84"/>
    <mergeCell ref="C84:E84"/>
    <mergeCell ref="F84:G84"/>
    <mergeCell ref="J81:K82"/>
    <mergeCell ref="L81:S82"/>
    <mergeCell ref="T81:V82"/>
    <mergeCell ref="W81:Y82"/>
    <mergeCell ref="C77:E77"/>
    <mergeCell ref="F77:G77"/>
    <mergeCell ref="H77:H78"/>
    <mergeCell ref="I77:I78"/>
    <mergeCell ref="C78:E78"/>
    <mergeCell ref="F78:G78"/>
    <mergeCell ref="J79:K80"/>
    <mergeCell ref="L79:S80"/>
    <mergeCell ref="T79:V80"/>
    <mergeCell ref="W79:Y80"/>
    <mergeCell ref="AD79:AD80"/>
    <mergeCell ref="AE79:AE80"/>
    <mergeCell ref="AF79:AF80"/>
    <mergeCell ref="Q127:T127"/>
    <mergeCell ref="U127:X127"/>
    <mergeCell ref="Y127:AB127"/>
    <mergeCell ref="AC127:AF127"/>
    <mergeCell ref="AF81:AF82"/>
    <mergeCell ref="AD81:AD82"/>
    <mergeCell ref="AE81:AE82"/>
    <mergeCell ref="U124:X124"/>
    <mergeCell ref="AC126:AF126"/>
    <mergeCell ref="C79:E79"/>
    <mergeCell ref="F79:G79"/>
    <mergeCell ref="H79:H80"/>
    <mergeCell ref="I79:I80"/>
    <mergeCell ref="C80:E80"/>
    <mergeCell ref="F80:G80"/>
    <mergeCell ref="AF75:AF76"/>
    <mergeCell ref="AF77:AF78"/>
    <mergeCell ref="J77:K78"/>
    <mergeCell ref="L77:S78"/>
    <mergeCell ref="T77:V78"/>
    <mergeCell ref="W77:Y78"/>
    <mergeCell ref="AD77:AD78"/>
    <mergeCell ref="AE77:AE78"/>
    <mergeCell ref="AD75:AD76"/>
    <mergeCell ref="AE75:AE76"/>
    <mergeCell ref="AF73:AF74"/>
    <mergeCell ref="J73:K74"/>
    <mergeCell ref="L73:S74"/>
    <mergeCell ref="T73:V74"/>
    <mergeCell ref="W73:Y74"/>
    <mergeCell ref="AD73:AD74"/>
    <mergeCell ref="AE73:AE74"/>
    <mergeCell ref="Z73:AB74"/>
    <mergeCell ref="AC73:AC74"/>
    <mergeCell ref="L75:S76"/>
    <mergeCell ref="T75:V76"/>
    <mergeCell ref="W75:Y76"/>
    <mergeCell ref="C75:E75"/>
    <mergeCell ref="F75:G75"/>
    <mergeCell ref="H75:H76"/>
    <mergeCell ref="I75:I76"/>
    <mergeCell ref="C76:E76"/>
    <mergeCell ref="F76:G76"/>
    <mergeCell ref="C73:E73"/>
    <mergeCell ref="F73:G73"/>
    <mergeCell ref="H73:H74"/>
    <mergeCell ref="I73:I74"/>
    <mergeCell ref="C74:E74"/>
    <mergeCell ref="F74:G74"/>
    <mergeCell ref="AD71:AD72"/>
    <mergeCell ref="AE71:AE72"/>
    <mergeCell ref="C69:E69"/>
    <mergeCell ref="F69:G69"/>
    <mergeCell ref="H69:H70"/>
    <mergeCell ref="I69:I70"/>
    <mergeCell ref="C70:E70"/>
    <mergeCell ref="F70:G70"/>
    <mergeCell ref="Z71:AB72"/>
    <mergeCell ref="AC71:AC72"/>
    <mergeCell ref="F71:G71"/>
    <mergeCell ref="H71:H72"/>
    <mergeCell ref="I71:I72"/>
    <mergeCell ref="J71:K72"/>
    <mergeCell ref="L71:S72"/>
    <mergeCell ref="T71:V72"/>
    <mergeCell ref="W71:Y72"/>
    <mergeCell ref="F72:G72"/>
    <mergeCell ref="AF69:AF70"/>
    <mergeCell ref="J69:K70"/>
    <mergeCell ref="L69:S70"/>
    <mergeCell ref="T69:V70"/>
    <mergeCell ref="W69:Y70"/>
    <mergeCell ref="AD69:AD70"/>
    <mergeCell ref="AE69:AE70"/>
    <mergeCell ref="Z69:AB70"/>
    <mergeCell ref="AF71:AF72"/>
    <mergeCell ref="AC69:AC70"/>
    <mergeCell ref="J65:K66"/>
    <mergeCell ref="L65:S66"/>
    <mergeCell ref="T65:V66"/>
    <mergeCell ref="W65:Y66"/>
    <mergeCell ref="L67:S68"/>
    <mergeCell ref="T67:V68"/>
    <mergeCell ref="W67:Y68"/>
    <mergeCell ref="AF65:AF66"/>
    <mergeCell ref="AD65:AD66"/>
    <mergeCell ref="AE65:AE66"/>
    <mergeCell ref="Z65:AB66"/>
    <mergeCell ref="AF67:AF68"/>
    <mergeCell ref="AD67:AD68"/>
    <mergeCell ref="AE67:AE68"/>
    <mergeCell ref="AC65:AC66"/>
    <mergeCell ref="AC67:AC68"/>
    <mergeCell ref="Z67:AB68"/>
    <mergeCell ref="I67:I68"/>
    <mergeCell ref="C68:E68"/>
    <mergeCell ref="F68:G68"/>
    <mergeCell ref="J67:K68"/>
    <mergeCell ref="T61:V62"/>
    <mergeCell ref="C64:E64"/>
    <mergeCell ref="I65:I66"/>
    <mergeCell ref="C66:E66"/>
    <mergeCell ref="F66:G66"/>
    <mergeCell ref="C61:E61"/>
    <mergeCell ref="I61:I62"/>
    <mergeCell ref="C62:E62"/>
    <mergeCell ref="AD63:AD64"/>
    <mergeCell ref="C63:E63"/>
    <mergeCell ref="J63:K64"/>
    <mergeCell ref="L63:S64"/>
    <mergeCell ref="T63:V64"/>
    <mergeCell ref="F63:G63"/>
    <mergeCell ref="I63:I64"/>
    <mergeCell ref="AF57:AF58"/>
    <mergeCell ref="F62:G62"/>
    <mergeCell ref="AD61:AD62"/>
    <mergeCell ref="AE61:AE62"/>
    <mergeCell ref="H59:H60"/>
    <mergeCell ref="I59:I60"/>
    <mergeCell ref="AE59:AE60"/>
    <mergeCell ref="W61:Y62"/>
    <mergeCell ref="F61:G61"/>
    <mergeCell ref="AE57:AE58"/>
    <mergeCell ref="AE63:AE64"/>
    <mergeCell ref="AF61:AF62"/>
    <mergeCell ref="J61:K62"/>
    <mergeCell ref="AF59:AF60"/>
    <mergeCell ref="L59:S60"/>
    <mergeCell ref="T59:V60"/>
    <mergeCell ref="Z63:AB64"/>
    <mergeCell ref="AF63:AF64"/>
    <mergeCell ref="AD57:AD58"/>
    <mergeCell ref="Z57:AB58"/>
    <mergeCell ref="Z59:AB60"/>
    <mergeCell ref="AC61:AC62"/>
    <mergeCell ref="AC63:AC64"/>
    <mergeCell ref="J59:K60"/>
    <mergeCell ref="AM23:AP23"/>
    <mergeCell ref="AF37:AF38"/>
    <mergeCell ref="AF35:AF36"/>
    <mergeCell ref="AD33:AD34"/>
    <mergeCell ref="C24:AF24"/>
    <mergeCell ref="W63:Y64"/>
    <mergeCell ref="L61:S62"/>
    <mergeCell ref="T57:V58"/>
    <mergeCell ref="W57:Y58"/>
    <mergeCell ref="W59:Y60"/>
    <mergeCell ref="L33:S34"/>
    <mergeCell ref="C170:H170"/>
    <mergeCell ref="C51:E51"/>
    <mergeCell ref="F51:G51"/>
    <mergeCell ref="H51:H52"/>
    <mergeCell ref="C59:E59"/>
    <mergeCell ref="J57:K58"/>
    <mergeCell ref="L57:S58"/>
    <mergeCell ref="I57:I58"/>
    <mergeCell ref="C67:E67"/>
    <mergeCell ref="F67:G67"/>
    <mergeCell ref="H67:H68"/>
    <mergeCell ref="C71:E71"/>
    <mergeCell ref="F195:G195"/>
    <mergeCell ref="C194:E194"/>
    <mergeCell ref="C191:E191"/>
    <mergeCell ref="C192:E192"/>
    <mergeCell ref="C193:E193"/>
    <mergeCell ref="C72:E72"/>
    <mergeCell ref="C169:H169"/>
    <mergeCell ref="F196:G196"/>
    <mergeCell ref="J191:K191"/>
    <mergeCell ref="J192:K192"/>
    <mergeCell ref="J193:K193"/>
    <mergeCell ref="H192:I193"/>
    <mergeCell ref="F191:G191"/>
    <mergeCell ref="H191:I191"/>
    <mergeCell ref="F194:G194"/>
    <mergeCell ref="F193:G193"/>
    <mergeCell ref="F192:G192"/>
    <mergeCell ref="C181:AF181"/>
    <mergeCell ref="C182:AF182"/>
    <mergeCell ref="C183:AF183"/>
    <mergeCell ref="G179:M179"/>
    <mergeCell ref="C179:F179"/>
    <mergeCell ref="N179:S179"/>
    <mergeCell ref="H175:AE175"/>
    <mergeCell ref="C184:AF184"/>
    <mergeCell ref="I172:AF172"/>
    <mergeCell ref="C180:AF180"/>
    <mergeCell ref="C177:AF177"/>
    <mergeCell ref="U179:Y179"/>
    <mergeCell ref="C172:H172"/>
    <mergeCell ref="C178:AF178"/>
    <mergeCell ref="C173:H173"/>
    <mergeCell ref="Z179:AF179"/>
    <mergeCell ref="I169:AF169"/>
    <mergeCell ref="Q166:X166"/>
    <mergeCell ref="Y163:AF163"/>
    <mergeCell ref="Y164:AF164"/>
    <mergeCell ref="I163:P163"/>
    <mergeCell ref="I164:P164"/>
    <mergeCell ref="Q167:X167"/>
    <mergeCell ref="Q163:X163"/>
    <mergeCell ref="Y167:AF167"/>
    <mergeCell ref="C168:AF168"/>
    <mergeCell ref="AE47:AE48"/>
    <mergeCell ref="AF45:AF46"/>
    <mergeCell ref="C144:H144"/>
    <mergeCell ref="C151:AF151"/>
    <mergeCell ref="AA144:AF144"/>
    <mergeCell ref="C147:AF147"/>
    <mergeCell ref="C148:AF148"/>
    <mergeCell ref="M144:Q144"/>
    <mergeCell ref="R144:V144"/>
    <mergeCell ref="F59:G59"/>
    <mergeCell ref="C136:H136"/>
    <mergeCell ref="C143:H143"/>
    <mergeCell ref="AF39:AF40"/>
    <mergeCell ref="AF41:AF42"/>
    <mergeCell ref="AD53:AD54"/>
    <mergeCell ref="AD51:AD52"/>
    <mergeCell ref="AE51:AE52"/>
    <mergeCell ref="AF49:AF50"/>
    <mergeCell ref="AE45:AE46"/>
    <mergeCell ref="AD47:AD48"/>
    <mergeCell ref="C57:E57"/>
    <mergeCell ref="F57:G57"/>
    <mergeCell ref="H57:H58"/>
    <mergeCell ref="C60:E60"/>
    <mergeCell ref="F60:G60"/>
    <mergeCell ref="F64:G64"/>
    <mergeCell ref="C58:E58"/>
    <mergeCell ref="F58:G58"/>
    <mergeCell ref="H63:H64"/>
    <mergeCell ref="H61:H62"/>
    <mergeCell ref="AE33:AE34"/>
    <mergeCell ref="AD35:AD36"/>
    <mergeCell ref="AE35:AE36"/>
    <mergeCell ref="AD41:AD42"/>
    <mergeCell ref="AE41:AE42"/>
    <mergeCell ref="AE39:AE40"/>
    <mergeCell ref="AD37:AD38"/>
    <mergeCell ref="AD39:AD40"/>
    <mergeCell ref="AE37:AE38"/>
    <mergeCell ref="T45:V46"/>
    <mergeCell ref="AM122:AO122"/>
    <mergeCell ref="AD49:AD50"/>
    <mergeCell ref="W47:Y48"/>
    <mergeCell ref="AE49:AE50"/>
    <mergeCell ref="W49:Y50"/>
    <mergeCell ref="AE53:AE54"/>
    <mergeCell ref="AF53:AF54"/>
    <mergeCell ref="W51:Y52"/>
    <mergeCell ref="AD59:AD60"/>
    <mergeCell ref="AC41:AC42"/>
    <mergeCell ref="Z43:AB44"/>
    <mergeCell ref="AC43:AC44"/>
    <mergeCell ref="AC35:AC36"/>
    <mergeCell ref="Z39:AB40"/>
    <mergeCell ref="AC39:AC40"/>
    <mergeCell ref="AC37:AC38"/>
    <mergeCell ref="Z35:AB36"/>
    <mergeCell ref="Z37:AB38"/>
    <mergeCell ref="Z41:AB42"/>
    <mergeCell ref="C87:E87"/>
    <mergeCell ref="Z77:AB78"/>
    <mergeCell ref="L49:S50"/>
    <mergeCell ref="C52:E52"/>
    <mergeCell ref="F52:G52"/>
    <mergeCell ref="C53:E53"/>
    <mergeCell ref="F54:G54"/>
    <mergeCell ref="J53:K54"/>
    <mergeCell ref="Z51:AB52"/>
    <mergeCell ref="Z53:AB54"/>
    <mergeCell ref="B31:B32"/>
    <mergeCell ref="B33:B48"/>
    <mergeCell ref="B49:B50"/>
    <mergeCell ref="J49:K50"/>
    <mergeCell ref="C49:E49"/>
    <mergeCell ref="C50:E50"/>
    <mergeCell ref="C47:E47"/>
    <mergeCell ref="J47:K48"/>
    <mergeCell ref="F33:G33"/>
    <mergeCell ref="F34:G34"/>
    <mergeCell ref="AM123:AO123"/>
    <mergeCell ref="C65:E65"/>
    <mergeCell ref="F65:G65"/>
    <mergeCell ref="H65:H66"/>
    <mergeCell ref="L53:S54"/>
    <mergeCell ref="T53:V54"/>
    <mergeCell ref="W53:Y54"/>
    <mergeCell ref="C119:AF119"/>
    <mergeCell ref="C54:E54"/>
    <mergeCell ref="E123:H123"/>
    <mergeCell ref="AC129:AF129"/>
    <mergeCell ref="C134:AF134"/>
    <mergeCell ref="M135:Q135"/>
    <mergeCell ref="R135:V135"/>
    <mergeCell ref="W135:Z135"/>
    <mergeCell ref="M131:P131"/>
    <mergeCell ref="E131:H131"/>
    <mergeCell ref="U132:X132"/>
    <mergeCell ref="Q132:T132"/>
    <mergeCell ref="Y132:AB132"/>
    <mergeCell ref="L37:S38"/>
    <mergeCell ref="W29:Y30"/>
    <mergeCell ref="T29:V30"/>
    <mergeCell ref="N25:T25"/>
    <mergeCell ref="N26:T26"/>
    <mergeCell ref="N20:R20"/>
    <mergeCell ref="N21:R21"/>
    <mergeCell ref="W37:Y38"/>
    <mergeCell ref="U26:V26"/>
    <mergeCell ref="W25:Z25"/>
    <mergeCell ref="Q123:T123"/>
    <mergeCell ref="C129:D129"/>
    <mergeCell ref="I129:L129"/>
    <mergeCell ref="Q125:T125"/>
    <mergeCell ref="I126:L126"/>
    <mergeCell ref="Y130:AB130"/>
    <mergeCell ref="Y129:AB129"/>
    <mergeCell ref="C124:D124"/>
    <mergeCell ref="U123:X123"/>
    <mergeCell ref="Y123:AB123"/>
    <mergeCell ref="AD12:AF13"/>
    <mergeCell ref="U10:W11"/>
    <mergeCell ref="AA10:AC11"/>
    <mergeCell ref="X10:Z11"/>
    <mergeCell ref="AA12:AC13"/>
    <mergeCell ref="C31:E31"/>
    <mergeCell ref="C25:K25"/>
    <mergeCell ref="C21:M21"/>
    <mergeCell ref="AA14:AC14"/>
    <mergeCell ref="S15:AA15"/>
    <mergeCell ref="G6:P6"/>
    <mergeCell ref="X19:AB19"/>
    <mergeCell ref="C20:M20"/>
    <mergeCell ref="F29:G30"/>
    <mergeCell ref="U25:V25"/>
    <mergeCell ref="AA26:AB26"/>
    <mergeCell ref="S12:T13"/>
    <mergeCell ref="X12:Z13"/>
    <mergeCell ref="N19:R19"/>
    <mergeCell ref="U8:W9"/>
    <mergeCell ref="AA5:AC5"/>
    <mergeCell ref="X8:Z9"/>
    <mergeCell ref="AD6:AF7"/>
    <mergeCell ref="AA8:AC9"/>
    <mergeCell ref="AD8:AF9"/>
    <mergeCell ref="U5:W5"/>
    <mergeCell ref="X5:Z5"/>
    <mergeCell ref="AA6:AC7"/>
    <mergeCell ref="Q5:R5"/>
    <mergeCell ref="S5:T5"/>
    <mergeCell ref="Q10:R10"/>
    <mergeCell ref="Q8:R8"/>
    <mergeCell ref="S10:T11"/>
    <mergeCell ref="U12:W13"/>
    <mergeCell ref="Q12:R12"/>
    <mergeCell ref="Q9:R9"/>
    <mergeCell ref="S8:T9"/>
    <mergeCell ref="AA17:AF17"/>
    <mergeCell ref="AB15:AF15"/>
    <mergeCell ref="C17:Z17"/>
    <mergeCell ref="AD14:AF14"/>
    <mergeCell ref="S14:T14"/>
    <mergeCell ref="AC18:AF18"/>
    <mergeCell ref="U14:W14"/>
    <mergeCell ref="X14:Z14"/>
    <mergeCell ref="C16:AF16"/>
    <mergeCell ref="N18:R18"/>
    <mergeCell ref="AC19:AF19"/>
    <mergeCell ref="AF31:AF32"/>
    <mergeCell ref="AE31:AE32"/>
    <mergeCell ref="AD31:AD32"/>
    <mergeCell ref="Z29:AC30"/>
    <mergeCell ref="AD29:AF29"/>
    <mergeCell ref="C22:AF22"/>
    <mergeCell ref="C23:AF23"/>
    <mergeCell ref="S19:W19"/>
    <mergeCell ref="J29:K30"/>
    <mergeCell ref="C2:AF2"/>
    <mergeCell ref="C3:AF3"/>
    <mergeCell ref="AD5:AF5"/>
    <mergeCell ref="C6:E7"/>
    <mergeCell ref="S6:T7"/>
    <mergeCell ref="U6:W7"/>
    <mergeCell ref="X6:Z7"/>
    <mergeCell ref="F5:P5"/>
    <mergeCell ref="C5:E5"/>
    <mergeCell ref="G7:P7"/>
    <mergeCell ref="C12:E13"/>
    <mergeCell ref="G10:P10"/>
    <mergeCell ref="G13:P13"/>
    <mergeCell ref="C8:E9"/>
    <mergeCell ref="C10:E11"/>
    <mergeCell ref="G8:P8"/>
    <mergeCell ref="G9:P9"/>
    <mergeCell ref="G12:P12"/>
    <mergeCell ref="G11:P11"/>
    <mergeCell ref="S18:W18"/>
    <mergeCell ref="C19:M19"/>
    <mergeCell ref="C18:M18"/>
    <mergeCell ref="X18:AB18"/>
    <mergeCell ref="S20:AF21"/>
    <mergeCell ref="AA137:AF137"/>
    <mergeCell ref="C130:D130"/>
    <mergeCell ref="C133:AF133"/>
    <mergeCell ref="Q130:T130"/>
    <mergeCell ref="U130:X130"/>
    <mergeCell ref="W150:AF150"/>
    <mergeCell ref="C146:AF146"/>
    <mergeCell ref="C156:H156"/>
    <mergeCell ref="AA139:AF139"/>
    <mergeCell ref="I142:L142"/>
    <mergeCell ref="I143:L143"/>
    <mergeCell ref="V153:X153"/>
    <mergeCell ref="C152:AF152"/>
    <mergeCell ref="I144:L144"/>
    <mergeCell ref="M139:Q139"/>
    <mergeCell ref="Q150:V150"/>
    <mergeCell ref="C149:AF149"/>
    <mergeCell ref="Y153:AF153"/>
    <mergeCell ref="C157:H157"/>
    <mergeCell ref="C155:AF155"/>
    <mergeCell ref="C154:AF154"/>
    <mergeCell ref="I157:P157"/>
    <mergeCell ref="C150:P150"/>
    <mergeCell ref="Y156:AF156"/>
    <mergeCell ref="Q156:X156"/>
    <mergeCell ref="C145:AF145"/>
    <mergeCell ref="T47:V48"/>
    <mergeCell ref="T49:V50"/>
    <mergeCell ref="I156:P156"/>
    <mergeCell ref="C121:AF121"/>
    <mergeCell ref="F48:G48"/>
    <mergeCell ref="AF51:AF52"/>
    <mergeCell ref="F53:G53"/>
    <mergeCell ref="O153:U153"/>
    <mergeCell ref="H53:H54"/>
    <mergeCell ref="C137:H137"/>
    <mergeCell ref="C138:H138"/>
    <mergeCell ref="I51:I52"/>
    <mergeCell ref="I53:I54"/>
    <mergeCell ref="J51:K52"/>
    <mergeCell ref="E132:H132"/>
    <mergeCell ref="I132:L132"/>
    <mergeCell ref="C132:D132"/>
    <mergeCell ref="C122:D123"/>
    <mergeCell ref="L51:S52"/>
    <mergeCell ref="Z55:AC56"/>
    <mergeCell ref="AC59:AC60"/>
    <mergeCell ref="AC57:AC58"/>
    <mergeCell ref="AC51:AC52"/>
    <mergeCell ref="AC53:AC54"/>
    <mergeCell ref="I170:AF170"/>
    <mergeCell ref="U122:AB122"/>
    <mergeCell ref="M123:P123"/>
    <mergeCell ref="E122:L122"/>
    <mergeCell ref="M122:T122"/>
    <mergeCell ref="E126:H126"/>
    <mergeCell ref="I166:P166"/>
    <mergeCell ref="I167:P167"/>
    <mergeCell ref="Y157:AF157"/>
    <mergeCell ref="C162:AF162"/>
    <mergeCell ref="H165:AF165"/>
    <mergeCell ref="Y166:AF166"/>
    <mergeCell ref="C165:G165"/>
    <mergeCell ref="Q164:X164"/>
    <mergeCell ref="C166:H166"/>
    <mergeCell ref="C163:H163"/>
    <mergeCell ref="Q157:X157"/>
    <mergeCell ref="C161:H161"/>
    <mergeCell ref="I123:L123"/>
    <mergeCell ref="M126:P126"/>
    <mergeCell ref="I124:L124"/>
    <mergeCell ref="I125:L125"/>
    <mergeCell ref="M125:P125"/>
    <mergeCell ref="I131:L131"/>
    <mergeCell ref="Q131:T131"/>
    <mergeCell ref="Z75:AB76"/>
    <mergeCell ref="Z81:AB82"/>
    <mergeCell ref="U126:X126"/>
    <mergeCell ref="Q124:T124"/>
    <mergeCell ref="J75:K76"/>
    <mergeCell ref="AD43:AD44"/>
    <mergeCell ref="AC99:AC100"/>
    <mergeCell ref="AC101:AC102"/>
    <mergeCell ref="AC87:AC88"/>
    <mergeCell ref="AC95:AC96"/>
    <mergeCell ref="AE43:AE44"/>
    <mergeCell ref="AF43:AF44"/>
    <mergeCell ref="W45:Y46"/>
    <mergeCell ref="AF47:AF48"/>
    <mergeCell ref="Y124:AB124"/>
    <mergeCell ref="Z79:AB80"/>
    <mergeCell ref="Z83:AB84"/>
    <mergeCell ref="AD45:AD46"/>
    <mergeCell ref="Z61:AB62"/>
    <mergeCell ref="AC97:AC98"/>
    <mergeCell ref="L43:S44"/>
    <mergeCell ref="W39:Y40"/>
    <mergeCell ref="I41:I42"/>
    <mergeCell ref="T39:V40"/>
    <mergeCell ref="T41:V42"/>
    <mergeCell ref="T43:V44"/>
    <mergeCell ref="L41:S42"/>
    <mergeCell ref="L26:M26"/>
    <mergeCell ref="AC26:AF26"/>
    <mergeCell ref="C29:E30"/>
    <mergeCell ref="I29:I30"/>
    <mergeCell ref="H29:H30"/>
    <mergeCell ref="C26:K26"/>
    <mergeCell ref="C28:AF28"/>
    <mergeCell ref="C27:AF27"/>
    <mergeCell ref="I31:I32"/>
    <mergeCell ref="J39:K40"/>
    <mergeCell ref="I43:I44"/>
    <mergeCell ref="J43:K44"/>
    <mergeCell ref="C37:E37"/>
    <mergeCell ref="H33:H34"/>
    <mergeCell ref="H31:H32"/>
    <mergeCell ref="F32:G32"/>
    <mergeCell ref="J33:K34"/>
    <mergeCell ref="C44:E44"/>
    <mergeCell ref="W35:Y36"/>
    <mergeCell ref="T35:V36"/>
    <mergeCell ref="W33:Y34"/>
    <mergeCell ref="L29:S30"/>
    <mergeCell ref="J31:K32"/>
    <mergeCell ref="L25:M25"/>
    <mergeCell ref="L31:S32"/>
    <mergeCell ref="W26:Z26"/>
    <mergeCell ref="Z31:AB32"/>
    <mergeCell ref="AA25:AB25"/>
    <mergeCell ref="U129:X129"/>
    <mergeCell ref="E130:H130"/>
    <mergeCell ref="F50:G50"/>
    <mergeCell ref="I47:I48"/>
    <mergeCell ref="H45:H46"/>
    <mergeCell ref="AC25:AF25"/>
    <mergeCell ref="L35:S36"/>
    <mergeCell ref="T31:V32"/>
    <mergeCell ref="W31:Y32"/>
    <mergeCell ref="T33:V34"/>
    <mergeCell ref="H47:H48"/>
    <mergeCell ref="L47:S48"/>
    <mergeCell ref="C48:E48"/>
    <mergeCell ref="M132:P132"/>
    <mergeCell ref="C125:D125"/>
    <mergeCell ref="T51:V52"/>
    <mergeCell ref="Q126:T126"/>
    <mergeCell ref="E129:H129"/>
    <mergeCell ref="M130:P130"/>
    <mergeCell ref="I130:L130"/>
    <mergeCell ref="F44:G44"/>
    <mergeCell ref="J41:K42"/>
    <mergeCell ref="C41:E41"/>
    <mergeCell ref="F42:G42"/>
    <mergeCell ref="H41:H42"/>
    <mergeCell ref="J37:K38"/>
    <mergeCell ref="C35:E35"/>
    <mergeCell ref="J35:K36"/>
    <mergeCell ref="C38:E38"/>
    <mergeCell ref="F38:G38"/>
    <mergeCell ref="H39:H40"/>
    <mergeCell ref="I37:I38"/>
    <mergeCell ref="F37:G37"/>
    <mergeCell ref="I39:I40"/>
    <mergeCell ref="I45:I46"/>
    <mergeCell ref="F39:G39"/>
    <mergeCell ref="F40:G40"/>
    <mergeCell ref="A1:BA1"/>
    <mergeCell ref="AD10:AF11"/>
    <mergeCell ref="C15:R15"/>
    <mergeCell ref="C4:W4"/>
    <mergeCell ref="C14:R14"/>
    <mergeCell ref="Q6:R6"/>
    <mergeCell ref="Q7:R7"/>
    <mergeCell ref="X4:AF4"/>
    <mergeCell ref="Q11:R11"/>
    <mergeCell ref="Q13:R13"/>
    <mergeCell ref="W41:Y42"/>
    <mergeCell ref="W43:Y44"/>
    <mergeCell ref="C126:D126"/>
    <mergeCell ref="F46:G46"/>
    <mergeCell ref="F47:G47"/>
    <mergeCell ref="F49:G49"/>
    <mergeCell ref="I49:I50"/>
    <mergeCell ref="C45:E45"/>
    <mergeCell ref="J45:K46"/>
    <mergeCell ref="L45:S46"/>
    <mergeCell ref="C158:H158"/>
    <mergeCell ref="C159:H159"/>
    <mergeCell ref="C160:H160"/>
    <mergeCell ref="C139:H139"/>
    <mergeCell ref="C46:E46"/>
    <mergeCell ref="E124:H124"/>
    <mergeCell ref="H49:H50"/>
    <mergeCell ref="I161:P161"/>
    <mergeCell ref="I159:P159"/>
    <mergeCell ref="Q158:X158"/>
    <mergeCell ref="Q159:X159"/>
    <mergeCell ref="Q160:X160"/>
    <mergeCell ref="Q161:X161"/>
    <mergeCell ref="C167:H167"/>
    <mergeCell ref="I173:AF173"/>
    <mergeCell ref="C164:H164"/>
    <mergeCell ref="I158:P158"/>
    <mergeCell ref="Y158:AF158"/>
    <mergeCell ref="C171:AF171"/>
    <mergeCell ref="Y161:AF161"/>
    <mergeCell ref="Y159:AF159"/>
    <mergeCell ref="Y160:AF160"/>
    <mergeCell ref="I160:P160"/>
    <mergeCell ref="F31:G31"/>
    <mergeCell ref="C32:E32"/>
    <mergeCell ref="H35:H36"/>
    <mergeCell ref="I35:I36"/>
    <mergeCell ref="F35:G35"/>
    <mergeCell ref="F36:G36"/>
    <mergeCell ref="C33:E33"/>
    <mergeCell ref="C34:E34"/>
    <mergeCell ref="C36:E36"/>
    <mergeCell ref="I33:I34"/>
    <mergeCell ref="T37:V38"/>
    <mergeCell ref="H43:H44"/>
    <mergeCell ref="C40:E40"/>
    <mergeCell ref="C39:E39"/>
    <mergeCell ref="F43:G43"/>
    <mergeCell ref="C42:E42"/>
    <mergeCell ref="C43:E43"/>
    <mergeCell ref="F41:G41"/>
    <mergeCell ref="L39:S40"/>
    <mergeCell ref="H37:H38"/>
    <mergeCell ref="C128:D128"/>
    <mergeCell ref="E128:H128"/>
    <mergeCell ref="C131:D131"/>
    <mergeCell ref="E125:H125"/>
    <mergeCell ref="F45:G45"/>
    <mergeCell ref="AA143:AF143"/>
    <mergeCell ref="AC75:AC76"/>
    <mergeCell ref="AC77:AC78"/>
    <mergeCell ref="AC79:AC80"/>
    <mergeCell ref="AC81:AC82"/>
    <mergeCell ref="AC83:AC84"/>
    <mergeCell ref="AC125:AF125"/>
    <mergeCell ref="Y125:AB125"/>
    <mergeCell ref="Y126:AB126"/>
    <mergeCell ref="AA138:AF138"/>
    <mergeCell ref="Z111:AB112"/>
    <mergeCell ref="Z97:AB98"/>
    <mergeCell ref="Z99:AB100"/>
    <mergeCell ref="Z87:AB88"/>
    <mergeCell ref="Z95:AB96"/>
    <mergeCell ref="Z113:AB114"/>
    <mergeCell ref="AC103:AC104"/>
    <mergeCell ref="AC105:AC106"/>
    <mergeCell ref="AC107:AC108"/>
    <mergeCell ref="AC109:AC110"/>
    <mergeCell ref="Z103:AB104"/>
    <mergeCell ref="Z105:AB106"/>
    <mergeCell ref="Z107:AB108"/>
    <mergeCell ref="Z109:AB110"/>
    <mergeCell ref="AC115:AC116"/>
    <mergeCell ref="AC117:AC118"/>
    <mergeCell ref="I127:L127"/>
    <mergeCell ref="M127:P127"/>
    <mergeCell ref="Z117:AB118"/>
    <mergeCell ref="Z115:AB116"/>
    <mergeCell ref="M124:P124"/>
    <mergeCell ref="U125:X125"/>
    <mergeCell ref="AC122:AF123"/>
    <mergeCell ref="AC124:AF124"/>
    <mergeCell ref="AM21:AP21"/>
    <mergeCell ref="AO5:AS5"/>
    <mergeCell ref="AA142:AF142"/>
    <mergeCell ref="C127:D127"/>
    <mergeCell ref="E127:H127"/>
    <mergeCell ref="C142:H142"/>
    <mergeCell ref="U131:X131"/>
    <mergeCell ref="C140:H140"/>
    <mergeCell ref="AC111:AC112"/>
    <mergeCell ref="AC113:AC114"/>
  </mergeCells>
  <conditionalFormatting sqref="I31 I33 I35 I37 I39 I105 I107 I109 I111 I113 I115 I117 I57 I59 I61 I63 I65 I67 I69 I71 I73 I75 I77 I79 I81 I83 I85 I87 I89 I91 I93 I95 I97 I99 I101 I103 I41 I43 I45 I47 I49 I51 I53">
    <cfRule type="expression" priority="1" dxfId="0" stopIfTrue="1">
      <formula>AND(NOT(I31=""),I31&lt;&gt;AS31)</formula>
    </cfRule>
  </conditionalFormatting>
  <dataValidations count="5">
    <dataValidation type="custom" operator="equal" allowBlank="1" showInputMessage="1" showErrorMessage="1" error="Datum musí být stejné nebo větší jako předešlé!" sqref="C33:E54 C58:E118">
      <formula1>C33&gt;=C32</formula1>
    </dataValidation>
    <dataValidation type="custom" allowBlank="1" showInputMessage="1" showErrorMessage="1" sqref="C32:E32">
      <formula1>C32&gt;=C31</formula1>
    </dataValidation>
    <dataValidation type="custom" operator="equal" allowBlank="1" showInputMessage="1" showErrorMessage="1" error="Datum musí být stejné nebo větší jako předešlé!" sqref="C57:E57">
      <formula1>C57&gt;=C54</formula1>
    </dataValidation>
    <dataValidation type="custom" allowBlank="1" showInputMessage="1" showErrorMessage="1" sqref="C8:E13">
      <formula1>C8&gt;=C6</formula1>
    </dataValidation>
    <dataValidation type="list" allowBlank="1" showInputMessage="1" showErrorMessage="1" error="Je nutno vybrat název ze seznamu!" sqref="L57:S118 L39 L35:L37 L41 L43 L33 M35:S36 L45:S54 L31:S32">
      <formula1>$AV$3:$AV$200</formula1>
    </dataValidation>
  </dataValidations>
  <printOptions horizontalCentered="1"/>
  <pageMargins left="0.4724409448818898" right="0.4724409448818898" top="0.5905511811023623" bottom="0.5905511811023623" header="0.35433070866141736" footer="0.5118110236220472"/>
  <pageSetup blackAndWhite="1" horizontalDpi="300" verticalDpi="300" orientation="portrait" paperSize="9" r:id="rId4"/>
  <headerFooter alignWithMargins="0">
    <oddHeader>&amp;L&amp;"Verdana,Tučné"&amp;8Masarykova univerzita &amp;R&amp;"Verdana,tučné kurzíva"&amp;8Filozofická fakulta</oddHeader>
  </headerFooter>
  <rowBreaks count="1" manualBreakCount="1">
    <brk id="119"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List7">
    <tabColor theme="6" tint="-0.24997000396251678"/>
  </sheetPr>
  <dimension ref="A1:AB36"/>
  <sheetViews>
    <sheetView showGridLines="0" showRowColHeaders="0" zoomScalePageLayoutView="0" workbookViewId="0" topLeftCell="A1">
      <selection activeCell="J9" sqref="J9:AA9"/>
    </sheetView>
  </sheetViews>
  <sheetFormatPr defaultColWidth="9.140625" defaultRowHeight="12.75"/>
  <cols>
    <col min="1" max="1" width="3.7109375" style="0" customWidth="1"/>
    <col min="2" max="27" width="3.57421875" style="0" customWidth="1"/>
    <col min="28" max="28" width="3.7109375" style="0" customWidth="1"/>
  </cols>
  <sheetData>
    <row r="1" spans="1:28" ht="50.25" customHeight="1">
      <c r="A1" s="401"/>
      <c r="B1" s="401"/>
      <c r="C1" s="401"/>
      <c r="D1" s="401"/>
      <c r="E1" s="401"/>
      <c r="F1" s="401"/>
      <c r="G1" s="401"/>
      <c r="H1" s="401"/>
      <c r="I1" s="401"/>
      <c r="J1" s="1195"/>
      <c r="K1" s="1196"/>
      <c r="L1" s="1196"/>
      <c r="M1" s="1196"/>
      <c r="N1" s="1196"/>
      <c r="O1" s="1196"/>
      <c r="P1" s="1196"/>
      <c r="Q1" s="1196"/>
      <c r="R1" s="1196"/>
      <c r="S1" s="1196"/>
      <c r="T1" s="402"/>
      <c r="U1" s="401"/>
      <c r="V1" s="401"/>
      <c r="W1" s="401"/>
      <c r="X1" s="401"/>
      <c r="Y1" s="401"/>
      <c r="Z1" s="401"/>
      <c r="AA1" s="401"/>
      <c r="AB1" s="401"/>
    </row>
    <row r="2" spans="1:28" ht="13.5" customHeight="1">
      <c r="A2" s="401"/>
      <c r="B2" s="1197"/>
      <c r="C2" s="1197"/>
      <c r="D2" s="1197"/>
      <c r="E2" s="1197"/>
      <c r="F2" s="1197"/>
      <c r="G2" s="1197"/>
      <c r="H2" s="1197"/>
      <c r="I2" s="1197"/>
      <c r="J2" s="1197"/>
      <c r="K2" s="1197"/>
      <c r="L2" s="1197"/>
      <c r="M2" s="1197"/>
      <c r="N2" s="1197"/>
      <c r="O2" s="1197"/>
      <c r="P2" s="1197"/>
      <c r="Q2" s="1197"/>
      <c r="R2" s="1198"/>
      <c r="S2" s="1198"/>
      <c r="T2" s="1199"/>
      <c r="U2" s="1199"/>
      <c r="V2" s="1199"/>
      <c r="W2" s="1199"/>
      <c r="X2" s="1199"/>
      <c r="Y2" s="1199"/>
      <c r="Z2" s="1199"/>
      <c r="AA2" s="1199"/>
      <c r="AB2" s="401"/>
    </row>
    <row r="3" spans="1:28" ht="38.25" customHeight="1">
      <c r="A3" s="401"/>
      <c r="E3" s="1200" t="s">
        <v>515</v>
      </c>
      <c r="F3" s="1201"/>
      <c r="G3" s="1201"/>
      <c r="H3" s="1201"/>
      <c r="I3" s="1201"/>
      <c r="J3" s="1201"/>
      <c r="K3" s="1201"/>
      <c r="L3" s="1201"/>
      <c r="M3" s="1201"/>
      <c r="N3" s="1201"/>
      <c r="O3" s="1201"/>
      <c r="P3" s="1201"/>
      <c r="Q3" s="1201"/>
      <c r="R3" s="1201"/>
      <c r="S3" s="1201"/>
      <c r="T3" s="1201"/>
      <c r="U3" s="1201"/>
      <c r="V3" s="1201"/>
      <c r="W3" s="1201"/>
      <c r="X3" s="1201"/>
      <c r="Y3" s="1201"/>
      <c r="Z3" s="1201"/>
      <c r="AA3" s="1201"/>
      <c r="AB3" s="401"/>
    </row>
    <row r="4" spans="1:28" ht="53.25" customHeight="1">
      <c r="A4" s="401"/>
      <c r="B4" s="1202" t="s">
        <v>495</v>
      </c>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401"/>
    </row>
    <row r="5" spans="1:28" ht="6.75" customHeight="1">
      <c r="A5" s="401"/>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1"/>
    </row>
    <row r="6" spans="1:28" ht="42" customHeight="1">
      <c r="A6" s="401"/>
      <c r="AB6" s="401"/>
    </row>
    <row r="7" spans="1:28" ht="13.5">
      <c r="A7" s="401"/>
      <c r="B7" s="1203" t="s">
        <v>284</v>
      </c>
      <c r="C7" s="1203"/>
      <c r="D7" s="1203"/>
      <c r="E7" s="1203"/>
      <c r="F7" s="1203"/>
      <c r="G7" s="1203"/>
      <c r="H7" s="1203"/>
      <c r="I7" s="1204">
        <f>IF(Cele_jmeno="","",Cele_jmeno)</f>
      </c>
      <c r="J7" s="1204"/>
      <c r="K7" s="1204"/>
      <c r="L7" s="1204"/>
      <c r="M7" s="1204"/>
      <c r="N7" s="1204"/>
      <c r="O7" s="1204"/>
      <c r="P7" s="1204"/>
      <c r="Q7" s="1204"/>
      <c r="R7" s="1204"/>
      <c r="S7" s="1205" t="s">
        <v>285</v>
      </c>
      <c r="T7" s="1205"/>
      <c r="U7" s="1205"/>
      <c r="V7" s="1206">
        <f>IF(Prac="","",Prac)</f>
      </c>
      <c r="W7" s="1206"/>
      <c r="X7" s="1206"/>
      <c r="Y7" s="1206"/>
      <c r="Z7" s="1206"/>
      <c r="AA7" s="1206"/>
      <c r="AB7" s="401"/>
    </row>
    <row r="8" spans="1:28" ht="12.75">
      <c r="A8" s="401"/>
      <c r="AB8" s="401"/>
    </row>
    <row r="9" spans="1:28" ht="16.5" customHeight="1">
      <c r="A9" s="401"/>
      <c r="B9" s="1205" t="s">
        <v>424</v>
      </c>
      <c r="C9" s="1205"/>
      <c r="D9" s="1205"/>
      <c r="E9" s="1205"/>
      <c r="F9" s="1205"/>
      <c r="G9" s="1205"/>
      <c r="H9" s="1205"/>
      <c r="I9" s="1205"/>
      <c r="J9" s="1207"/>
      <c r="K9" s="1207"/>
      <c r="L9" s="1207"/>
      <c r="M9" s="1207"/>
      <c r="N9" s="1207"/>
      <c r="O9" s="1207"/>
      <c r="P9" s="1207"/>
      <c r="Q9" s="1207"/>
      <c r="R9" s="1207"/>
      <c r="S9" s="1207"/>
      <c r="T9" s="1207"/>
      <c r="U9" s="1207"/>
      <c r="V9" s="1207"/>
      <c r="W9" s="1207"/>
      <c r="X9" s="1207"/>
      <c r="Y9" s="1207"/>
      <c r="Z9" s="1207"/>
      <c r="AA9" s="1207"/>
      <c r="AB9" s="401"/>
    </row>
    <row r="10" spans="1:28" ht="16.5" customHeight="1">
      <c r="A10" s="401"/>
      <c r="B10" s="1205" t="s">
        <v>280</v>
      </c>
      <c r="C10" s="1205"/>
      <c r="D10" s="1205"/>
      <c r="E10" s="1205"/>
      <c r="F10" s="1208"/>
      <c r="G10" s="1208"/>
      <c r="H10" s="1208"/>
      <c r="I10" s="1208"/>
      <c r="J10" s="1208"/>
      <c r="K10" s="1208"/>
      <c r="L10" s="1208"/>
      <c r="M10" s="1208"/>
      <c r="N10" s="1209" t="s">
        <v>281</v>
      </c>
      <c r="O10" s="1209"/>
      <c r="P10" s="1209"/>
      <c r="Q10" s="1209"/>
      <c r="R10" s="1210"/>
      <c r="S10" s="1210"/>
      <c r="T10" s="1210"/>
      <c r="U10" s="1210"/>
      <c r="V10" s="1210"/>
      <c r="W10" s="1210"/>
      <c r="X10" s="1210"/>
      <c r="Y10" s="1210"/>
      <c r="Z10" s="1209" t="s">
        <v>496</v>
      </c>
      <c r="AA10" s="1209"/>
      <c r="AB10" s="401"/>
    </row>
    <row r="11" spans="1:28" ht="12.75">
      <c r="A11" s="401"/>
      <c r="AB11" s="401"/>
    </row>
    <row r="12" spans="1:28" ht="12.75">
      <c r="A12" s="401"/>
      <c r="AB12" s="401"/>
    </row>
    <row r="13" spans="1:28" ht="12.75">
      <c r="A13" s="401"/>
      <c r="AB13" s="401"/>
    </row>
    <row r="14" spans="1:28" ht="12.75">
      <c r="A14" s="401"/>
      <c r="AB14" s="401"/>
    </row>
    <row r="15" spans="1:28" ht="12.75">
      <c r="A15" s="401"/>
      <c r="AB15" s="401"/>
    </row>
    <row r="16" spans="1:28" ht="21.75" customHeight="1">
      <c r="A16" s="401"/>
      <c r="B16" s="1211" t="s">
        <v>497</v>
      </c>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401"/>
    </row>
    <row r="17" spans="1:28" ht="11.25" customHeight="1">
      <c r="A17" s="401"/>
      <c r="B17" s="404"/>
      <c r="C17" s="1213" t="s">
        <v>498</v>
      </c>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404"/>
      <c r="AB17" s="401"/>
    </row>
    <row r="18" spans="1:28" ht="12.75">
      <c r="A18" s="401"/>
      <c r="AB18" s="401"/>
    </row>
    <row r="19" spans="1:28" ht="45" customHeight="1">
      <c r="A19" s="401"/>
      <c r="C19" s="1214" t="s">
        <v>499</v>
      </c>
      <c r="D19" s="1214"/>
      <c r="E19" s="1214"/>
      <c r="F19" s="1214"/>
      <c r="G19" s="1214"/>
      <c r="H19" s="1214"/>
      <c r="I19" s="1214"/>
      <c r="J19" s="1214"/>
      <c r="K19" s="1214"/>
      <c r="L19" s="1214"/>
      <c r="M19" s="1214"/>
      <c r="N19" s="1214"/>
      <c r="O19" s="1214"/>
      <c r="P19" s="1214"/>
      <c r="Q19" s="1214"/>
      <c r="R19" s="1214"/>
      <c r="S19" s="1214"/>
      <c r="T19" s="1214"/>
      <c r="U19" s="1214"/>
      <c r="V19" s="1214"/>
      <c r="W19" s="1214"/>
      <c r="X19" s="1214"/>
      <c r="Y19" s="1214"/>
      <c r="Z19" s="1214"/>
      <c r="AA19" s="1214"/>
      <c r="AB19" s="401"/>
    </row>
    <row r="20" spans="1:28" ht="12.75">
      <c r="A20" s="401"/>
      <c r="AB20" s="401"/>
    </row>
    <row r="21" spans="1:28" ht="45" customHeight="1">
      <c r="A21" s="401"/>
      <c r="C21" s="1214" t="s">
        <v>500</v>
      </c>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401"/>
    </row>
    <row r="22" spans="1:28" ht="12.75">
      <c r="A22" s="401"/>
      <c r="AB22" s="401"/>
    </row>
    <row r="23" spans="1:28" ht="12.75">
      <c r="A23" s="401"/>
      <c r="C23" s="1212"/>
      <c r="D23" s="1212"/>
      <c r="E23" s="1212"/>
      <c r="F23" s="1212"/>
      <c r="G23" s="1212"/>
      <c r="H23" s="1212"/>
      <c r="I23" s="1212"/>
      <c r="J23" s="1212"/>
      <c r="K23" s="1212"/>
      <c r="L23" s="1212"/>
      <c r="M23" s="1212"/>
      <c r="N23" s="1212"/>
      <c r="O23" s="1212"/>
      <c r="P23" s="1212"/>
      <c r="Q23" s="1212"/>
      <c r="R23" s="1212"/>
      <c r="S23" s="1212"/>
      <c r="T23" s="1212"/>
      <c r="U23" s="1212"/>
      <c r="V23" s="1212"/>
      <c r="W23" s="1212"/>
      <c r="X23" s="1212"/>
      <c r="Y23" s="1212"/>
      <c r="Z23" s="1212"/>
      <c r="AB23" s="401"/>
    </row>
    <row r="24" spans="1:28" ht="12.75">
      <c r="A24" s="401"/>
      <c r="AB24" s="401"/>
    </row>
    <row r="25" spans="1:28" ht="12.75">
      <c r="A25" s="401"/>
      <c r="AB25" s="401"/>
    </row>
    <row r="26" spans="1:28" ht="12.75">
      <c r="A26" s="401"/>
      <c r="AB26" s="401"/>
    </row>
    <row r="27" spans="1:28" ht="12.75">
      <c r="A27" s="401"/>
      <c r="AB27" s="401"/>
    </row>
    <row r="28" spans="1:28" ht="12.75">
      <c r="A28" s="401"/>
      <c r="AB28" s="401"/>
    </row>
    <row r="29" spans="1:28" ht="12.75">
      <c r="A29" s="401"/>
      <c r="AB29" s="401"/>
    </row>
    <row r="30" spans="1:28" ht="12.75">
      <c r="A30" s="401"/>
      <c r="AB30" s="401"/>
    </row>
    <row r="31" spans="1:28" ht="12.75">
      <c r="A31" s="401"/>
      <c r="B31" s="1205" t="s">
        <v>297</v>
      </c>
      <c r="C31" s="1205"/>
      <c r="D31" s="1205"/>
      <c r="E31" s="1215"/>
      <c r="F31" s="1215"/>
      <c r="G31" s="1215"/>
      <c r="H31" s="1215"/>
      <c r="I31" s="1215"/>
      <c r="J31" s="1198"/>
      <c r="K31" s="1198"/>
      <c r="L31" s="1198"/>
      <c r="M31" s="1216" t="s">
        <v>298</v>
      </c>
      <c r="N31" s="1216"/>
      <c r="O31" s="1216"/>
      <c r="P31" s="1216"/>
      <c r="Q31" s="1216"/>
      <c r="R31" s="1217"/>
      <c r="S31" s="1217"/>
      <c r="T31" s="1217"/>
      <c r="U31" s="1217"/>
      <c r="V31" s="1217"/>
      <c r="W31" s="1217"/>
      <c r="X31" s="1217"/>
      <c r="Y31" s="1217"/>
      <c r="Z31" s="1217"/>
      <c r="AA31" s="1217"/>
      <c r="AB31" s="401"/>
    </row>
    <row r="32" spans="1:28" ht="12.75">
      <c r="A32" s="401"/>
      <c r="AB32" s="401"/>
    </row>
    <row r="33" spans="1:28" ht="29.25" customHeight="1">
      <c r="A33" s="401"/>
      <c r="B33" s="1212" t="s">
        <v>501</v>
      </c>
      <c r="C33" s="1212"/>
      <c r="D33" s="1212"/>
      <c r="E33" s="1212"/>
      <c r="F33" s="1212"/>
      <c r="G33" s="1212"/>
      <c r="H33" s="1212"/>
      <c r="I33" s="1212"/>
      <c r="J33" s="1212"/>
      <c r="K33" s="405"/>
      <c r="L33" s="405"/>
      <c r="M33" s="405"/>
      <c r="N33" s="405"/>
      <c r="O33" s="405"/>
      <c r="P33" s="405"/>
      <c r="Q33" s="405"/>
      <c r="R33" s="405"/>
      <c r="S33" s="405"/>
      <c r="T33" s="405"/>
      <c r="U33" s="405"/>
      <c r="V33" s="405"/>
      <c r="W33" s="405"/>
      <c r="X33" s="405"/>
      <c r="Y33" s="405"/>
      <c r="Z33" s="405"/>
      <c r="AB33" s="401"/>
    </row>
    <row r="34" spans="1:28" ht="12.75">
      <c r="A34" s="401"/>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row>
    <row r="35" spans="1:28" ht="12.75">
      <c r="A35" s="401"/>
      <c r="B35" s="401"/>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row>
    <row r="36" spans="1:28" ht="12.75">
      <c r="A36" s="401"/>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row>
  </sheetData>
  <sheetProtection sheet="1" selectLockedCells="1"/>
  <mergeCells count="28">
    <mergeCell ref="B33:J33"/>
    <mergeCell ref="C17:Z17"/>
    <mergeCell ref="C19:AA19"/>
    <mergeCell ref="C21:AA21"/>
    <mergeCell ref="C23:Z23"/>
    <mergeCell ref="B31:D31"/>
    <mergeCell ref="E31:I31"/>
    <mergeCell ref="J31:L31"/>
    <mergeCell ref="M31:Q31"/>
    <mergeCell ref="R31:AA31"/>
    <mergeCell ref="B10:E10"/>
    <mergeCell ref="F10:M10"/>
    <mergeCell ref="N10:Q10"/>
    <mergeCell ref="R10:Y10"/>
    <mergeCell ref="Z10:AA10"/>
    <mergeCell ref="B16:AA16"/>
    <mergeCell ref="B7:H7"/>
    <mergeCell ref="I7:R7"/>
    <mergeCell ref="S7:U7"/>
    <mergeCell ref="V7:AA7"/>
    <mergeCell ref="B9:I9"/>
    <mergeCell ref="J9:AA9"/>
    <mergeCell ref="J1:S1"/>
    <mergeCell ref="B2:Q2"/>
    <mergeCell ref="R2:S2"/>
    <mergeCell ref="T2:AA2"/>
    <mergeCell ref="E3:AA3"/>
    <mergeCell ref="B4:AA4"/>
  </mergeCells>
  <printOptions horizontalCentered="1"/>
  <pageMargins left="0.3937007874015748" right="0.3937007874015748" top="0.7874015748031497" bottom="0.7874015748031497" header="0.31496062992125984" footer="0.31496062992125984"/>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List8">
    <tabColor theme="6" tint="-0.24997000396251678"/>
  </sheetPr>
  <dimension ref="A1:AD43"/>
  <sheetViews>
    <sheetView showGridLines="0" showRowColHeaders="0" zoomScalePageLayoutView="0" workbookViewId="0" topLeftCell="A1">
      <selection activeCell="J7" sqref="J7:AA7"/>
    </sheetView>
  </sheetViews>
  <sheetFormatPr defaultColWidth="9.140625" defaultRowHeight="12.75"/>
  <cols>
    <col min="1" max="1" width="3.7109375" style="407" customWidth="1"/>
    <col min="2" max="27" width="3.57421875" style="407" customWidth="1"/>
    <col min="28" max="28" width="3.7109375" style="407" customWidth="1"/>
    <col min="29" max="29" width="9.140625" style="407" customWidth="1"/>
    <col min="30" max="30" width="9.140625" style="407" hidden="1" customWidth="1"/>
    <col min="31" max="16384" width="9.140625" style="407" customWidth="1"/>
  </cols>
  <sheetData>
    <row r="1" spans="1:28" ht="50.25" customHeight="1">
      <c r="A1" s="406"/>
      <c r="B1" s="406"/>
      <c r="C1" s="406"/>
      <c r="D1" s="406"/>
      <c r="E1" s="406"/>
      <c r="F1" s="406"/>
      <c r="G1" s="406"/>
      <c r="H1" s="406"/>
      <c r="I1" s="406"/>
      <c r="J1" s="1218"/>
      <c r="K1" s="1219"/>
      <c r="L1" s="1219"/>
      <c r="M1" s="1219"/>
      <c r="N1" s="1219"/>
      <c r="O1" s="1219"/>
      <c r="P1" s="1219"/>
      <c r="Q1" s="1219"/>
      <c r="R1" s="1219"/>
      <c r="S1" s="1219"/>
      <c r="T1" s="406"/>
      <c r="U1" s="406"/>
      <c r="V1" s="406"/>
      <c r="W1" s="406"/>
      <c r="X1" s="406"/>
      <c r="Y1" s="406"/>
      <c r="Z1" s="406"/>
      <c r="AA1" s="406"/>
      <c r="AB1" s="406"/>
    </row>
    <row r="2" spans="1:28" ht="12.75" customHeight="1">
      <c r="A2" s="406"/>
      <c r="B2" s="1220"/>
      <c r="C2" s="1220"/>
      <c r="D2" s="1220"/>
      <c r="E2" s="1220"/>
      <c r="F2" s="1220"/>
      <c r="G2" s="1220"/>
      <c r="H2" s="1220"/>
      <c r="I2" s="1220"/>
      <c r="J2" s="1220"/>
      <c r="K2" s="1220"/>
      <c r="L2" s="1220"/>
      <c r="M2" s="1220"/>
      <c r="N2" s="1220"/>
      <c r="O2" s="1220"/>
      <c r="P2" s="1220"/>
      <c r="Q2" s="1220"/>
      <c r="R2" s="1221"/>
      <c r="S2" s="1221"/>
      <c r="T2" s="1222"/>
      <c r="U2" s="1222"/>
      <c r="V2" s="1222"/>
      <c r="W2" s="1222"/>
      <c r="X2" s="1222"/>
      <c r="Y2" s="1222"/>
      <c r="Z2" s="1222"/>
      <c r="AA2" s="1222"/>
      <c r="AB2" s="406"/>
    </row>
    <row r="3" spans="1:28" ht="37.5" customHeight="1">
      <c r="A3" s="406"/>
      <c r="B3" s="409"/>
      <c r="C3" s="409"/>
      <c r="D3" s="409"/>
      <c r="E3" s="1200" t="s">
        <v>516</v>
      </c>
      <c r="F3" s="1201"/>
      <c r="G3" s="1201"/>
      <c r="H3" s="1201"/>
      <c r="I3" s="1201"/>
      <c r="J3" s="1201"/>
      <c r="K3" s="1201"/>
      <c r="L3" s="1201"/>
      <c r="M3" s="1201"/>
      <c r="N3" s="1201"/>
      <c r="O3" s="1201"/>
      <c r="P3" s="1201"/>
      <c r="Q3" s="1201"/>
      <c r="R3" s="1201"/>
      <c r="S3" s="1201"/>
      <c r="T3" s="1201"/>
      <c r="U3" s="1201"/>
      <c r="V3" s="1201"/>
      <c r="W3" s="1201"/>
      <c r="X3" s="1201"/>
      <c r="Y3" s="1201"/>
      <c r="Z3" s="1201"/>
      <c r="AA3" s="1201"/>
      <c r="AB3" s="406"/>
    </row>
    <row r="4" spans="1:28" ht="67.5" customHeight="1">
      <c r="A4" s="406"/>
      <c r="B4" s="1223" t="s">
        <v>502</v>
      </c>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406"/>
    </row>
    <row r="5" spans="1:28" ht="6" customHeight="1">
      <c r="A5" s="410"/>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0"/>
    </row>
    <row r="6" spans="1:28" ht="18.75" customHeight="1">
      <c r="A6" s="406"/>
      <c r="AB6" s="406"/>
    </row>
    <row r="7" spans="1:28" ht="18" customHeight="1">
      <c r="A7" s="406"/>
      <c r="B7" s="1224" t="s">
        <v>424</v>
      </c>
      <c r="C7" s="1224"/>
      <c r="D7" s="1224"/>
      <c r="E7" s="1224"/>
      <c r="F7" s="1224"/>
      <c r="G7" s="1224"/>
      <c r="H7" s="1224"/>
      <c r="I7" s="1224"/>
      <c r="J7" s="1207"/>
      <c r="K7" s="1207"/>
      <c r="L7" s="1207"/>
      <c r="M7" s="1207"/>
      <c r="N7" s="1207"/>
      <c r="O7" s="1207"/>
      <c r="P7" s="1207"/>
      <c r="Q7" s="1207"/>
      <c r="R7" s="1207"/>
      <c r="S7" s="1207"/>
      <c r="T7" s="1207"/>
      <c r="U7" s="1207"/>
      <c r="V7" s="1207"/>
      <c r="W7" s="1207"/>
      <c r="X7" s="1207"/>
      <c r="Y7" s="1207"/>
      <c r="Z7" s="1207"/>
      <c r="AA7" s="1207"/>
      <c r="AB7" s="406"/>
    </row>
    <row r="8" spans="1:28" ht="18" customHeight="1">
      <c r="A8" s="406"/>
      <c r="B8" s="1224" t="s">
        <v>280</v>
      </c>
      <c r="C8" s="1224"/>
      <c r="D8" s="1224"/>
      <c r="E8" s="1224"/>
      <c r="F8" s="1208"/>
      <c r="G8" s="1208"/>
      <c r="H8" s="1208"/>
      <c r="I8" s="1208"/>
      <c r="J8" s="1208"/>
      <c r="K8" s="1208"/>
      <c r="L8" s="1208"/>
      <c r="M8" s="1208"/>
      <c r="N8" s="1225" t="s">
        <v>281</v>
      </c>
      <c r="O8" s="1225"/>
      <c r="P8" s="1225"/>
      <c r="Q8" s="1225"/>
      <c r="R8" s="1210"/>
      <c r="S8" s="1210"/>
      <c r="T8" s="1210"/>
      <c r="U8" s="1210"/>
      <c r="V8" s="1210"/>
      <c r="W8" s="1210"/>
      <c r="X8" s="1210"/>
      <c r="Y8" s="1210"/>
      <c r="Z8" s="1225" t="s">
        <v>496</v>
      </c>
      <c r="AA8" s="1225"/>
      <c r="AB8" s="406"/>
    </row>
    <row r="9" spans="1:28" ht="18" customHeight="1">
      <c r="A9" s="406"/>
      <c r="B9" s="1226" t="s">
        <v>284</v>
      </c>
      <c r="C9" s="1226"/>
      <c r="D9" s="1226"/>
      <c r="E9" s="1226"/>
      <c r="F9" s="1226"/>
      <c r="G9" s="1226"/>
      <c r="H9" s="1226"/>
      <c r="I9" s="1204">
        <f>IF(Cele_jmeno="","",Cele_jmeno)</f>
      </c>
      <c r="J9" s="1204"/>
      <c r="K9" s="1204"/>
      <c r="L9" s="1204"/>
      <c r="M9" s="1204"/>
      <c r="N9" s="1204"/>
      <c r="O9" s="1204"/>
      <c r="P9" s="1204"/>
      <c r="Q9" s="1204"/>
      <c r="R9" s="1204"/>
      <c r="S9" s="1224" t="s">
        <v>285</v>
      </c>
      <c r="T9" s="1224"/>
      <c r="U9" s="1224"/>
      <c r="V9" s="1206">
        <f>IF(Prac="","",Prac)</f>
      </c>
      <c r="W9" s="1206"/>
      <c r="X9" s="1206"/>
      <c r="Y9" s="1206"/>
      <c r="Z9" s="1206"/>
      <c r="AA9" s="1206"/>
      <c r="AB9" s="406"/>
    </row>
    <row r="10" spans="1:28" ht="18" customHeight="1">
      <c r="A10" s="406"/>
      <c r="B10" s="1226" t="s">
        <v>287</v>
      </c>
      <c r="C10" s="1226"/>
      <c r="D10" s="1226"/>
      <c r="E10" s="1226"/>
      <c r="F10" s="1206">
        <f>IF(Typ_vozidla="","",Typ_vozidla)</f>
      </c>
      <c r="G10" s="1206"/>
      <c r="H10" s="1206"/>
      <c r="I10" s="1206"/>
      <c r="J10" s="1206"/>
      <c r="K10" s="1206"/>
      <c r="L10" s="1206"/>
      <c r="M10" s="1206"/>
      <c r="N10" s="1206"/>
      <c r="O10" s="1206"/>
      <c r="P10" s="1206"/>
      <c r="Q10" s="1206"/>
      <c r="R10" s="1206"/>
      <c r="S10" s="1224" t="s">
        <v>288</v>
      </c>
      <c r="T10" s="1224"/>
      <c r="U10" s="1224"/>
      <c r="V10" s="1224"/>
      <c r="W10" s="1224"/>
      <c r="X10" s="1206" t="str">
        <f>IF(palivo="","",palivo)</f>
        <v>BA 95 Super</v>
      </c>
      <c r="Y10" s="1206"/>
      <c r="Z10" s="1206"/>
      <c r="AA10" s="1206"/>
      <c r="AB10" s="406"/>
    </row>
    <row r="11" spans="1:28" ht="18" customHeight="1">
      <c r="A11" s="406"/>
      <c r="B11" s="1226" t="s">
        <v>503</v>
      </c>
      <c r="C11" s="1226"/>
      <c r="D11" s="1226"/>
      <c r="E11" s="1226"/>
      <c r="F11" s="1226"/>
      <c r="G11" s="1226"/>
      <c r="H11" s="1226"/>
      <c r="I11" s="1226"/>
      <c r="J11" s="1226"/>
      <c r="K11" s="1226"/>
      <c r="L11" s="1226"/>
      <c r="M11" s="1226"/>
      <c r="N11" s="1226"/>
      <c r="O11" s="1226"/>
      <c r="P11" s="1227">
        <f>IF([0]!norm_spotr=0,"",[0]!norm_spotr)</f>
      </c>
      <c r="Q11" s="1227"/>
      <c r="R11" s="1227"/>
      <c r="S11" s="1227"/>
      <c r="T11" s="1227"/>
      <c r="U11" s="1227"/>
      <c r="V11" s="1227"/>
      <c r="W11" s="1227"/>
      <c r="X11" s="1227"/>
      <c r="Y11" s="1227"/>
      <c r="Z11" s="1227"/>
      <c r="AA11" s="1227"/>
      <c r="AB11" s="406"/>
    </row>
    <row r="12" spans="1:28" ht="18" customHeight="1">
      <c r="A12" s="406"/>
      <c r="B12" s="1226" t="s">
        <v>289</v>
      </c>
      <c r="C12" s="1226"/>
      <c r="D12" s="1226"/>
      <c r="E12" s="1226"/>
      <c r="F12" s="1228">
        <f>IF([0]!SPZ="","",[0]!SPZ)</f>
      </c>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406"/>
    </row>
    <row r="13" spans="1:30" ht="18" customHeight="1">
      <c r="A13" s="406"/>
      <c r="B13" s="1226" t="s">
        <v>290</v>
      </c>
      <c r="C13" s="1226"/>
      <c r="D13" s="1226"/>
      <c r="E13" s="1226"/>
      <c r="F13" s="1226"/>
      <c r="G13" s="1226"/>
      <c r="H13" s="1226"/>
      <c r="I13" s="1226"/>
      <c r="J13" s="1229">
        <f>IF([0]!pojCS="","",[0]!pojCS)</f>
      </c>
      <c r="K13" s="1229"/>
      <c r="L13" s="1229"/>
      <c r="M13" s="1229"/>
      <c r="N13" s="1229"/>
      <c r="O13" s="1229"/>
      <c r="P13" s="1229"/>
      <c r="Q13" s="1229"/>
      <c r="R13" s="1230" t="s">
        <v>291</v>
      </c>
      <c r="S13" s="1230"/>
      <c r="T13" s="1230"/>
      <c r="U13" s="1230"/>
      <c r="V13" s="1231">
        <f>IF([0]!CSdo="","",[0]!CSdo)</f>
      </c>
      <c r="W13" s="1232"/>
      <c r="X13" s="1232"/>
      <c r="Y13" s="1232"/>
      <c r="Z13" s="1232"/>
      <c r="AA13" s="1232"/>
      <c r="AB13" s="406"/>
      <c r="AD13" s="413" t="s">
        <v>283</v>
      </c>
    </row>
    <row r="14" spans="1:30" ht="18" customHeight="1">
      <c r="A14" s="406"/>
      <c r="B14" s="1226" t="s">
        <v>292</v>
      </c>
      <c r="C14" s="1226"/>
      <c r="D14" s="1226"/>
      <c r="E14" s="1226"/>
      <c r="F14" s="1226"/>
      <c r="G14" s="1226"/>
      <c r="H14" s="1226"/>
      <c r="I14" s="1226"/>
      <c r="J14" s="1229">
        <f>IF([0]!pojEU="","",[0]!pojEU)</f>
      </c>
      <c r="K14" s="1229"/>
      <c r="L14" s="1229"/>
      <c r="M14" s="1229"/>
      <c r="N14" s="1229"/>
      <c r="O14" s="1229"/>
      <c r="P14" s="1229"/>
      <c r="Q14" s="1229"/>
      <c r="R14" s="1233" t="s">
        <v>291</v>
      </c>
      <c r="S14" s="1233"/>
      <c r="T14" s="1233"/>
      <c r="U14" s="1233"/>
      <c r="V14" s="1231">
        <f>IF([0]!EUdo="","",[0]!EUdo)</f>
      </c>
      <c r="W14" s="1229"/>
      <c r="X14" s="1229"/>
      <c r="Y14" s="1229"/>
      <c r="Z14" s="1229"/>
      <c r="AA14" s="1229"/>
      <c r="AB14" s="406"/>
      <c r="AD14" s="413" t="s">
        <v>286</v>
      </c>
    </row>
    <row r="15" spans="1:30" ht="18" customHeight="1">
      <c r="A15" s="406"/>
      <c r="B15" s="1226" t="s">
        <v>293</v>
      </c>
      <c r="C15" s="1226"/>
      <c r="D15" s="1226"/>
      <c r="E15" s="1226"/>
      <c r="F15" s="1226"/>
      <c r="G15" s="1226"/>
      <c r="H15" s="1208"/>
      <c r="I15" s="1208"/>
      <c r="J15" s="1208"/>
      <c r="K15" s="1208"/>
      <c r="L15" s="1208"/>
      <c r="M15" s="1208"/>
      <c r="N15" s="1208"/>
      <c r="O15" s="1208"/>
      <c r="P15" s="1208"/>
      <c r="Q15" s="1208"/>
      <c r="R15" s="1208"/>
      <c r="S15" s="1208"/>
      <c r="T15" s="1208"/>
      <c r="U15" s="1208"/>
      <c r="V15" s="1208"/>
      <c r="W15" s="1208"/>
      <c r="X15" s="1208"/>
      <c r="Y15" s="1208"/>
      <c r="Z15" s="1208"/>
      <c r="AA15" s="1208"/>
      <c r="AB15" s="406"/>
      <c r="AD15" s="407">
        <v>1</v>
      </c>
    </row>
    <row r="16" spans="1:28" ht="12.75">
      <c r="A16" s="406"/>
      <c r="AB16" s="406"/>
    </row>
    <row r="17" spans="1:28" ht="12.75">
      <c r="A17" s="406"/>
      <c r="AB17" s="406"/>
    </row>
    <row r="18" spans="1:28" ht="12.75">
      <c r="A18" s="406"/>
      <c r="J18" s="414"/>
      <c r="K18" s="414"/>
      <c r="L18" s="414"/>
      <c r="M18" s="414"/>
      <c r="N18" s="414"/>
      <c r="O18" s="414"/>
      <c r="P18" s="414"/>
      <c r="Q18" s="414"/>
      <c r="R18" s="414"/>
      <c r="S18" s="414"/>
      <c r="T18" s="414"/>
      <c r="U18" s="414"/>
      <c r="V18" s="414"/>
      <c r="W18" s="414"/>
      <c r="X18" s="414"/>
      <c r="Y18" s="414"/>
      <c r="Z18" s="414"/>
      <c r="AA18" s="414"/>
      <c r="AB18" s="406"/>
    </row>
    <row r="19" spans="1:28" ht="15">
      <c r="A19" s="406"/>
      <c r="B19" s="1234" t="s">
        <v>295</v>
      </c>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c r="Z19" s="1234"/>
      <c r="AA19" s="1234"/>
      <c r="AB19" s="406"/>
    </row>
    <row r="20" spans="1:28" ht="12.75">
      <c r="A20" s="406"/>
      <c r="B20" s="1235"/>
      <c r="C20" s="1235"/>
      <c r="D20" s="1235"/>
      <c r="E20" s="1235"/>
      <c r="F20" s="1235"/>
      <c r="G20" s="1235"/>
      <c r="H20" s="1235"/>
      <c r="I20" s="1235"/>
      <c r="J20" s="1235"/>
      <c r="K20" s="1235"/>
      <c r="L20" s="1235"/>
      <c r="M20" s="1235"/>
      <c r="N20" s="1235"/>
      <c r="O20" s="1235"/>
      <c r="P20" s="1235"/>
      <c r="Q20" s="1235"/>
      <c r="R20" s="1235"/>
      <c r="S20" s="1235"/>
      <c r="T20" s="1235"/>
      <c r="U20" s="1235"/>
      <c r="V20" s="1235"/>
      <c r="W20" s="1235"/>
      <c r="X20" s="1235"/>
      <c r="Y20" s="1235"/>
      <c r="Z20" s="1235"/>
      <c r="AA20" s="1235"/>
      <c r="AB20" s="406"/>
    </row>
    <row r="21" spans="1:28" ht="27" customHeight="1">
      <c r="A21" s="406"/>
      <c r="B21" s="1236" t="s">
        <v>504</v>
      </c>
      <c r="C21" s="1236"/>
      <c r="D21" s="1236"/>
      <c r="E21" s="1236"/>
      <c r="F21" s="1236"/>
      <c r="G21" s="1236"/>
      <c r="H21" s="1236"/>
      <c r="I21" s="1236"/>
      <c r="J21" s="1236"/>
      <c r="K21" s="1236"/>
      <c r="L21" s="1236"/>
      <c r="M21" s="1236"/>
      <c r="N21" s="1236"/>
      <c r="O21" s="1236"/>
      <c r="P21" s="1236"/>
      <c r="Q21" s="1236"/>
      <c r="R21" s="1236"/>
      <c r="S21" s="1236"/>
      <c r="T21" s="1236"/>
      <c r="U21" s="1236"/>
      <c r="V21" s="1236"/>
      <c r="W21" s="1236"/>
      <c r="X21" s="1236"/>
      <c r="Y21" s="1236"/>
      <c r="Z21" s="1236"/>
      <c r="AA21" s="1236"/>
      <c r="AB21" s="406"/>
    </row>
    <row r="22" spans="1:28" ht="21.75" customHeight="1">
      <c r="A22" s="406"/>
      <c r="B22" s="1237" t="str">
        <f>CONCATENATE("Dále prohlašuji, že silniční daň z vozidla použitého k pracovní cestě ",INDEX($AD$13:$AD$14,$AD$15)," zaplacena.")</f>
        <v>Dále prohlašuji, že silniční daň z vozidla použitého k pracovní cestě nebyla zaplacena.</v>
      </c>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406"/>
    </row>
    <row r="23" spans="1:28" ht="42" customHeight="1">
      <c r="A23" s="406"/>
      <c r="B23" s="1224" t="s">
        <v>297</v>
      </c>
      <c r="C23" s="1224"/>
      <c r="D23" s="1224"/>
      <c r="E23" s="1215"/>
      <c r="F23" s="1215"/>
      <c r="G23" s="1215"/>
      <c r="H23" s="1215"/>
      <c r="I23" s="1215"/>
      <c r="J23" s="1221"/>
      <c r="K23" s="1221"/>
      <c r="L23" s="1221"/>
      <c r="M23" s="1238" t="s">
        <v>298</v>
      </c>
      <c r="N23" s="1238"/>
      <c r="O23" s="1238"/>
      <c r="P23" s="1238"/>
      <c r="Q23" s="1238"/>
      <c r="R23" s="1239"/>
      <c r="S23" s="1239"/>
      <c r="T23" s="1239"/>
      <c r="U23" s="1239"/>
      <c r="V23" s="1239"/>
      <c r="W23" s="1239"/>
      <c r="X23" s="1239"/>
      <c r="Y23" s="1239"/>
      <c r="Z23" s="1239"/>
      <c r="AA23" s="1239"/>
      <c r="AB23" s="406"/>
    </row>
    <row r="24" spans="1:28" ht="42" customHeight="1">
      <c r="A24" s="406"/>
      <c r="B24" s="412"/>
      <c r="C24" s="412"/>
      <c r="D24" s="412"/>
      <c r="E24" s="416"/>
      <c r="F24" s="416"/>
      <c r="G24" s="416"/>
      <c r="H24" s="416"/>
      <c r="I24" s="416"/>
      <c r="J24" s="408"/>
      <c r="K24" s="408"/>
      <c r="L24" s="408"/>
      <c r="M24" s="415"/>
      <c r="N24" s="415"/>
      <c r="O24" s="415"/>
      <c r="P24" s="415"/>
      <c r="Q24" s="415"/>
      <c r="R24" s="415"/>
      <c r="S24" s="415"/>
      <c r="T24" s="415"/>
      <c r="U24" s="415"/>
      <c r="V24" s="415"/>
      <c r="W24" s="415"/>
      <c r="X24" s="415"/>
      <c r="Y24" s="415"/>
      <c r="Z24" s="415"/>
      <c r="AA24" s="415"/>
      <c r="AB24" s="406"/>
    </row>
    <row r="25" spans="1:28" ht="12.75">
      <c r="A25" s="406"/>
      <c r="AB25" s="406"/>
    </row>
    <row r="26" spans="1:28" ht="12.75">
      <c r="A26" s="406"/>
      <c r="AB26" s="406"/>
    </row>
    <row r="27" spans="1:28" ht="12.75">
      <c r="A27" s="406"/>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06"/>
    </row>
    <row r="28" spans="1:28" ht="22.5" customHeight="1">
      <c r="A28" s="406"/>
      <c r="B28" s="414"/>
      <c r="C28" s="414"/>
      <c r="D28" s="414"/>
      <c r="E28" s="414"/>
      <c r="F28" s="414"/>
      <c r="G28" s="414"/>
      <c r="H28" s="1241" t="s">
        <v>505</v>
      </c>
      <c r="I28" s="1241"/>
      <c r="J28" s="1241"/>
      <c r="K28" s="1241"/>
      <c r="L28" s="1241"/>
      <c r="M28" s="1241"/>
      <c r="N28" s="1241"/>
      <c r="O28" s="1241"/>
      <c r="P28" s="1241"/>
      <c r="Q28" s="1241"/>
      <c r="R28" s="1241"/>
      <c r="S28" s="1241"/>
      <c r="T28" s="1241"/>
      <c r="U28" s="414"/>
      <c r="V28" s="414"/>
      <c r="W28" s="414"/>
      <c r="X28" s="414"/>
      <c r="Y28" s="414"/>
      <c r="Z28" s="414"/>
      <c r="AA28" s="414"/>
      <c r="AB28" s="406"/>
    </row>
    <row r="29" spans="1:28" ht="37.5" customHeight="1">
      <c r="A29" s="406"/>
      <c r="B29" s="1242" t="s">
        <v>506</v>
      </c>
      <c r="C29" s="1242"/>
      <c r="D29" s="1242"/>
      <c r="E29" s="1242"/>
      <c r="F29" s="1242"/>
      <c r="G29" s="1242"/>
      <c r="H29" s="1242"/>
      <c r="I29" s="1242"/>
      <c r="J29" s="1242"/>
      <c r="K29" s="1242"/>
      <c r="L29" s="1242"/>
      <c r="M29" s="1242"/>
      <c r="N29" s="1242"/>
      <c r="O29" s="1242"/>
      <c r="P29" s="1242"/>
      <c r="Q29" s="1242"/>
      <c r="R29" s="1242"/>
      <c r="S29" s="1242"/>
      <c r="T29" s="1242"/>
      <c r="U29" s="1242"/>
      <c r="V29" s="1242"/>
      <c r="W29" s="1242"/>
      <c r="X29" s="1242"/>
      <c r="Y29" s="1242"/>
      <c r="Z29" s="1242"/>
      <c r="AA29" s="1242"/>
      <c r="AB29" s="406"/>
    </row>
    <row r="30" spans="1:28" ht="12.75">
      <c r="A30" s="406"/>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06"/>
    </row>
    <row r="31" spans="1:28" ht="12.75">
      <c r="A31" s="406"/>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06"/>
    </row>
    <row r="32" spans="1:28" ht="12.75">
      <c r="A32" s="406"/>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06"/>
    </row>
    <row r="33" spans="1:28" ht="17.25" customHeight="1">
      <c r="A33" s="406"/>
      <c r="B33" s="1224" t="s">
        <v>507</v>
      </c>
      <c r="C33" s="1224"/>
      <c r="D33" s="1224"/>
      <c r="E33" s="1215"/>
      <c r="F33" s="1215"/>
      <c r="G33" s="1215"/>
      <c r="H33" s="1215"/>
      <c r="I33" s="1215"/>
      <c r="J33" s="744" t="s">
        <v>432</v>
      </c>
      <c r="K33" s="744"/>
      <c r="L33" s="744"/>
      <c r="M33" s="744"/>
      <c r="N33" s="744"/>
      <c r="O33" s="744"/>
      <c r="P33" s="744"/>
      <c r="Q33" s="744"/>
      <c r="R33" s="652"/>
      <c r="S33" s="652"/>
      <c r="T33" s="652"/>
      <c r="U33" s="652"/>
      <c r="V33" s="652"/>
      <c r="W33" s="652"/>
      <c r="X33" s="652"/>
      <c r="Y33" s="652"/>
      <c r="Z33" s="652"/>
      <c r="AA33" s="652"/>
      <c r="AB33" s="406"/>
    </row>
    <row r="34" spans="1:28" ht="12.75">
      <c r="A34" s="406"/>
      <c r="J34" s="418"/>
      <c r="K34" s="418"/>
      <c r="L34" s="418"/>
      <c r="M34" s="418"/>
      <c r="N34" s="418"/>
      <c r="O34" s="418"/>
      <c r="P34" s="418"/>
      <c r="Q34" s="418"/>
      <c r="R34" s="418"/>
      <c r="S34" s="418"/>
      <c r="T34" s="418"/>
      <c r="U34" s="418"/>
      <c r="V34" s="418"/>
      <c r="W34" s="418"/>
      <c r="X34" s="418"/>
      <c r="Y34" s="418"/>
      <c r="Z34" s="418"/>
      <c r="AA34" s="418"/>
      <c r="AB34" s="406"/>
    </row>
    <row r="35" spans="1:28" ht="12.75">
      <c r="A35" s="406"/>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06"/>
    </row>
    <row r="36" spans="1:28" ht="12.75">
      <c r="A36" s="406"/>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06"/>
    </row>
    <row r="37" spans="1:28" ht="12.75">
      <c r="A37" s="406"/>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06"/>
    </row>
    <row r="38" spans="1:28" ht="12.75">
      <c r="A38" s="406"/>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06"/>
    </row>
    <row r="39" spans="1:28" ht="12.75">
      <c r="A39" s="406"/>
      <c r="B39" s="1240" t="s">
        <v>508</v>
      </c>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406"/>
    </row>
    <row r="40" spans="1:28" ht="12.75">
      <c r="A40" s="406"/>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row>
    <row r="41" spans="1:28" ht="12.75">
      <c r="A41" s="406"/>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row>
    <row r="42" spans="1:28" ht="12.75">
      <c r="A42" s="406"/>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row>
    <row r="43" spans="1:28" ht="12.75">
      <c r="A43" s="406"/>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row>
  </sheetData>
  <sheetProtection sheet="1" selectLockedCells="1"/>
  <mergeCells count="51">
    <mergeCell ref="B39:AA39"/>
    <mergeCell ref="H28:T28"/>
    <mergeCell ref="B29:AA29"/>
    <mergeCell ref="B33:D33"/>
    <mergeCell ref="E33:I33"/>
    <mergeCell ref="J33:Q33"/>
    <mergeCell ref="R33:AA33"/>
    <mergeCell ref="B19:AA19"/>
    <mergeCell ref="B20:AA20"/>
    <mergeCell ref="B21:AA21"/>
    <mergeCell ref="B22:AA22"/>
    <mergeCell ref="B23:D23"/>
    <mergeCell ref="E23:I23"/>
    <mergeCell ref="J23:L23"/>
    <mergeCell ref="M23:Q23"/>
    <mergeCell ref="R23:AA23"/>
    <mergeCell ref="B14:I14"/>
    <mergeCell ref="J14:Q14"/>
    <mergeCell ref="R14:U14"/>
    <mergeCell ref="V14:AA14"/>
    <mergeCell ref="B15:G15"/>
    <mergeCell ref="H15:AA15"/>
    <mergeCell ref="B11:O11"/>
    <mergeCell ref="P11:AA11"/>
    <mergeCell ref="B12:E12"/>
    <mergeCell ref="F12:AA12"/>
    <mergeCell ref="B13:I13"/>
    <mergeCell ref="J13:Q13"/>
    <mergeCell ref="R13:U13"/>
    <mergeCell ref="V13:AA13"/>
    <mergeCell ref="B9:H9"/>
    <mergeCell ref="I9:R9"/>
    <mergeCell ref="S9:U9"/>
    <mergeCell ref="V9:AA9"/>
    <mergeCell ref="B10:E10"/>
    <mergeCell ref="F10:R10"/>
    <mergeCell ref="S10:W10"/>
    <mergeCell ref="X10:AA10"/>
    <mergeCell ref="B7:I7"/>
    <mergeCell ref="J7:AA7"/>
    <mergeCell ref="B8:E8"/>
    <mergeCell ref="F8:M8"/>
    <mergeCell ref="N8:Q8"/>
    <mergeCell ref="R8:Y8"/>
    <mergeCell ref="Z8:AA8"/>
    <mergeCell ref="J1:S1"/>
    <mergeCell ref="B2:Q2"/>
    <mergeCell ref="R2:S2"/>
    <mergeCell ref="T2:AA2"/>
    <mergeCell ref="E3:AA3"/>
    <mergeCell ref="B4:AA4"/>
  </mergeCells>
  <printOptions horizontalCentered="1"/>
  <pageMargins left="0.31496062992125984" right="0.31496062992125984" top="0.7874015748031497" bottom="0.787401574803149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PřF MU Brno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Cestovní příkaz - zahraniční</dc:title>
  <dc:subject/>
  <dc:creator>Čestmír Greger</dc:creator>
  <cp:keywords/>
  <dc:description/>
  <cp:lastModifiedBy>Hana Ondráčková</cp:lastModifiedBy>
  <cp:lastPrinted>2016-01-25T10:15:01Z</cp:lastPrinted>
  <dcterms:created xsi:type="dcterms:W3CDTF">2004-11-29T20:54:18Z</dcterms:created>
  <dcterms:modified xsi:type="dcterms:W3CDTF">2016-01-28T12:48:35Z</dcterms:modified>
  <cp:category/>
  <cp:version/>
  <cp:contentType/>
  <cp:contentStatus/>
</cp:coreProperties>
</file>