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31" windowWidth="15195" windowHeight="11640" firstSheet="3" activeTab="7"/>
  </bookViews>
  <sheets>
    <sheet name="Mocnintrend" sheetId="1" r:id="rId1"/>
    <sheet name="Bikvadratický" sheetId="2" r:id="rId2"/>
    <sheet name="Kubictrend" sheetId="3" r:id="rId3"/>
    <sheet name="Kvadrtrend" sheetId="4" r:id="rId4"/>
    <sheet name="Lintrend" sheetId="5" r:id="rId5"/>
    <sheet name="Logtrend" sheetId="6" r:id="rId6"/>
    <sheet name="Datavklady" sheetId="7" r:id="rId7"/>
    <sheet name="komparace" sheetId="8" r:id="rId8"/>
    <sheet name="Logisttrend" sheetId="9" r:id="rId9"/>
    <sheet name="Exptrend" sheetId="10" r:id="rId10"/>
    <sheet name="Predlogist" sheetId="11" r:id="rId11"/>
    <sheet name="PredModexp" sheetId="12" r:id="rId12"/>
    <sheet name="ModExptrend" sheetId="13" r:id="rId13"/>
    <sheet name="PredGomp" sheetId="14" r:id="rId14"/>
    <sheet name="Gomptrend" sheetId="15" r:id="rId15"/>
    <sheet name="rozdělenídat" sheetId="16" r:id="rId16"/>
  </sheets>
  <definedNames/>
  <calcPr fullCalcOnLoad="1"/>
</workbook>
</file>

<file path=xl/sharedStrings.xml><?xml version="1.0" encoding="utf-8"?>
<sst xmlns="http://schemas.openxmlformats.org/spreadsheetml/2006/main" count="1201" uniqueCount="131">
  <si>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</si>
  <si>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</si>
  <si>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</si>
  <si>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</si>
  <si>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</si>
  <si>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</si>
  <si>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</si>
  <si>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</si>
  <si>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</si>
  <si>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</si>
  <si>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</si>
  <si>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</si>
  <si>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</si>
  <si>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</si>
  <si>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</si>
  <si>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</si>
  <si>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</si>
  <si>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</si>
  <si>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</si>
  <si>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</si>
  <si>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</si>
  <si>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</si>
  <si>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</si>
  <si>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</si>
  <si>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</si>
  <si>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</si>
  <si>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</si>
  <si>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</si>
  <si>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</si>
  <si>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</si>
  <si>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</si>
  <si>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</si>
  <si>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</si>
  <si>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</si>
  <si>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</si>
  <si>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</si>
  <si>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</si>
  <si>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</si>
  <si>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</si>
  <si>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</si>
  <si>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</si>
  <si>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</si>
  <si>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</si>
  <si>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</si>
  <si>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</si>
  <si>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</si>
  <si>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</si>
  <si>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</si>
  <si>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</si>
  <si>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</si>
  <si>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</si>
  <si>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</si>
  <si>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</si>
  <si>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</si>
  <si>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</si>
  <si>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</si>
  <si>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</si>
  <si>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</si>
  <si>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</si>
  <si>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</si>
  <si>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 xml:space="preserve">   pořadí</t>
  </si>
  <si>
    <t>hodnota</t>
  </si>
  <si>
    <t xml:space="preserve">  čtvtrtletí</t>
  </si>
  <si>
    <t xml:space="preserve">parametr </t>
  </si>
  <si>
    <t xml:space="preserve">       b=</t>
  </si>
  <si>
    <t xml:space="preserve">       a=</t>
  </si>
  <si>
    <t xml:space="preserve">       c=</t>
  </si>
  <si>
    <t xml:space="preserve">  čtvttletí</t>
  </si>
  <si>
    <t>sumace</t>
  </si>
  <si>
    <t xml:space="preserve">   X¨X=</t>
  </si>
  <si>
    <t xml:space="preserve">   (X¨X)-1</t>
  </si>
  <si>
    <t xml:space="preserve"> det (X¨X)</t>
  </si>
  <si>
    <t xml:space="preserve">     =xt^2</t>
  </si>
  <si>
    <t>b1</t>
  </si>
  <si>
    <t>b2</t>
  </si>
  <si>
    <t xml:space="preserve">   X'y=</t>
  </si>
  <si>
    <t xml:space="preserve">   xt*yt</t>
  </si>
  <si>
    <t xml:space="preserve">    beta</t>
  </si>
  <si>
    <t xml:space="preserve">    alfa</t>
  </si>
  <si>
    <t xml:space="preserve">    gama</t>
  </si>
  <si>
    <t>b3</t>
  </si>
  <si>
    <t>adj(X¨X)=</t>
  </si>
  <si>
    <t>vyrovnání</t>
  </si>
  <si>
    <t>skutečnost</t>
  </si>
  <si>
    <t xml:space="preserve"> ln(pořadí)</t>
  </si>
  <si>
    <t xml:space="preserve">   t*yt</t>
  </si>
  <si>
    <t xml:space="preserve">     t^2</t>
  </si>
  <si>
    <t xml:space="preserve">     =t^2</t>
  </si>
  <si>
    <t xml:space="preserve">     =t^3</t>
  </si>
  <si>
    <t xml:space="preserve">  =t^4</t>
  </si>
  <si>
    <t xml:space="preserve">   t2*yt</t>
  </si>
  <si>
    <t>črtvrtletí</t>
  </si>
  <si>
    <r>
      <t>ln(y</t>
    </r>
    <r>
      <rPr>
        <vertAlign val="subscript"/>
        <sz val="12"/>
        <rFont val="Arial Narrow"/>
        <family val="2"/>
      </rPr>
      <t>t</t>
    </r>
    <r>
      <rPr>
        <sz val="12"/>
        <rFont val="Arial Narrow"/>
        <family val="2"/>
      </rPr>
      <t>)</t>
    </r>
  </si>
  <si>
    <t xml:space="preserve">     ln(t)</t>
  </si>
  <si>
    <t xml:space="preserve">  pořadí</t>
  </si>
  <si>
    <r>
      <t xml:space="preserve">     ln</t>
    </r>
    <r>
      <rPr>
        <vertAlign val="superscript"/>
        <sz val="12"/>
        <rFont val="Arial Narrow"/>
        <family val="2"/>
      </rPr>
      <t>2</t>
    </r>
    <r>
      <rPr>
        <sz val="12"/>
        <rFont val="Arial Narrow"/>
        <family val="2"/>
      </rPr>
      <t>(t)</t>
    </r>
  </si>
  <si>
    <r>
      <t xml:space="preserve">  ln(t).ln(y</t>
    </r>
    <r>
      <rPr>
        <vertAlign val="subscript"/>
        <sz val="12"/>
        <rFont val="Arial Narrow"/>
        <family val="2"/>
      </rPr>
      <t>t</t>
    </r>
    <r>
      <rPr>
        <sz val="12"/>
        <rFont val="Arial Narrow"/>
        <family val="2"/>
      </rPr>
      <t>)</t>
    </r>
  </si>
  <si>
    <r>
      <t>b</t>
    </r>
    <r>
      <rPr>
        <b/>
        <vertAlign val="subscript"/>
        <sz val="12"/>
        <rFont val="Arial Narrow"/>
        <family val="2"/>
      </rPr>
      <t>1</t>
    </r>
  </si>
  <si>
    <r>
      <t>b</t>
    </r>
    <r>
      <rPr>
        <b/>
        <vertAlign val="subscript"/>
        <sz val="12"/>
        <rFont val="Arial Narrow"/>
        <family val="2"/>
      </rPr>
      <t>2</t>
    </r>
  </si>
  <si>
    <r>
      <t>exp(b</t>
    </r>
    <r>
      <rPr>
        <b/>
        <vertAlign val="subscript"/>
        <sz val="12"/>
        <rFont val="Arial Narrow"/>
        <family val="2"/>
      </rPr>
      <t>1</t>
    </r>
    <r>
      <rPr>
        <b/>
        <sz val="12"/>
        <rFont val="Arial Narrow"/>
        <family val="2"/>
      </rPr>
      <t>)</t>
    </r>
  </si>
  <si>
    <t xml:space="preserve">lineární trend </t>
  </si>
  <si>
    <t xml:space="preserve">kvadratický trend </t>
  </si>
  <si>
    <t xml:space="preserve">kubický trend </t>
  </si>
  <si>
    <t>mocninný trend</t>
  </si>
  <si>
    <t xml:space="preserve">exponenciální trend </t>
  </si>
  <si>
    <t>Gompertzův trend</t>
  </si>
  <si>
    <t>logaritmický trend</t>
  </si>
  <si>
    <t>MSE</t>
  </si>
  <si>
    <t>RMSE</t>
  </si>
  <si>
    <t>modifik.expon.trend</t>
  </si>
  <si>
    <t>logistický trend</t>
  </si>
  <si>
    <t>rezidua</t>
  </si>
  <si>
    <t>abs.rezidua</t>
  </si>
  <si>
    <t>rezidua^2</t>
  </si>
  <si>
    <t>MAE</t>
  </si>
  <si>
    <t>pozorování</t>
  </si>
  <si>
    <t xml:space="preserve">   SSE</t>
  </si>
  <si>
    <t>MAPE</t>
  </si>
  <si>
    <t>AMAPE</t>
  </si>
  <si>
    <t>APE</t>
  </si>
  <si>
    <t>AAPE</t>
  </si>
  <si>
    <t>TH</t>
  </si>
  <si>
    <t>THEILovoU</t>
  </si>
  <si>
    <t>THEIL' U</t>
  </si>
  <si>
    <t>b4</t>
  </si>
  <si>
    <t>spočteno GRETLem</t>
  </si>
  <si>
    <t xml:space="preserve">bikvadratický trend </t>
  </si>
  <si>
    <t>b0</t>
  </si>
  <si>
    <t xml:space="preserve">             trendová funkce</t>
  </si>
  <si>
    <r>
      <t xml:space="preserve">    </t>
    </r>
    <r>
      <rPr>
        <b/>
        <sz val="12"/>
        <rFont val="Arial Narrow"/>
        <family val="2"/>
      </rPr>
      <t>ME</t>
    </r>
  </si>
  <si>
    <r>
      <t xml:space="preserve">   </t>
    </r>
    <r>
      <rPr>
        <b/>
        <sz val="12"/>
        <rFont val="Arial Narrow"/>
        <family val="2"/>
      </rPr>
      <t>ME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</si>
</sst>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0.000"/>
    <numFmt numFmtId="167" formatCode="0.000E+00"/>
    <numFmt numFmtId="168" formatCode="0.0000E+00"/>
    <numFmt numFmtId="169" formatCode="0.00000E+00"/>
    <numFmt numFmtId="170" formatCode="0.00000000"/>
    <numFmt numFmtId="171" formatCode="0.00000"/>
    <numFmt numFmtId="172" formatCode="0.000000"/>
    <numFmt numFmtId="173" formatCode="0.0E+00"/>
    <numFmt numFmtId="174" formatCode="0.000000E+00"/>
    <numFmt numFmtId="175" formatCode="0.000000000"/>
    <numFmt numFmtId="176" formatCode="0.0000000"/>
    <numFmt numFmtId="177" formatCode="[$-405]d\.\ mmmm\ yyyy"/>
  </numFmts>
  <fonts count="48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sz val="12"/>
      <name val="Arial"/>
      <family val="0"/>
    </font>
    <font>
      <vertAlign val="subscript"/>
      <sz val="12"/>
      <name val="Arial Narrow"/>
      <family val="2"/>
    </font>
    <font>
      <vertAlign val="superscript"/>
      <sz val="12"/>
      <name val="Arial Narrow"/>
      <family val="2"/>
    </font>
    <font>
      <b/>
      <vertAlign val="subscript"/>
      <sz val="12"/>
      <name val="Arial Narrow"/>
      <family val="2"/>
    </font>
    <font>
      <i/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 CE"/>
      <family val="0"/>
    </font>
    <font>
      <sz val="9.2"/>
      <color indexed="8"/>
      <name val="Arial CE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4" borderId="13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5" borderId="15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1" fillId="36" borderId="21" xfId="0" applyFont="1" applyFill="1" applyBorder="1" applyAlignment="1">
      <alignment/>
    </xf>
    <xf numFmtId="0" fontId="1" fillId="36" borderId="22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37" borderId="21" xfId="0" applyFont="1" applyFill="1" applyBorder="1" applyAlignment="1">
      <alignment/>
    </xf>
    <xf numFmtId="0" fontId="1" fillId="38" borderId="21" xfId="0" applyFont="1" applyFill="1" applyBorder="1" applyAlignment="1">
      <alignment/>
    </xf>
    <xf numFmtId="0" fontId="1" fillId="38" borderId="23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9" borderId="13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5" borderId="19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1" fillId="39" borderId="14" xfId="0" applyFont="1" applyFill="1" applyBorder="1" applyAlignment="1">
      <alignment/>
    </xf>
    <xf numFmtId="0" fontId="1" fillId="35" borderId="20" xfId="0" applyFont="1" applyFill="1" applyBorder="1" applyAlignment="1">
      <alignment/>
    </xf>
    <xf numFmtId="0" fontId="1" fillId="39" borderId="15" xfId="0" applyFont="1" applyFill="1" applyBorder="1" applyAlignment="1">
      <alignment/>
    </xf>
    <xf numFmtId="0" fontId="1" fillId="35" borderId="16" xfId="0" applyFont="1" applyFill="1" applyBorder="1" applyAlignment="1">
      <alignment/>
    </xf>
    <xf numFmtId="0" fontId="1" fillId="35" borderId="17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5" borderId="18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1" fillId="36" borderId="16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1" fillId="36" borderId="18" xfId="0" applyFont="1" applyFill="1" applyBorder="1" applyAlignment="1">
      <alignment/>
    </xf>
    <xf numFmtId="0" fontId="1" fillId="36" borderId="13" xfId="0" applyFont="1" applyFill="1" applyBorder="1" applyAlignment="1">
      <alignment/>
    </xf>
    <xf numFmtId="0" fontId="1" fillId="36" borderId="15" xfId="0" applyFont="1" applyFill="1" applyBorder="1" applyAlignment="1">
      <alignment/>
    </xf>
    <xf numFmtId="0" fontId="1" fillId="38" borderId="13" xfId="0" applyFont="1" applyFill="1" applyBorder="1" applyAlignment="1">
      <alignment/>
    </xf>
    <xf numFmtId="0" fontId="1" fillId="38" borderId="15" xfId="0" applyFont="1" applyFill="1" applyBorder="1" applyAlignment="1">
      <alignment/>
    </xf>
    <xf numFmtId="0" fontId="2" fillId="40" borderId="2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40" borderId="13" xfId="0" applyFont="1" applyFill="1" applyBorder="1" applyAlignment="1">
      <alignment horizontal="center"/>
    </xf>
    <xf numFmtId="0" fontId="2" fillId="40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5" borderId="16" xfId="0" applyFont="1" applyFill="1" applyBorder="1" applyAlignment="1">
      <alignment/>
    </xf>
    <xf numFmtId="0" fontId="1" fillId="39" borderId="13" xfId="0" applyFont="1" applyFill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33" borderId="19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169" fontId="1" fillId="38" borderId="21" xfId="0" applyNumberFormat="1" applyFont="1" applyFill="1" applyBorder="1" applyAlignment="1">
      <alignment/>
    </xf>
    <xf numFmtId="0" fontId="1" fillId="39" borderId="16" xfId="0" applyFont="1" applyFill="1" applyBorder="1" applyAlignment="1">
      <alignment/>
    </xf>
    <xf numFmtId="0" fontId="1" fillId="39" borderId="17" xfId="0" applyFont="1" applyFill="1" applyBorder="1" applyAlignment="1">
      <alignment/>
    </xf>
    <xf numFmtId="0" fontId="1" fillId="39" borderId="18" xfId="0" applyFont="1" applyFill="1" applyBorder="1" applyAlignment="1">
      <alignment/>
    </xf>
    <xf numFmtId="170" fontId="1" fillId="36" borderId="10" xfId="0" applyNumberFormat="1" applyFont="1" applyFill="1" applyBorder="1" applyAlignment="1">
      <alignment/>
    </xf>
    <xf numFmtId="170" fontId="1" fillId="36" borderId="16" xfId="0" applyNumberFormat="1" applyFont="1" applyFill="1" applyBorder="1" applyAlignment="1">
      <alignment/>
    </xf>
    <xf numFmtId="170" fontId="1" fillId="36" borderId="12" xfId="0" applyNumberFormat="1" applyFont="1" applyFill="1" applyBorder="1" applyAlignment="1">
      <alignment/>
    </xf>
    <xf numFmtId="170" fontId="1" fillId="36" borderId="18" xfId="0" applyNumberFormat="1" applyFont="1" applyFill="1" applyBorder="1" applyAlignment="1">
      <alignment/>
    </xf>
    <xf numFmtId="1" fontId="1" fillId="36" borderId="13" xfId="0" applyNumberFormat="1" applyFont="1" applyFill="1" applyBorder="1" applyAlignment="1">
      <alignment/>
    </xf>
    <xf numFmtId="1" fontId="1" fillId="36" borderId="15" xfId="0" applyNumberFormat="1" applyFont="1" applyFill="1" applyBorder="1" applyAlignment="1">
      <alignment/>
    </xf>
    <xf numFmtId="166" fontId="1" fillId="38" borderId="13" xfId="0" applyNumberFormat="1" applyFont="1" applyFill="1" applyBorder="1" applyAlignment="1">
      <alignment/>
    </xf>
    <xf numFmtId="166" fontId="1" fillId="38" borderId="15" xfId="0" applyNumberFormat="1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1" fillId="39" borderId="10" xfId="0" applyFont="1" applyFill="1" applyBorder="1" applyAlignment="1">
      <alignment/>
    </xf>
    <xf numFmtId="0" fontId="1" fillId="39" borderId="11" xfId="0" applyFont="1" applyFill="1" applyBorder="1" applyAlignment="1">
      <alignment/>
    </xf>
    <xf numFmtId="0" fontId="1" fillId="39" borderId="12" xfId="0" applyFont="1" applyFill="1" applyBorder="1" applyAlignment="1">
      <alignment/>
    </xf>
    <xf numFmtId="0" fontId="1" fillId="39" borderId="0" xfId="0" applyFont="1" applyFill="1" applyBorder="1" applyAlignment="1">
      <alignment/>
    </xf>
    <xf numFmtId="0" fontId="2" fillId="40" borderId="23" xfId="0" applyFont="1" applyFill="1" applyBorder="1" applyAlignment="1">
      <alignment horizontal="center"/>
    </xf>
    <xf numFmtId="0" fontId="1" fillId="36" borderId="19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36" borderId="20" xfId="0" applyFont="1" applyFill="1" applyBorder="1" applyAlignment="1">
      <alignment/>
    </xf>
    <xf numFmtId="0" fontId="1" fillId="36" borderId="17" xfId="0" applyFont="1" applyFill="1" applyBorder="1" applyAlignment="1">
      <alignment/>
    </xf>
    <xf numFmtId="0" fontId="2" fillId="40" borderId="10" xfId="0" applyFont="1" applyFill="1" applyBorder="1" applyAlignment="1">
      <alignment horizontal="center"/>
    </xf>
    <xf numFmtId="0" fontId="2" fillId="40" borderId="11" xfId="0" applyFont="1" applyFill="1" applyBorder="1" applyAlignment="1">
      <alignment horizontal="center"/>
    </xf>
    <xf numFmtId="0" fontId="2" fillId="40" borderId="12" xfId="0" applyFont="1" applyFill="1" applyBorder="1" applyAlignment="1">
      <alignment horizontal="center"/>
    </xf>
    <xf numFmtId="0" fontId="1" fillId="38" borderId="14" xfId="0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1" fillId="39" borderId="19" xfId="0" applyFont="1" applyFill="1" applyBorder="1" applyAlignment="1">
      <alignment/>
    </xf>
    <xf numFmtId="0" fontId="1" fillId="39" borderId="20" xfId="0" applyFont="1" applyFill="1" applyBorder="1" applyAlignment="1">
      <alignment/>
    </xf>
    <xf numFmtId="0" fontId="1" fillId="39" borderId="13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37" borderId="21" xfId="0" applyFont="1" applyFill="1" applyBorder="1" applyAlignment="1">
      <alignment/>
    </xf>
    <xf numFmtId="0" fontId="1" fillId="38" borderId="21" xfId="0" applyFont="1" applyFill="1" applyBorder="1" applyAlignment="1">
      <alignment/>
    </xf>
    <xf numFmtId="169" fontId="1" fillId="38" borderId="21" xfId="0" applyNumberFormat="1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0" borderId="0" xfId="0" applyFont="1" applyAlignment="1">
      <alignment/>
    </xf>
    <xf numFmtId="0" fontId="7" fillId="34" borderId="0" xfId="0" applyFont="1" applyFill="1" applyAlignment="1">
      <alignment/>
    </xf>
    <xf numFmtId="0" fontId="7" fillId="33" borderId="21" xfId="0" applyFont="1" applyFill="1" applyBorder="1" applyAlignment="1">
      <alignment horizontal="center"/>
    </xf>
    <xf numFmtId="0" fontId="7" fillId="41" borderId="21" xfId="0" applyFont="1" applyFill="1" applyBorder="1" applyAlignment="1">
      <alignment horizontal="center"/>
    </xf>
    <xf numFmtId="164" fontId="1" fillId="41" borderId="13" xfId="0" applyNumberFormat="1" applyFont="1" applyFill="1" applyBorder="1" applyAlignment="1">
      <alignment/>
    </xf>
    <xf numFmtId="164" fontId="1" fillId="41" borderId="14" xfId="0" applyNumberFormat="1" applyFont="1" applyFill="1" applyBorder="1" applyAlignment="1">
      <alignment/>
    </xf>
    <xf numFmtId="164" fontId="1" fillId="41" borderId="15" xfId="0" applyNumberFormat="1" applyFont="1" applyFill="1" applyBorder="1" applyAlignment="1">
      <alignment/>
    </xf>
    <xf numFmtId="0" fontId="1" fillId="35" borderId="13" xfId="0" applyFont="1" applyFill="1" applyBorder="1" applyAlignment="1">
      <alignment horizontal="center"/>
    </xf>
    <xf numFmtId="0" fontId="1" fillId="41" borderId="21" xfId="0" applyFont="1" applyFill="1" applyBorder="1" applyAlignment="1">
      <alignment horizontal="center"/>
    </xf>
    <xf numFmtId="164" fontId="1" fillId="41" borderId="14" xfId="0" applyNumberFormat="1" applyFont="1" applyFill="1" applyBorder="1" applyAlignment="1">
      <alignment/>
    </xf>
    <xf numFmtId="164" fontId="1" fillId="41" borderId="13" xfId="0" applyNumberFormat="1" applyFont="1" applyFill="1" applyBorder="1" applyAlignment="1">
      <alignment/>
    </xf>
    <xf numFmtId="164" fontId="1" fillId="41" borderId="15" xfId="0" applyNumberFormat="1" applyFont="1" applyFill="1" applyBorder="1" applyAlignment="1">
      <alignment/>
    </xf>
    <xf numFmtId="0" fontId="1" fillId="33" borderId="21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1" fillId="40" borderId="10" xfId="0" applyFont="1" applyFill="1" applyBorder="1" applyAlignment="1">
      <alignment/>
    </xf>
    <xf numFmtId="0" fontId="1" fillId="40" borderId="11" xfId="0" applyFont="1" applyFill="1" applyBorder="1" applyAlignment="1">
      <alignment/>
    </xf>
    <xf numFmtId="0" fontId="1" fillId="40" borderId="12" xfId="0" applyFont="1" applyFill="1" applyBorder="1" applyAlignment="1">
      <alignment/>
    </xf>
    <xf numFmtId="0" fontId="1" fillId="40" borderId="21" xfId="0" applyFont="1" applyFill="1" applyBorder="1" applyAlignment="1">
      <alignment/>
    </xf>
    <xf numFmtId="0" fontId="1" fillId="40" borderId="10" xfId="0" applyFont="1" applyFill="1" applyBorder="1" applyAlignment="1">
      <alignment horizontal="center"/>
    </xf>
    <xf numFmtId="0" fontId="1" fillId="40" borderId="11" xfId="0" applyFont="1" applyFill="1" applyBorder="1" applyAlignment="1">
      <alignment horizontal="center"/>
    </xf>
    <xf numFmtId="0" fontId="1" fillId="40" borderId="12" xfId="0" applyFont="1" applyFill="1" applyBorder="1" applyAlignment="1">
      <alignment horizontal="center"/>
    </xf>
    <xf numFmtId="0" fontId="1" fillId="40" borderId="21" xfId="0" applyFont="1" applyFill="1" applyBorder="1" applyAlignment="1">
      <alignment horizontal="center"/>
    </xf>
    <xf numFmtId="0" fontId="7" fillId="40" borderId="0" xfId="0" applyFont="1" applyFill="1" applyAlignment="1">
      <alignment horizontal="center"/>
    </xf>
    <xf numFmtId="0" fontId="1" fillId="40" borderId="10" xfId="0" applyFont="1" applyFill="1" applyBorder="1" applyAlignment="1">
      <alignment/>
    </xf>
    <xf numFmtId="0" fontId="1" fillId="40" borderId="11" xfId="0" applyFont="1" applyFill="1" applyBorder="1" applyAlignment="1">
      <alignment/>
    </xf>
    <xf numFmtId="0" fontId="1" fillId="40" borderId="12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7" fillId="40" borderId="21" xfId="0" applyFont="1" applyFill="1" applyBorder="1" applyAlignment="1">
      <alignment/>
    </xf>
    <xf numFmtId="0" fontId="1" fillId="40" borderId="10" xfId="0" applyFont="1" applyFill="1" applyBorder="1" applyAlignment="1">
      <alignment/>
    </xf>
    <xf numFmtId="0" fontId="1" fillId="40" borderId="11" xfId="0" applyFont="1" applyFill="1" applyBorder="1" applyAlignment="1">
      <alignment/>
    </xf>
    <xf numFmtId="0" fontId="1" fillId="40" borderId="12" xfId="0" applyFont="1" applyFill="1" applyBorder="1" applyAlignment="1">
      <alignment/>
    </xf>
    <xf numFmtId="0" fontId="7" fillId="40" borderId="21" xfId="0" applyFont="1" applyFill="1" applyBorder="1" applyAlignment="1">
      <alignment horizontal="center"/>
    </xf>
    <xf numFmtId="0" fontId="1" fillId="40" borderId="10" xfId="0" applyFont="1" applyFill="1" applyBorder="1" applyAlignment="1">
      <alignment horizontal="center"/>
    </xf>
    <xf numFmtId="0" fontId="1" fillId="40" borderId="11" xfId="0" applyFont="1" applyFill="1" applyBorder="1" applyAlignment="1">
      <alignment horizontal="center"/>
    </xf>
    <xf numFmtId="0" fontId="1" fillId="40" borderId="12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7" fillId="33" borderId="13" xfId="0" applyFont="1" applyFill="1" applyBorder="1" applyAlignment="1">
      <alignment horizontal="center"/>
    </xf>
    <xf numFmtId="0" fontId="7" fillId="41" borderId="13" xfId="0" applyFont="1" applyFill="1" applyBorder="1" applyAlignment="1">
      <alignment horizontal="center"/>
    </xf>
    <xf numFmtId="164" fontId="1" fillId="41" borderId="21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40" borderId="24" xfId="0" applyFont="1" applyFill="1" applyBorder="1" applyAlignment="1">
      <alignment/>
    </xf>
    <xf numFmtId="0" fontId="1" fillId="40" borderId="22" xfId="0" applyFont="1" applyFill="1" applyBorder="1" applyAlignment="1">
      <alignment horizontal="center"/>
    </xf>
    <xf numFmtId="0" fontId="7" fillId="38" borderId="21" xfId="0" applyFont="1" applyFill="1" applyBorder="1" applyAlignment="1">
      <alignment horizontal="center"/>
    </xf>
    <xf numFmtId="0" fontId="0" fillId="36" borderId="14" xfId="0" applyFill="1" applyBorder="1" applyAlignment="1">
      <alignment/>
    </xf>
    <xf numFmtId="164" fontId="0" fillId="36" borderId="14" xfId="0" applyNumberFormat="1" applyFill="1" applyBorder="1" applyAlignment="1">
      <alignment/>
    </xf>
    <xf numFmtId="164" fontId="0" fillId="36" borderId="13" xfId="0" applyNumberFormat="1" applyFill="1" applyBorder="1" applyAlignment="1">
      <alignment/>
    </xf>
    <xf numFmtId="164" fontId="0" fillId="36" borderId="15" xfId="0" applyNumberFormat="1" applyFill="1" applyBorder="1" applyAlignment="1">
      <alignment/>
    </xf>
    <xf numFmtId="164" fontId="0" fillId="36" borderId="21" xfId="0" applyNumberFormat="1" applyFill="1" applyBorder="1" applyAlignment="1">
      <alignment/>
    </xf>
    <xf numFmtId="164" fontId="1" fillId="36" borderId="13" xfId="0" applyNumberFormat="1" applyFont="1" applyFill="1" applyBorder="1" applyAlignment="1">
      <alignment/>
    </xf>
    <xf numFmtId="164" fontId="1" fillId="36" borderId="14" xfId="0" applyNumberFormat="1" applyFont="1" applyFill="1" applyBorder="1" applyAlignment="1">
      <alignment/>
    </xf>
    <xf numFmtId="164" fontId="1" fillId="36" borderId="15" xfId="0" applyNumberFormat="1" applyFont="1" applyFill="1" applyBorder="1" applyAlignment="1">
      <alignment/>
    </xf>
    <xf numFmtId="164" fontId="1" fillId="36" borderId="21" xfId="0" applyNumberFormat="1" applyFont="1" applyFill="1" applyBorder="1" applyAlignment="1">
      <alignment/>
    </xf>
    <xf numFmtId="0" fontId="1" fillId="36" borderId="14" xfId="0" applyFont="1" applyFill="1" applyBorder="1" applyAlignment="1">
      <alignment/>
    </xf>
    <xf numFmtId="166" fontId="1" fillId="38" borderId="21" xfId="0" applyNumberFormat="1" applyFont="1" applyFill="1" applyBorder="1" applyAlignment="1">
      <alignment/>
    </xf>
    <xf numFmtId="164" fontId="1" fillId="38" borderId="21" xfId="0" applyNumberFormat="1" applyFont="1" applyFill="1" applyBorder="1" applyAlignment="1">
      <alignment/>
    </xf>
    <xf numFmtId="0" fontId="7" fillId="38" borderId="24" xfId="0" applyFont="1" applyFill="1" applyBorder="1" applyAlignment="1">
      <alignment horizontal="center"/>
    </xf>
    <xf numFmtId="0" fontId="1" fillId="36" borderId="13" xfId="0" applyFont="1" applyFill="1" applyBorder="1" applyAlignment="1">
      <alignment/>
    </xf>
    <xf numFmtId="0" fontId="1" fillId="36" borderId="15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36" borderId="17" xfId="0" applyFont="1" applyFill="1" applyBorder="1" applyAlignment="1">
      <alignment/>
    </xf>
    <xf numFmtId="0" fontId="1" fillId="36" borderId="18" xfId="0" applyFont="1" applyFill="1" applyBorder="1" applyAlignment="1">
      <alignment/>
    </xf>
    <xf numFmtId="174" fontId="1" fillId="38" borderId="21" xfId="0" applyNumberFormat="1" applyFont="1" applyFill="1" applyBorder="1" applyAlignment="1">
      <alignment/>
    </xf>
    <xf numFmtId="164" fontId="1" fillId="41" borderId="11" xfId="0" applyNumberFormat="1" applyFont="1" applyFill="1" applyBorder="1" applyAlignment="1">
      <alignment/>
    </xf>
    <xf numFmtId="0" fontId="1" fillId="36" borderId="16" xfId="0" applyFont="1" applyFill="1" applyBorder="1" applyAlignment="1">
      <alignment/>
    </xf>
    <xf numFmtId="0" fontId="7" fillId="38" borderId="13" xfId="0" applyFont="1" applyFill="1" applyBorder="1" applyAlignment="1">
      <alignment horizontal="center"/>
    </xf>
    <xf numFmtId="168" fontId="1" fillId="38" borderId="21" xfId="0" applyNumberFormat="1" applyFont="1" applyFill="1" applyBorder="1" applyAlignment="1">
      <alignment/>
    </xf>
    <xf numFmtId="2" fontId="1" fillId="36" borderId="16" xfId="0" applyNumberFormat="1" applyFont="1" applyFill="1" applyBorder="1" applyAlignment="1">
      <alignment/>
    </xf>
    <xf numFmtId="2" fontId="1" fillId="36" borderId="17" xfId="0" applyNumberFormat="1" applyFont="1" applyFill="1" applyBorder="1" applyAlignment="1">
      <alignment/>
    </xf>
    <xf numFmtId="2" fontId="1" fillId="36" borderId="18" xfId="0" applyNumberFormat="1" applyFont="1" applyFill="1" applyBorder="1" applyAlignment="1">
      <alignment/>
    </xf>
    <xf numFmtId="2" fontId="1" fillId="36" borderId="11" xfId="0" applyNumberFormat="1" applyFont="1" applyFill="1" applyBorder="1" applyAlignment="1">
      <alignment/>
    </xf>
    <xf numFmtId="2" fontId="1" fillId="36" borderId="13" xfId="0" applyNumberFormat="1" applyFont="1" applyFill="1" applyBorder="1" applyAlignment="1">
      <alignment/>
    </xf>
    <xf numFmtId="2" fontId="1" fillId="36" borderId="14" xfId="0" applyNumberFormat="1" applyFont="1" applyFill="1" applyBorder="1" applyAlignment="1">
      <alignment/>
    </xf>
    <xf numFmtId="2" fontId="1" fillId="36" borderId="15" xfId="0" applyNumberFormat="1" applyFont="1" applyFill="1" applyBorder="1" applyAlignment="1">
      <alignment/>
    </xf>
    <xf numFmtId="168" fontId="1" fillId="39" borderId="13" xfId="0" applyNumberFormat="1" applyFont="1" applyFill="1" applyBorder="1" applyAlignment="1">
      <alignment/>
    </xf>
    <xf numFmtId="168" fontId="1" fillId="39" borderId="14" xfId="0" applyNumberFormat="1" applyFont="1" applyFill="1" applyBorder="1" applyAlignment="1">
      <alignment/>
    </xf>
    <xf numFmtId="168" fontId="1" fillId="39" borderId="15" xfId="0" applyNumberFormat="1" applyFont="1" applyFill="1" applyBorder="1" applyAlignment="1">
      <alignment/>
    </xf>
    <xf numFmtId="168" fontId="1" fillId="42" borderId="10" xfId="0" applyNumberFormat="1" applyFont="1" applyFill="1" applyBorder="1" applyAlignment="1">
      <alignment/>
    </xf>
    <xf numFmtId="168" fontId="1" fillId="42" borderId="13" xfId="0" applyNumberFormat="1" applyFont="1" applyFill="1" applyBorder="1" applyAlignment="1">
      <alignment/>
    </xf>
    <xf numFmtId="168" fontId="1" fillId="42" borderId="11" xfId="0" applyNumberFormat="1" applyFont="1" applyFill="1" applyBorder="1" applyAlignment="1">
      <alignment/>
    </xf>
    <xf numFmtId="168" fontId="1" fillId="42" borderId="14" xfId="0" applyNumberFormat="1" applyFont="1" applyFill="1" applyBorder="1" applyAlignment="1">
      <alignment/>
    </xf>
    <xf numFmtId="168" fontId="1" fillId="42" borderId="12" xfId="0" applyNumberFormat="1" applyFont="1" applyFill="1" applyBorder="1" applyAlignment="1">
      <alignment/>
    </xf>
    <xf numFmtId="168" fontId="1" fillId="42" borderId="15" xfId="0" applyNumberFormat="1" applyFont="1" applyFill="1" applyBorder="1" applyAlignment="1">
      <alignment/>
    </xf>
    <xf numFmtId="0" fontId="1" fillId="40" borderId="21" xfId="0" applyFont="1" applyFill="1" applyBorder="1" applyAlignment="1">
      <alignment horizontal="center"/>
    </xf>
    <xf numFmtId="0" fontId="2" fillId="40" borderId="21" xfId="0" applyFont="1" applyFill="1" applyBorder="1" applyAlignment="1">
      <alignment horizontal="center"/>
    </xf>
    <xf numFmtId="0" fontId="2" fillId="40" borderId="22" xfId="0" applyFont="1" applyFill="1" applyBorder="1" applyAlignment="1">
      <alignment horizontal="center"/>
    </xf>
    <xf numFmtId="0" fontId="7" fillId="38" borderId="17" xfId="0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165" fontId="1" fillId="38" borderId="21" xfId="0" applyNumberFormat="1" applyFont="1" applyFill="1" applyBorder="1" applyAlignment="1">
      <alignment/>
    </xf>
    <xf numFmtId="165" fontId="1" fillId="36" borderId="13" xfId="0" applyNumberFormat="1" applyFont="1" applyFill="1" applyBorder="1" applyAlignment="1">
      <alignment/>
    </xf>
    <xf numFmtId="165" fontId="1" fillId="36" borderId="14" xfId="0" applyNumberFormat="1" applyFont="1" applyFill="1" applyBorder="1" applyAlignment="1">
      <alignment/>
    </xf>
    <xf numFmtId="165" fontId="1" fillId="36" borderId="15" xfId="0" applyNumberFormat="1" applyFont="1" applyFill="1" applyBorder="1" applyAlignment="1">
      <alignment/>
    </xf>
    <xf numFmtId="0" fontId="1" fillId="38" borderId="21" xfId="0" applyFont="1" applyFill="1" applyBorder="1" applyAlignment="1">
      <alignment horizontal="center"/>
    </xf>
    <xf numFmtId="0" fontId="8" fillId="36" borderId="24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9" fillId="43" borderId="23" xfId="0" applyFont="1" applyFill="1" applyBorder="1" applyAlignment="1">
      <alignment/>
    </xf>
    <xf numFmtId="171" fontId="9" fillId="43" borderId="24" xfId="0" applyNumberFormat="1" applyFont="1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8" xfId="0" applyFill="1" applyBorder="1" applyAlignment="1">
      <alignment/>
    </xf>
    <xf numFmtId="164" fontId="0" fillId="36" borderId="16" xfId="0" applyNumberFormat="1" applyFill="1" applyBorder="1" applyAlignment="1">
      <alignment/>
    </xf>
    <xf numFmtId="164" fontId="0" fillId="36" borderId="17" xfId="0" applyNumberFormat="1" applyFill="1" applyBorder="1" applyAlignment="1">
      <alignment/>
    </xf>
    <xf numFmtId="164" fontId="0" fillId="36" borderId="18" xfId="0" applyNumberFormat="1" applyFill="1" applyBorder="1" applyAlignment="1">
      <alignment/>
    </xf>
    <xf numFmtId="0" fontId="1" fillId="36" borderId="21" xfId="0" applyFont="1" applyFill="1" applyBorder="1" applyAlignment="1">
      <alignment/>
    </xf>
    <xf numFmtId="0" fontId="1" fillId="36" borderId="24" xfId="0" applyFont="1" applyFill="1" applyBorder="1" applyAlignment="1">
      <alignment/>
    </xf>
    <xf numFmtId="165" fontId="1" fillId="36" borderId="21" xfId="0" applyNumberFormat="1" applyFont="1" applyFill="1" applyBorder="1" applyAlignment="1">
      <alignment/>
    </xf>
    <xf numFmtId="164" fontId="1" fillId="36" borderId="16" xfId="0" applyNumberFormat="1" applyFont="1" applyFill="1" applyBorder="1" applyAlignment="1">
      <alignment/>
    </xf>
    <xf numFmtId="164" fontId="1" fillId="36" borderId="17" xfId="0" applyNumberFormat="1" applyFont="1" applyFill="1" applyBorder="1" applyAlignment="1">
      <alignment/>
    </xf>
    <xf numFmtId="164" fontId="1" fillId="36" borderId="18" xfId="0" applyNumberFormat="1" applyFont="1" applyFill="1" applyBorder="1" applyAlignment="1">
      <alignment/>
    </xf>
    <xf numFmtId="164" fontId="1" fillId="36" borderId="11" xfId="0" applyNumberFormat="1" applyFont="1" applyFill="1" applyBorder="1" applyAlignment="1">
      <alignment/>
    </xf>
    <xf numFmtId="0" fontId="2" fillId="4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38" borderId="10" xfId="0" applyFont="1" applyFill="1" applyBorder="1" applyAlignment="1">
      <alignment/>
    </xf>
    <xf numFmtId="0" fontId="1" fillId="38" borderId="11" xfId="0" applyFont="1" applyFill="1" applyBorder="1" applyAlignment="1">
      <alignment/>
    </xf>
    <xf numFmtId="0" fontId="1" fillId="38" borderId="12" xfId="0" applyFont="1" applyFill="1" applyBorder="1" applyAlignment="1">
      <alignment/>
    </xf>
    <xf numFmtId="165" fontId="1" fillId="36" borderId="10" xfId="0" applyNumberFormat="1" applyFont="1" applyFill="1" applyBorder="1" applyAlignment="1">
      <alignment/>
    </xf>
    <xf numFmtId="165" fontId="1" fillId="36" borderId="11" xfId="0" applyNumberFormat="1" applyFont="1" applyFill="1" applyBorder="1" applyAlignment="1">
      <alignment/>
    </xf>
    <xf numFmtId="165" fontId="1" fillId="36" borderId="12" xfId="0" applyNumberFormat="1" applyFont="1" applyFill="1" applyBorder="1" applyAlignment="1">
      <alignment/>
    </xf>
    <xf numFmtId="171" fontId="1" fillId="36" borderId="13" xfId="0" applyNumberFormat="1" applyFont="1" applyFill="1" applyBorder="1" applyAlignment="1">
      <alignment/>
    </xf>
    <xf numFmtId="171" fontId="1" fillId="36" borderId="14" xfId="0" applyNumberFormat="1" applyFont="1" applyFill="1" applyBorder="1" applyAlignment="1">
      <alignment/>
    </xf>
    <xf numFmtId="171" fontId="1" fillId="36" borderId="15" xfId="0" applyNumberFormat="1" applyFont="1" applyFill="1" applyBorder="1" applyAlignment="1">
      <alignment/>
    </xf>
    <xf numFmtId="171" fontId="1" fillId="36" borderId="21" xfId="0" applyNumberFormat="1" applyFont="1" applyFill="1" applyBorder="1" applyAlignment="1">
      <alignment/>
    </xf>
    <xf numFmtId="165" fontId="1" fillId="36" borderId="16" xfId="0" applyNumberFormat="1" applyFont="1" applyFill="1" applyBorder="1" applyAlignment="1">
      <alignment/>
    </xf>
    <xf numFmtId="165" fontId="1" fillId="36" borderId="17" xfId="0" applyNumberFormat="1" applyFont="1" applyFill="1" applyBorder="1" applyAlignment="1">
      <alignment/>
    </xf>
    <xf numFmtId="165" fontId="1" fillId="36" borderId="18" xfId="0" applyNumberFormat="1" applyFont="1" applyFill="1" applyBorder="1" applyAlignment="1">
      <alignment/>
    </xf>
    <xf numFmtId="165" fontId="1" fillId="38" borderId="21" xfId="0" applyNumberFormat="1" applyFont="1" applyFill="1" applyBorder="1" applyAlignment="1">
      <alignment/>
    </xf>
    <xf numFmtId="171" fontId="9" fillId="43" borderId="24" xfId="0" applyNumberFormat="1" applyFont="1" applyFill="1" applyBorder="1" applyAlignment="1">
      <alignment/>
    </xf>
    <xf numFmtId="0" fontId="1" fillId="40" borderId="23" xfId="0" applyFont="1" applyFill="1" applyBorder="1" applyAlignment="1">
      <alignment horizontal="center"/>
    </xf>
    <xf numFmtId="0" fontId="1" fillId="40" borderId="21" xfId="0" applyFont="1" applyFill="1" applyBorder="1" applyAlignment="1">
      <alignment/>
    </xf>
    <xf numFmtId="0" fontId="2" fillId="40" borderId="22" xfId="0" applyFont="1" applyFill="1" applyBorder="1" applyAlignment="1">
      <alignment horizontal="center"/>
    </xf>
    <xf numFmtId="2" fontId="1" fillId="35" borderId="13" xfId="0" applyNumberFormat="1" applyFont="1" applyFill="1" applyBorder="1" applyAlignment="1">
      <alignment/>
    </xf>
    <xf numFmtId="2" fontId="1" fillId="35" borderId="14" xfId="0" applyNumberFormat="1" applyFont="1" applyFill="1" applyBorder="1" applyAlignment="1">
      <alignment/>
    </xf>
    <xf numFmtId="2" fontId="1" fillId="35" borderId="15" xfId="0" applyNumberFormat="1" applyFont="1" applyFill="1" applyBorder="1" applyAlignment="1">
      <alignment/>
    </xf>
    <xf numFmtId="2" fontId="1" fillId="44" borderId="13" xfId="0" applyNumberFormat="1" applyFont="1" applyFill="1" applyBorder="1" applyAlignment="1">
      <alignment/>
    </xf>
    <xf numFmtId="2" fontId="1" fillId="44" borderId="14" xfId="0" applyNumberFormat="1" applyFont="1" applyFill="1" applyBorder="1" applyAlignment="1">
      <alignment/>
    </xf>
    <xf numFmtId="2" fontId="1" fillId="44" borderId="15" xfId="0" applyNumberFormat="1" applyFont="1" applyFill="1" applyBorder="1" applyAlignment="1">
      <alignment/>
    </xf>
    <xf numFmtId="2" fontId="1" fillId="45" borderId="16" xfId="0" applyNumberFormat="1" applyFont="1" applyFill="1" applyBorder="1" applyAlignment="1">
      <alignment/>
    </xf>
    <xf numFmtId="2" fontId="1" fillId="46" borderId="0" xfId="0" applyNumberFormat="1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2" fontId="2" fillId="43" borderId="13" xfId="0" applyNumberFormat="1" applyFont="1" applyFill="1" applyBorder="1" applyAlignment="1">
      <alignment/>
    </xf>
    <xf numFmtId="2" fontId="1" fillId="45" borderId="17" xfId="0" applyNumberFormat="1" applyFont="1" applyFill="1" applyBorder="1" applyAlignment="1">
      <alignment/>
    </xf>
    <xf numFmtId="2" fontId="2" fillId="43" borderId="14" xfId="0" applyNumberFormat="1" applyFont="1" applyFill="1" applyBorder="1" applyAlignment="1">
      <alignment/>
    </xf>
    <xf numFmtId="2" fontId="9" fillId="43" borderId="14" xfId="0" applyNumberFormat="1" applyFont="1" applyFill="1" applyBorder="1" applyAlignment="1">
      <alignment/>
    </xf>
    <xf numFmtId="2" fontId="1" fillId="45" borderId="18" xfId="0" applyNumberFormat="1" applyFont="1" applyFill="1" applyBorder="1" applyAlignment="1">
      <alignment/>
    </xf>
    <xf numFmtId="2" fontId="1" fillId="46" borderId="20" xfId="0" applyNumberFormat="1" applyFont="1" applyFill="1" applyBorder="1" applyAlignment="1">
      <alignment/>
    </xf>
    <xf numFmtId="2" fontId="2" fillId="33" borderId="12" xfId="0" applyNumberFormat="1" applyFont="1" applyFill="1" applyBorder="1" applyAlignment="1">
      <alignment/>
    </xf>
    <xf numFmtId="2" fontId="2" fillId="43" borderId="15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18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                      vyrovnání mocninným trendem</a:t>
            </a:r>
          </a:p>
        </c:rich>
      </c:tx>
      <c:layout>
        <c:manualLayout>
          <c:xMode val="factor"/>
          <c:yMode val="factor"/>
          <c:x val="-0.03575"/>
          <c:y val="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335"/>
          <c:w val="0.7925"/>
          <c:h val="0.784"/>
        </c:manualLayout>
      </c:layout>
      <c:lineChart>
        <c:grouping val="standard"/>
        <c:varyColors val="0"/>
        <c:ser>
          <c:idx val="0"/>
          <c:order val="0"/>
          <c:tx>
            <c:strRef>
              <c:f>Mocnintrend!$I$1</c:f>
              <c:strCache>
                <c:ptCount val="1"/>
                <c:pt idx="0">
                  <c:v>skutečnost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Mocnintrend!$I$2:$I$58</c:f>
              <c:numCache/>
            </c:numRef>
          </c:val>
          <c:smooth val="0"/>
        </c:ser>
        <c:ser>
          <c:idx val="1"/>
          <c:order val="1"/>
          <c:tx>
            <c:strRef>
              <c:f>Mocnintrend!$J$1</c:f>
              <c:strCache>
                <c:ptCount val="1"/>
                <c:pt idx="0">
                  <c:v>vyrovnání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Mocnintrend!$J$2:$J$58</c:f>
              <c:numCache/>
            </c:numRef>
          </c:val>
          <c:smooth val="0"/>
        </c:ser>
        <c:marker val="1"/>
        <c:axId val="55767230"/>
        <c:axId val="32143023"/>
      </c:lineChart>
      <c:catAx>
        <c:axId val="55767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čtvrtletí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43023"/>
        <c:crosses val="autoZero"/>
        <c:auto val="1"/>
        <c:lblOffset val="100"/>
        <c:tickLblSkip val="3"/>
        <c:noMultiLvlLbl val="0"/>
      </c:catAx>
      <c:valAx>
        <c:axId val="321430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672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4515"/>
          <c:w val="0.16725"/>
          <c:h val="0.1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vyrovnání Gompertzovým trendem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335"/>
          <c:w val="0.7915"/>
          <c:h val="0.784"/>
        </c:manualLayout>
      </c:layout>
      <c:lineChart>
        <c:grouping val="standard"/>
        <c:varyColors val="0"/>
        <c:ser>
          <c:idx val="0"/>
          <c:order val="0"/>
          <c:tx>
            <c:strRef>
              <c:f>PredGomp!$C$1</c:f>
              <c:strCache>
                <c:ptCount val="1"/>
                <c:pt idx="0">
                  <c:v>skutečnost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PredGomp!$C$2:$C$58</c:f>
              <c:numCache/>
            </c:numRef>
          </c:val>
          <c:smooth val="0"/>
        </c:ser>
        <c:ser>
          <c:idx val="1"/>
          <c:order val="1"/>
          <c:tx>
            <c:strRef>
              <c:f>PredGomp!$D$1</c:f>
              <c:strCache>
                <c:ptCount val="1"/>
                <c:pt idx="0">
                  <c:v>vyrovnání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PredGomp!$D$2:$D$58</c:f>
              <c:numCache/>
            </c:numRef>
          </c:val>
          <c:smooth val="0"/>
        </c:ser>
        <c:marker val="1"/>
        <c:axId val="66697208"/>
        <c:axId val="63403961"/>
      </c:lineChart>
      <c:catAx>
        <c:axId val="666972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čtvrtletí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03961"/>
        <c:crosses val="autoZero"/>
        <c:auto val="1"/>
        <c:lblOffset val="100"/>
        <c:tickLblSkip val="3"/>
        <c:noMultiLvlLbl val="0"/>
      </c:catAx>
      <c:valAx>
        <c:axId val="634039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972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"/>
          <c:y val="0.449"/>
          <c:w val="0.1675"/>
          <c:h val="0.1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vyrovnání bikvadratickým trendem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335"/>
          <c:w val="0.78925"/>
          <c:h val="0.84225"/>
        </c:manualLayout>
      </c:layout>
      <c:lineChart>
        <c:grouping val="standard"/>
        <c:varyColors val="0"/>
        <c:ser>
          <c:idx val="0"/>
          <c:order val="0"/>
          <c:tx>
            <c:strRef>
              <c:f>Bikvadratický!$J$1</c:f>
              <c:strCache>
                <c:ptCount val="1"/>
                <c:pt idx="0">
                  <c:v>skutečnost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Bikvadratický!$J$2:$J$58</c:f>
              <c:numCache/>
            </c:numRef>
          </c:val>
          <c:smooth val="0"/>
        </c:ser>
        <c:ser>
          <c:idx val="1"/>
          <c:order val="1"/>
          <c:tx>
            <c:strRef>
              <c:f>Bikvadratický!$K$1</c:f>
              <c:strCache>
                <c:ptCount val="1"/>
                <c:pt idx="0">
                  <c:v>vyrovnání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Bikvadratický!$K$2:$K$58</c:f>
              <c:numCache/>
            </c:numRef>
          </c:val>
          <c:smooth val="0"/>
        </c:ser>
        <c:marker val="1"/>
        <c:axId val="20851752"/>
        <c:axId val="53448041"/>
      </c:lineChart>
      <c:catAx>
        <c:axId val="20851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48041"/>
        <c:crosses val="autoZero"/>
        <c:auto val="1"/>
        <c:lblOffset val="100"/>
        <c:tickLblSkip val="3"/>
        <c:noMultiLvlLbl val="0"/>
      </c:catAx>
      <c:valAx>
        <c:axId val="534480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517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47825"/>
          <c:w val="0.16925"/>
          <c:h val="0.1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vyrovnání kubickým trendem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335"/>
          <c:w val="0.78925"/>
          <c:h val="0.84225"/>
        </c:manualLayout>
      </c:layout>
      <c:lineChart>
        <c:grouping val="standard"/>
        <c:varyColors val="0"/>
        <c:ser>
          <c:idx val="0"/>
          <c:order val="0"/>
          <c:tx>
            <c:strRef>
              <c:f>Kubictrend!$J$1</c:f>
              <c:strCache>
                <c:ptCount val="1"/>
                <c:pt idx="0">
                  <c:v>skutečnost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Kubictrend!$J$2:$J$58</c:f>
              <c:numCache/>
            </c:numRef>
          </c:val>
          <c:smooth val="0"/>
        </c:ser>
        <c:ser>
          <c:idx val="1"/>
          <c:order val="1"/>
          <c:tx>
            <c:strRef>
              <c:f>Kubictrend!$K$1</c:f>
              <c:strCache>
                <c:ptCount val="1"/>
                <c:pt idx="0">
                  <c:v>vyrovnání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Kubictrend!$K$2:$K$58</c:f>
              <c:numCache/>
            </c:numRef>
          </c:val>
          <c:smooth val="0"/>
        </c:ser>
        <c:marker val="1"/>
        <c:axId val="11270322"/>
        <c:axId val="34324035"/>
      </c:lineChart>
      <c:catAx>
        <c:axId val="11270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24035"/>
        <c:crosses val="autoZero"/>
        <c:auto val="1"/>
        <c:lblOffset val="100"/>
        <c:tickLblSkip val="3"/>
        <c:noMultiLvlLbl val="0"/>
      </c:catAx>
      <c:valAx>
        <c:axId val="343240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703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47825"/>
          <c:w val="0.16925"/>
          <c:h val="0.1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vyrovnání kvadratickým trendem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335"/>
          <c:w val="0.78925"/>
          <c:h val="0.784"/>
        </c:manualLayout>
      </c:layout>
      <c:lineChart>
        <c:grouping val="standard"/>
        <c:varyColors val="0"/>
        <c:ser>
          <c:idx val="0"/>
          <c:order val="0"/>
          <c:tx>
            <c:strRef>
              <c:f>Kvadrtrend!$J$1</c:f>
              <c:strCache>
                <c:ptCount val="1"/>
                <c:pt idx="0">
                  <c:v>skutečnost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Kvadrtrend!$J$2:$J$58</c:f>
              <c:numCache/>
            </c:numRef>
          </c:val>
          <c:smooth val="0"/>
        </c:ser>
        <c:ser>
          <c:idx val="1"/>
          <c:order val="1"/>
          <c:tx>
            <c:strRef>
              <c:f>Kvadrtrend!$K$1</c:f>
              <c:strCache>
                <c:ptCount val="1"/>
                <c:pt idx="0">
                  <c:v>vyrovnání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Kvadrtrend!$K$2:$K$58</c:f>
              <c:numCache/>
            </c:numRef>
          </c:val>
          <c:smooth val="0"/>
        </c:ser>
        <c:marker val="1"/>
        <c:axId val="40480860"/>
        <c:axId val="28783421"/>
      </c:lineChart>
      <c:catAx>
        <c:axId val="40480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čtvrtletí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83421"/>
        <c:crosses val="autoZero"/>
        <c:auto val="1"/>
        <c:lblOffset val="100"/>
        <c:tickLblSkip val="3"/>
        <c:noMultiLvlLbl val="0"/>
      </c:catAx>
      <c:valAx>
        <c:axId val="287834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808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449"/>
          <c:w val="0.16925"/>
          <c:h val="0.1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vyrovnání lineárním trendem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335"/>
          <c:w val="0.78925"/>
          <c:h val="0.784"/>
        </c:manualLayout>
      </c:layout>
      <c:lineChart>
        <c:grouping val="standard"/>
        <c:varyColors val="0"/>
        <c:ser>
          <c:idx val="0"/>
          <c:order val="0"/>
          <c:tx>
            <c:strRef>
              <c:f>Lintrend!$G$1</c:f>
              <c:strCache>
                <c:ptCount val="1"/>
                <c:pt idx="0">
                  <c:v>skutečnost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Lintrend!$G$2:$G$58</c:f>
              <c:numCache/>
            </c:numRef>
          </c:val>
          <c:smooth val="0"/>
        </c:ser>
        <c:ser>
          <c:idx val="1"/>
          <c:order val="1"/>
          <c:tx>
            <c:strRef>
              <c:f>Lintrend!$H$1</c:f>
              <c:strCache>
                <c:ptCount val="1"/>
                <c:pt idx="0">
                  <c:v>vyrovnání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Lintrend!$H$2:$H$58</c:f>
              <c:numCache/>
            </c:numRef>
          </c:val>
          <c:smooth val="0"/>
        </c:ser>
        <c:marker val="1"/>
        <c:axId val="57724198"/>
        <c:axId val="49755735"/>
      </c:lineChart>
      <c:catAx>
        <c:axId val="57724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čtvrtletí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755735"/>
        <c:crosses val="autoZero"/>
        <c:auto val="1"/>
        <c:lblOffset val="100"/>
        <c:tickLblSkip val="3"/>
        <c:noMultiLvlLbl val="0"/>
      </c:catAx>
      <c:valAx>
        <c:axId val="497557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241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449"/>
          <c:w val="0.16925"/>
          <c:h val="0.1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vyrovnání logaritmickým trendem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335"/>
          <c:w val="0.78925"/>
          <c:h val="0.784"/>
        </c:manualLayout>
      </c:layout>
      <c:lineChart>
        <c:grouping val="standard"/>
        <c:varyColors val="0"/>
        <c:ser>
          <c:idx val="0"/>
          <c:order val="0"/>
          <c:tx>
            <c:strRef>
              <c:f>Logtrend!$H$1</c:f>
              <c:strCache>
                <c:ptCount val="1"/>
                <c:pt idx="0">
                  <c:v>skutečnost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Logtrend!$H$2:$H$58</c:f>
              <c:numCache/>
            </c:numRef>
          </c:val>
          <c:smooth val="0"/>
        </c:ser>
        <c:ser>
          <c:idx val="1"/>
          <c:order val="1"/>
          <c:tx>
            <c:strRef>
              <c:f>Logtrend!$I$1</c:f>
              <c:strCache>
                <c:ptCount val="1"/>
                <c:pt idx="0">
                  <c:v>vyrovnání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Logtrend!$I$2:$I$58</c:f>
              <c:numCache/>
            </c:numRef>
          </c:val>
          <c:smooth val="0"/>
        </c:ser>
        <c:marker val="1"/>
        <c:axId val="45148432"/>
        <c:axId val="3682705"/>
      </c:lineChart>
      <c:catAx>
        <c:axId val="45148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čtvrtletí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2705"/>
        <c:crosses val="autoZero"/>
        <c:auto val="1"/>
        <c:lblOffset val="100"/>
        <c:tickLblSkip val="3"/>
        <c:noMultiLvlLbl val="0"/>
      </c:catAx>
      <c:valAx>
        <c:axId val="36827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484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449"/>
          <c:w val="0.16925"/>
          <c:h val="0.1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vyrovnání exponenciálním trendem 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335"/>
          <c:w val="0.78925"/>
          <c:h val="0.784"/>
        </c:manualLayout>
      </c:layout>
      <c:lineChart>
        <c:grouping val="standard"/>
        <c:varyColors val="0"/>
        <c:ser>
          <c:idx val="0"/>
          <c:order val="0"/>
          <c:tx>
            <c:strRef>
              <c:f>Exptrend!$G$1</c:f>
              <c:strCache>
                <c:ptCount val="1"/>
                <c:pt idx="0">
                  <c:v>skutečnost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Exptrend!$G$2:$G$58</c:f>
              <c:numCache/>
            </c:numRef>
          </c:val>
          <c:smooth val="0"/>
        </c:ser>
        <c:ser>
          <c:idx val="1"/>
          <c:order val="1"/>
          <c:tx>
            <c:strRef>
              <c:f>Exptrend!$H$1</c:f>
              <c:strCache>
                <c:ptCount val="1"/>
                <c:pt idx="0">
                  <c:v>vyrovnání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Exptrend!$H$2:$H$58</c:f>
              <c:numCache/>
            </c:numRef>
          </c:val>
          <c:smooth val="0"/>
        </c:ser>
        <c:marker val="1"/>
        <c:axId val="33144346"/>
        <c:axId val="29863659"/>
      </c:lineChart>
      <c:catAx>
        <c:axId val="33144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čtvrtletí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63659"/>
        <c:crosses val="autoZero"/>
        <c:auto val="1"/>
        <c:lblOffset val="100"/>
        <c:tickLblSkip val="3"/>
        <c:noMultiLvlLbl val="0"/>
      </c:catAx>
      <c:valAx>
        <c:axId val="298636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443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449"/>
          <c:w val="0.16925"/>
          <c:h val="0.1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vyrovnání logistickým trendem 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335"/>
          <c:w val="0.78925"/>
          <c:h val="0.784"/>
        </c:manualLayout>
      </c:layout>
      <c:lineChart>
        <c:grouping val="standard"/>
        <c:varyColors val="0"/>
        <c:ser>
          <c:idx val="0"/>
          <c:order val="0"/>
          <c:tx>
            <c:strRef>
              <c:f>Predlogist!$C$1</c:f>
              <c:strCache>
                <c:ptCount val="1"/>
                <c:pt idx="0">
                  <c:v>skutečnost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Predlogist!$C$2:$C$58</c:f>
              <c:numCache/>
            </c:numRef>
          </c:val>
          <c:smooth val="0"/>
        </c:ser>
        <c:ser>
          <c:idx val="1"/>
          <c:order val="1"/>
          <c:tx>
            <c:strRef>
              <c:f>Predlogist!$D$1</c:f>
              <c:strCache>
                <c:ptCount val="1"/>
                <c:pt idx="0">
                  <c:v>vyrovnání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Predlogist!$D$2:$D$58</c:f>
              <c:numCache/>
            </c:numRef>
          </c:val>
          <c:smooth val="0"/>
        </c:ser>
        <c:marker val="1"/>
        <c:axId val="337476"/>
        <c:axId val="3037285"/>
      </c:lineChart>
      <c:catAx>
        <c:axId val="337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čtvrtletí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7285"/>
        <c:crosses val="autoZero"/>
        <c:auto val="1"/>
        <c:lblOffset val="100"/>
        <c:tickLblSkip val="3"/>
        <c:noMultiLvlLbl val="0"/>
      </c:catAx>
      <c:valAx>
        <c:axId val="30372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4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449"/>
          <c:w val="0.16925"/>
          <c:h val="0.1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vyrovnání modif.expon. trendem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335"/>
          <c:w val="0.78925"/>
          <c:h val="0.784"/>
        </c:manualLayout>
      </c:layout>
      <c:lineChart>
        <c:grouping val="standard"/>
        <c:varyColors val="0"/>
        <c:ser>
          <c:idx val="0"/>
          <c:order val="0"/>
          <c:tx>
            <c:strRef>
              <c:f>PredModexp!$C$1</c:f>
              <c:strCache>
                <c:ptCount val="1"/>
                <c:pt idx="0">
                  <c:v>skutečnost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PredModexp!$C$2:$C$58</c:f>
              <c:numCache/>
            </c:numRef>
          </c:val>
          <c:smooth val="0"/>
        </c:ser>
        <c:ser>
          <c:idx val="1"/>
          <c:order val="1"/>
          <c:tx>
            <c:strRef>
              <c:f>PredModexp!$D$1</c:f>
              <c:strCache>
                <c:ptCount val="1"/>
                <c:pt idx="0">
                  <c:v>vyrovnání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PredModexp!$D$2:$D$58</c:f>
              <c:numCache/>
            </c:numRef>
          </c:val>
          <c:smooth val="0"/>
        </c:ser>
        <c:marker val="1"/>
        <c:axId val="27335566"/>
        <c:axId val="44693503"/>
      </c:lineChart>
      <c:catAx>
        <c:axId val="27335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čtvrtletí</a:t>
                </a:r>
              </a:p>
            </c:rich>
          </c:tx>
          <c:layout>
            <c:manualLayout>
              <c:xMode val="factor"/>
              <c:yMode val="factor"/>
              <c:x val="0.006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93503"/>
        <c:crosses val="autoZero"/>
        <c:auto val="1"/>
        <c:lblOffset val="100"/>
        <c:tickLblSkip val="3"/>
        <c:noMultiLvlLbl val="0"/>
      </c:catAx>
      <c:valAx>
        <c:axId val="446935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355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47325"/>
          <c:w val="0.16925"/>
          <c:h val="0.1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228600</xdr:colOff>
      <xdr:row>5</xdr:row>
      <xdr:rowOff>95250</xdr:rowOff>
    </xdr:from>
    <xdr:to>
      <xdr:col>25</xdr:col>
      <xdr:colOff>85725</xdr:colOff>
      <xdr:row>25</xdr:row>
      <xdr:rowOff>57150</xdr:rowOff>
    </xdr:to>
    <xdr:graphicFrame>
      <xdr:nvGraphicFramePr>
        <xdr:cNvPr id="1" name="graf 1"/>
        <xdr:cNvGraphicFramePr/>
      </xdr:nvGraphicFramePr>
      <xdr:xfrm>
        <a:off x="10248900" y="1171575"/>
        <a:ext cx="595312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6</xdr:row>
      <xdr:rowOff>152400</xdr:rowOff>
    </xdr:from>
    <xdr:to>
      <xdr:col>17</xdr:col>
      <xdr:colOff>152400</xdr:colOff>
      <xdr:row>26</xdr:row>
      <xdr:rowOff>114300</xdr:rowOff>
    </xdr:to>
    <xdr:graphicFrame>
      <xdr:nvGraphicFramePr>
        <xdr:cNvPr id="1" name="graf 2"/>
        <xdr:cNvGraphicFramePr/>
      </xdr:nvGraphicFramePr>
      <xdr:xfrm>
        <a:off x="5572125" y="1371600"/>
        <a:ext cx="594360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333375</xdr:colOff>
      <xdr:row>28</xdr:row>
      <xdr:rowOff>47625</xdr:rowOff>
    </xdr:from>
    <xdr:to>
      <xdr:col>26</xdr:col>
      <xdr:colOff>123825</xdr:colOff>
      <xdr:row>48</xdr:row>
      <xdr:rowOff>9525</xdr:rowOff>
    </xdr:to>
    <xdr:graphicFrame>
      <xdr:nvGraphicFramePr>
        <xdr:cNvPr id="1" name="graf 1"/>
        <xdr:cNvGraphicFramePr/>
      </xdr:nvGraphicFramePr>
      <xdr:xfrm>
        <a:off x="12325350" y="5715000"/>
        <a:ext cx="58864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333375</xdr:colOff>
      <xdr:row>28</xdr:row>
      <xdr:rowOff>47625</xdr:rowOff>
    </xdr:from>
    <xdr:to>
      <xdr:col>26</xdr:col>
      <xdr:colOff>123825</xdr:colOff>
      <xdr:row>48</xdr:row>
      <xdr:rowOff>9525</xdr:rowOff>
    </xdr:to>
    <xdr:graphicFrame>
      <xdr:nvGraphicFramePr>
        <xdr:cNvPr id="1" name="graf 1"/>
        <xdr:cNvGraphicFramePr/>
      </xdr:nvGraphicFramePr>
      <xdr:xfrm>
        <a:off x="12325350" y="5715000"/>
        <a:ext cx="58864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190500</xdr:colOff>
      <xdr:row>6</xdr:row>
      <xdr:rowOff>123825</xdr:rowOff>
    </xdr:from>
    <xdr:to>
      <xdr:col>23</xdr:col>
      <xdr:colOff>590550</xdr:colOff>
      <xdr:row>26</xdr:row>
      <xdr:rowOff>85725</xdr:rowOff>
    </xdr:to>
    <xdr:graphicFrame>
      <xdr:nvGraphicFramePr>
        <xdr:cNvPr id="1" name="graf 2"/>
        <xdr:cNvGraphicFramePr/>
      </xdr:nvGraphicFramePr>
      <xdr:xfrm>
        <a:off x="10963275" y="1343025"/>
        <a:ext cx="58864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6</xdr:row>
      <xdr:rowOff>19050</xdr:rowOff>
    </xdr:from>
    <xdr:to>
      <xdr:col>20</xdr:col>
      <xdr:colOff>552450</xdr:colOff>
      <xdr:row>25</xdr:row>
      <xdr:rowOff>180975</xdr:rowOff>
    </xdr:to>
    <xdr:graphicFrame>
      <xdr:nvGraphicFramePr>
        <xdr:cNvPr id="1" name="graf 2"/>
        <xdr:cNvGraphicFramePr/>
      </xdr:nvGraphicFramePr>
      <xdr:xfrm>
        <a:off x="7467600" y="1238250"/>
        <a:ext cx="58864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142875</xdr:colOff>
      <xdr:row>6</xdr:row>
      <xdr:rowOff>133350</xdr:rowOff>
    </xdr:from>
    <xdr:to>
      <xdr:col>21</xdr:col>
      <xdr:colOff>542925</xdr:colOff>
      <xdr:row>26</xdr:row>
      <xdr:rowOff>95250</xdr:rowOff>
    </xdr:to>
    <xdr:graphicFrame>
      <xdr:nvGraphicFramePr>
        <xdr:cNvPr id="1" name="graf 10"/>
        <xdr:cNvGraphicFramePr/>
      </xdr:nvGraphicFramePr>
      <xdr:xfrm>
        <a:off x="8305800" y="1352550"/>
        <a:ext cx="58864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6</xdr:row>
      <xdr:rowOff>57150</xdr:rowOff>
    </xdr:from>
    <xdr:to>
      <xdr:col>20</xdr:col>
      <xdr:colOff>476250</xdr:colOff>
      <xdr:row>26</xdr:row>
      <xdr:rowOff>19050</xdr:rowOff>
    </xdr:to>
    <xdr:graphicFrame>
      <xdr:nvGraphicFramePr>
        <xdr:cNvPr id="1" name="graf 2"/>
        <xdr:cNvGraphicFramePr/>
      </xdr:nvGraphicFramePr>
      <xdr:xfrm>
        <a:off x="7191375" y="1276350"/>
        <a:ext cx="58864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7</xdr:row>
      <xdr:rowOff>19050</xdr:rowOff>
    </xdr:from>
    <xdr:to>
      <xdr:col>16</xdr:col>
      <xdr:colOff>485775</xdr:colOff>
      <xdr:row>26</xdr:row>
      <xdr:rowOff>180975</xdr:rowOff>
    </xdr:to>
    <xdr:graphicFrame>
      <xdr:nvGraphicFramePr>
        <xdr:cNvPr id="1" name="graf 5"/>
        <xdr:cNvGraphicFramePr/>
      </xdr:nvGraphicFramePr>
      <xdr:xfrm>
        <a:off x="5295900" y="1438275"/>
        <a:ext cx="58864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7</xdr:row>
      <xdr:rowOff>57150</xdr:rowOff>
    </xdr:from>
    <xdr:to>
      <xdr:col>16</xdr:col>
      <xdr:colOff>581025</xdr:colOff>
      <xdr:row>27</xdr:row>
      <xdr:rowOff>19050</xdr:rowOff>
    </xdr:to>
    <xdr:graphicFrame>
      <xdr:nvGraphicFramePr>
        <xdr:cNvPr id="1" name="graf 3"/>
        <xdr:cNvGraphicFramePr/>
      </xdr:nvGraphicFramePr>
      <xdr:xfrm>
        <a:off x="5248275" y="1476375"/>
        <a:ext cx="58864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zoomScalePageLayoutView="0" workbookViewId="0" topLeftCell="A40">
      <selection activeCell="J65" sqref="J65"/>
    </sheetView>
  </sheetViews>
  <sheetFormatPr defaultColWidth="9.140625" defaultRowHeight="12.75"/>
  <cols>
    <col min="3" max="3" width="10.00390625" style="0" bestFit="1" customWidth="1"/>
    <col min="4" max="4" width="11.57421875" style="0" bestFit="1" customWidth="1"/>
    <col min="6" max="6" width="10.7109375" style="0" customWidth="1"/>
    <col min="7" max="7" width="10.8515625" style="0" customWidth="1"/>
    <col min="8" max="8" width="4.421875" style="0" customWidth="1"/>
    <col min="9" max="9" width="10.421875" style="0" customWidth="1"/>
    <col min="10" max="10" width="11.421875" style="0" customWidth="1"/>
    <col min="11" max="11" width="10.00390625" style="0" customWidth="1"/>
    <col min="12" max="12" width="10.7109375" style="0" customWidth="1"/>
    <col min="13" max="13" width="13.421875" style="0" customWidth="1"/>
    <col min="14" max="14" width="10.140625" style="0" customWidth="1"/>
  </cols>
  <sheetData>
    <row r="1" spans="1:15" ht="21" thickBot="1">
      <c r="A1" s="140" t="s">
        <v>67</v>
      </c>
      <c r="B1" s="21" t="s">
        <v>94</v>
      </c>
      <c r="C1" s="22" t="s">
        <v>61</v>
      </c>
      <c r="D1" s="125" t="s">
        <v>92</v>
      </c>
      <c r="E1" s="69" t="s">
        <v>93</v>
      </c>
      <c r="F1" s="69" t="s">
        <v>95</v>
      </c>
      <c r="G1" s="69" t="s">
        <v>96</v>
      </c>
      <c r="H1" s="70"/>
      <c r="I1" s="160" t="s">
        <v>83</v>
      </c>
      <c r="J1" s="121" t="s">
        <v>82</v>
      </c>
      <c r="K1" s="189" t="s">
        <v>111</v>
      </c>
      <c r="L1" s="167" t="s">
        <v>112</v>
      </c>
      <c r="M1" s="180" t="s">
        <v>113</v>
      </c>
      <c r="N1" s="210" t="s">
        <v>119</v>
      </c>
      <c r="O1" s="210" t="s">
        <v>120</v>
      </c>
    </row>
    <row r="2" spans="1:15" ht="15.75">
      <c r="A2" s="136" t="s">
        <v>0</v>
      </c>
      <c r="B2" s="43">
        <v>1</v>
      </c>
      <c r="C2" s="44">
        <v>179342.9</v>
      </c>
      <c r="D2" s="26">
        <f>LN(C2)</f>
        <v>12.097054894777886</v>
      </c>
      <c r="E2" s="88">
        <f>LN(B2)</f>
        <v>0</v>
      </c>
      <c r="F2" s="88">
        <f>E2*E2</f>
        <v>0</v>
      </c>
      <c r="G2" s="42">
        <f>D2*E2</f>
        <v>0</v>
      </c>
      <c r="H2" s="1"/>
      <c r="I2" s="131">
        <v>179342.9</v>
      </c>
      <c r="J2" s="187">
        <f>E$76*B2^(C$77)</f>
        <v>123585.96376401129</v>
      </c>
      <c r="K2" s="173">
        <f>I2-J2</f>
        <v>55756.9362359887</v>
      </c>
      <c r="L2" s="230">
        <f aca="true" t="shared" si="0" ref="L2:L33">ABS(K2)</f>
        <v>55756.9362359887</v>
      </c>
      <c r="M2" s="211">
        <f>K2*K2</f>
        <v>3108835938.42411</v>
      </c>
      <c r="N2" s="214">
        <f>L2/I2</f>
        <v>0.31089569888737556</v>
      </c>
      <c r="O2" s="181">
        <f>L2/ABS(I2+J2)</f>
        <v>0.18405950341999983</v>
      </c>
    </row>
    <row r="3" spans="1:15" ht="15.75">
      <c r="A3" s="137" t="s">
        <v>1</v>
      </c>
      <c r="B3" s="45">
        <v>2</v>
      </c>
      <c r="C3" s="46">
        <v>179879.6</v>
      </c>
      <c r="D3" s="30">
        <f aca="true" t="shared" si="1" ref="D3:D57">LN(C3)</f>
        <v>12.100043017177478</v>
      </c>
      <c r="E3" s="89">
        <f aca="true" t="shared" si="2" ref="E3:E57">LN(B3)</f>
        <v>0.6931471805599453</v>
      </c>
      <c r="F3" s="89">
        <f aca="true" t="shared" si="3" ref="F3:F57">E3*E3</f>
        <v>0.4804530139182014</v>
      </c>
      <c r="G3" s="47">
        <f aca="true" t="shared" si="4" ref="G3:G57">D3*E3</f>
        <v>8.387110702010622</v>
      </c>
      <c r="H3" s="1"/>
      <c r="I3" s="132">
        <v>179879.6</v>
      </c>
      <c r="J3" s="187">
        <f aca="true" t="shared" si="5" ref="J3:J57">E$76*B3^(C$77)</f>
        <v>164581.31086305247</v>
      </c>
      <c r="K3" s="174">
        <f aca="true" t="shared" si="6" ref="K3:K61">I3-J3</f>
        <v>15298.28913694754</v>
      </c>
      <c r="L3" s="231">
        <f t="shared" si="0"/>
        <v>15298.28913694754</v>
      </c>
      <c r="M3" s="183">
        <f aca="true" t="shared" si="7" ref="M3:M61">K3*K3</f>
        <v>234037650.51764712</v>
      </c>
      <c r="N3" s="215">
        <f aca="true" t="shared" si="8" ref="N3:N57">L3/I3</f>
        <v>0.08504738245441695</v>
      </c>
      <c r="O3" s="177">
        <f aca="true" t="shared" si="9" ref="O3:O57">L3/ABS(I3+J3)</f>
        <v>0.04441226465614756</v>
      </c>
    </row>
    <row r="4" spans="1:15" ht="15.75">
      <c r="A4" s="137" t="s">
        <v>2</v>
      </c>
      <c r="B4" s="45">
        <f aca="true" t="shared" si="10" ref="B4:B35">B3+1</f>
        <v>3</v>
      </c>
      <c r="C4" s="46">
        <v>184157.9</v>
      </c>
      <c r="D4" s="30">
        <f t="shared" si="1"/>
        <v>12.123548820762979</v>
      </c>
      <c r="E4" s="89">
        <f t="shared" si="2"/>
        <v>1.0986122886681098</v>
      </c>
      <c r="F4" s="89">
        <f t="shared" si="3"/>
        <v>1.206948960812582</v>
      </c>
      <c r="G4" s="47">
        <f t="shared" si="4"/>
        <v>13.31907971675798</v>
      </c>
      <c r="H4" s="1"/>
      <c r="I4" s="132">
        <v>184157.9</v>
      </c>
      <c r="J4" s="187">
        <f t="shared" si="5"/>
        <v>194606.12374468826</v>
      </c>
      <c r="K4" s="174">
        <f t="shared" si="6"/>
        <v>-10448.223744688265</v>
      </c>
      <c r="L4" s="231">
        <f t="shared" si="0"/>
        <v>10448.223744688265</v>
      </c>
      <c r="M4" s="183">
        <f t="shared" si="7"/>
        <v>109165379.41906767</v>
      </c>
      <c r="N4" s="215">
        <f t="shared" si="8"/>
        <v>0.056735137317966075</v>
      </c>
      <c r="O4" s="177">
        <f t="shared" si="9"/>
        <v>0.027585047918202103</v>
      </c>
    </row>
    <row r="5" spans="1:15" ht="16.5" thickBot="1">
      <c r="A5" s="138" t="s">
        <v>3</v>
      </c>
      <c r="B5" s="45">
        <f t="shared" si="10"/>
        <v>4</v>
      </c>
      <c r="C5" s="48">
        <v>204782.7</v>
      </c>
      <c r="D5" s="34">
        <f t="shared" si="1"/>
        <v>12.229704695923225</v>
      </c>
      <c r="E5" s="90">
        <f t="shared" si="2"/>
        <v>1.3862943611198906</v>
      </c>
      <c r="F5" s="90">
        <f t="shared" si="3"/>
        <v>1.9218120556728056</v>
      </c>
      <c r="G5" s="49">
        <f t="shared" si="4"/>
        <v>16.95397065811981</v>
      </c>
      <c r="H5" s="1"/>
      <c r="I5" s="133">
        <v>204782.7</v>
      </c>
      <c r="J5" s="187">
        <f t="shared" si="5"/>
        <v>219175.4391876058</v>
      </c>
      <c r="K5" s="175">
        <f t="shared" si="6"/>
        <v>-14392.739187605795</v>
      </c>
      <c r="L5" s="232">
        <f t="shared" si="0"/>
        <v>14392.739187605795</v>
      </c>
      <c r="M5" s="212">
        <f t="shared" si="7"/>
        <v>207150941.32244354</v>
      </c>
      <c r="N5" s="216">
        <f t="shared" si="8"/>
        <v>0.07028298380481258</v>
      </c>
      <c r="O5" s="177">
        <f t="shared" si="9"/>
        <v>0.03394849127129709</v>
      </c>
    </row>
    <row r="6" spans="1:15" ht="15.75">
      <c r="A6" s="136" t="s">
        <v>4</v>
      </c>
      <c r="B6" s="43">
        <f t="shared" si="10"/>
        <v>5</v>
      </c>
      <c r="C6" s="50">
        <v>215145.3</v>
      </c>
      <c r="D6" s="24">
        <f>LN(C6)</f>
        <v>12.279068892803872</v>
      </c>
      <c r="E6" s="42">
        <f>LN(B6)</f>
        <v>1.6094379124341003</v>
      </c>
      <c r="F6" s="42">
        <f>E6*E6</f>
        <v>2.5902903939802346</v>
      </c>
      <c r="G6" s="42">
        <f>D6*E6</f>
        <v>19.76239900546876</v>
      </c>
      <c r="H6" s="1"/>
      <c r="I6" s="131">
        <v>215145.3</v>
      </c>
      <c r="J6" s="128">
        <f>E$76*B6^(C$77)</f>
        <v>240349.59811157067</v>
      </c>
      <c r="K6" s="173">
        <f>I6-J6</f>
        <v>-25204.29811157068</v>
      </c>
      <c r="L6" s="233">
        <f t="shared" si="0"/>
        <v>25204.29811157068</v>
      </c>
      <c r="M6" s="181">
        <f>K6*K6</f>
        <v>635256643.2969253</v>
      </c>
      <c r="N6" s="214">
        <f>L6/I6</f>
        <v>0.11715012185518661</v>
      </c>
      <c r="O6" s="181">
        <f>L6/ABS(I6+J6)</f>
        <v>0.055333875782286025</v>
      </c>
    </row>
    <row r="7" spans="1:15" ht="15.75">
      <c r="A7" s="137" t="s">
        <v>5</v>
      </c>
      <c r="B7" s="45">
        <f t="shared" si="10"/>
        <v>6</v>
      </c>
      <c r="C7" s="51">
        <v>220120.4</v>
      </c>
      <c r="D7" s="28">
        <f t="shared" si="1"/>
        <v>12.301929948362668</v>
      </c>
      <c r="E7" s="47">
        <f t="shared" si="2"/>
        <v>1.791759469228055</v>
      </c>
      <c r="F7" s="47">
        <f t="shared" si="3"/>
        <v>3.210401995568401</v>
      </c>
      <c r="G7" s="47">
        <f t="shared" si="4"/>
        <v>22.042099474759006</v>
      </c>
      <c r="H7" s="1"/>
      <c r="I7" s="132">
        <v>220120.4</v>
      </c>
      <c r="J7" s="127">
        <f t="shared" si="5"/>
        <v>259159.93995108551</v>
      </c>
      <c r="K7" s="174">
        <f t="shared" si="6"/>
        <v>-39039.53995108552</v>
      </c>
      <c r="L7" s="233">
        <f t="shared" si="0"/>
        <v>39039.53995108552</v>
      </c>
      <c r="M7" s="177">
        <f t="shared" si="7"/>
        <v>1524085679.5924025</v>
      </c>
      <c r="N7" s="215">
        <f t="shared" si="8"/>
        <v>0.17735539255373658</v>
      </c>
      <c r="O7" s="177">
        <f t="shared" si="9"/>
        <v>0.08145449895789555</v>
      </c>
    </row>
    <row r="8" spans="1:15" ht="15.75">
      <c r="A8" s="137" t="s">
        <v>6</v>
      </c>
      <c r="B8" s="45">
        <f t="shared" si="10"/>
        <v>7</v>
      </c>
      <c r="C8" s="51">
        <v>224857.6</v>
      </c>
      <c r="D8" s="28">
        <f t="shared" si="1"/>
        <v>12.323222591938954</v>
      </c>
      <c r="E8" s="47">
        <f t="shared" si="2"/>
        <v>1.9459101490553132</v>
      </c>
      <c r="F8" s="47">
        <f t="shared" si="3"/>
        <v>3.7865663081964716</v>
      </c>
      <c r="G8" s="47">
        <f t="shared" si="4"/>
        <v>23.979883910721735</v>
      </c>
      <c r="H8" s="1"/>
      <c r="I8" s="132">
        <v>224857.6</v>
      </c>
      <c r="J8" s="127">
        <f t="shared" si="5"/>
        <v>276207.8492134265</v>
      </c>
      <c r="K8" s="174">
        <f t="shared" si="6"/>
        <v>-51350.24921342652</v>
      </c>
      <c r="L8" s="233">
        <f t="shared" si="0"/>
        <v>51350.24921342652</v>
      </c>
      <c r="M8" s="177">
        <f t="shared" si="7"/>
        <v>2636848094.281011</v>
      </c>
      <c r="N8" s="215">
        <f t="shared" si="8"/>
        <v>0.2283678613194596</v>
      </c>
      <c r="O8" s="177">
        <f t="shared" si="9"/>
        <v>0.10248211943975828</v>
      </c>
    </row>
    <row r="9" spans="1:15" ht="16.5" thickBot="1">
      <c r="A9" s="138" t="s">
        <v>7</v>
      </c>
      <c r="B9" s="52">
        <f t="shared" si="10"/>
        <v>8</v>
      </c>
      <c r="C9" s="53">
        <v>244498.9</v>
      </c>
      <c r="D9" s="32">
        <f t="shared" si="1"/>
        <v>12.406966088909439</v>
      </c>
      <c r="E9" s="49">
        <f t="shared" si="2"/>
        <v>2.0794415416798357</v>
      </c>
      <c r="F9" s="49">
        <f t="shared" si="3"/>
        <v>4.324077125263812</v>
      </c>
      <c r="G9" s="49">
        <f t="shared" si="4"/>
        <v>25.799560691491283</v>
      </c>
      <c r="H9" s="1"/>
      <c r="I9" s="133">
        <v>244498.9</v>
      </c>
      <c r="J9" s="129">
        <f t="shared" si="5"/>
        <v>291879.27165710833</v>
      </c>
      <c r="K9" s="175">
        <f t="shared" si="6"/>
        <v>-47380.371657108335</v>
      </c>
      <c r="L9" s="233">
        <f t="shared" si="0"/>
        <v>47380.371657108335</v>
      </c>
      <c r="M9" s="182">
        <f t="shared" si="7"/>
        <v>2244899618.365715</v>
      </c>
      <c r="N9" s="216">
        <f t="shared" si="8"/>
        <v>0.193785622990976</v>
      </c>
      <c r="O9" s="182">
        <f t="shared" si="9"/>
        <v>0.08833389231841689</v>
      </c>
    </row>
    <row r="10" spans="1:15" ht="15.75">
      <c r="A10" s="136" t="s">
        <v>8</v>
      </c>
      <c r="B10" s="45">
        <f t="shared" si="10"/>
        <v>9</v>
      </c>
      <c r="C10" s="50">
        <v>257013.4</v>
      </c>
      <c r="D10" s="24">
        <f>LN(C10)</f>
        <v>12.45688350259593</v>
      </c>
      <c r="E10" s="42">
        <f>LN(B10)</f>
        <v>2.1972245773362196</v>
      </c>
      <c r="F10" s="42">
        <f>E10*E10</f>
        <v>4.827795843250328</v>
      </c>
      <c r="G10" s="42">
        <f>D10*E10</f>
        <v>27.37057058891787</v>
      </c>
      <c r="H10" s="1"/>
      <c r="I10" s="131">
        <v>257013.4</v>
      </c>
      <c r="J10" s="127">
        <f>E$76*B10^(C$77)</f>
        <v>306438.8725506808</v>
      </c>
      <c r="K10" s="173">
        <f>I10-J10</f>
        <v>-49425.47255068083</v>
      </c>
      <c r="L10" s="173">
        <f t="shared" si="0"/>
        <v>49425.47255068083</v>
      </c>
      <c r="M10" s="184">
        <f>K10*K10</f>
        <v>2442877336.858104</v>
      </c>
      <c r="N10" s="214">
        <f>L10/I10</f>
        <v>0.19230698691461548</v>
      </c>
      <c r="O10" s="181">
        <f>L10/ABS(I10+J10)</f>
        <v>0.08771900471168152</v>
      </c>
    </row>
    <row r="11" spans="1:15" ht="15.75">
      <c r="A11" s="137" t="s">
        <v>9</v>
      </c>
      <c r="B11" s="45">
        <f t="shared" si="10"/>
        <v>10</v>
      </c>
      <c r="C11" s="51">
        <v>268251.6</v>
      </c>
      <c r="D11" s="28">
        <f t="shared" si="1"/>
        <v>12.499680625060432</v>
      </c>
      <c r="E11" s="47">
        <f t="shared" si="2"/>
        <v>2.302585092994046</v>
      </c>
      <c r="F11" s="47">
        <f t="shared" si="3"/>
        <v>5.301898110478399</v>
      </c>
      <c r="G11" s="47">
        <f t="shared" si="4"/>
        <v>28.78157827445065</v>
      </c>
      <c r="H11" s="1"/>
      <c r="I11" s="132">
        <v>268251.6</v>
      </c>
      <c r="J11" s="127">
        <f t="shared" si="5"/>
        <v>320077.22169925994</v>
      </c>
      <c r="K11" s="174">
        <f t="shared" si="6"/>
        <v>-51825.621699259966</v>
      </c>
      <c r="L11" s="174">
        <f t="shared" si="0"/>
        <v>51825.621699259966</v>
      </c>
      <c r="M11" s="184">
        <f t="shared" si="7"/>
        <v>2685895064.5148053</v>
      </c>
      <c r="N11" s="215">
        <f t="shared" si="8"/>
        <v>0.19319781018737622</v>
      </c>
      <c r="O11" s="177">
        <f t="shared" si="9"/>
        <v>0.08808955092421432</v>
      </c>
    </row>
    <row r="12" spans="1:15" ht="15.75">
      <c r="A12" s="137" t="s">
        <v>10</v>
      </c>
      <c r="B12" s="45">
        <f t="shared" si="10"/>
        <v>11</v>
      </c>
      <c r="C12" s="51">
        <v>280707.7</v>
      </c>
      <c r="D12" s="28">
        <f t="shared" si="1"/>
        <v>12.545069193395186</v>
      </c>
      <c r="E12" s="47">
        <f t="shared" si="2"/>
        <v>2.3978952727983707</v>
      </c>
      <c r="F12" s="47">
        <f t="shared" si="3"/>
        <v>5.749901739308773</v>
      </c>
      <c r="G12" s="47">
        <f t="shared" si="4"/>
        <v>30.081762115770786</v>
      </c>
      <c r="H12" s="1"/>
      <c r="I12" s="132">
        <v>280707.7</v>
      </c>
      <c r="J12" s="127">
        <f t="shared" si="5"/>
        <v>332936.7763825572</v>
      </c>
      <c r="K12" s="174">
        <f t="shared" si="6"/>
        <v>-52229.07638255716</v>
      </c>
      <c r="L12" s="174">
        <f t="shared" si="0"/>
        <v>52229.07638255716</v>
      </c>
      <c r="M12" s="184">
        <f t="shared" si="7"/>
        <v>2727876419.7749906</v>
      </c>
      <c r="N12" s="215">
        <f t="shared" si="8"/>
        <v>0.1860621435840811</v>
      </c>
      <c r="O12" s="177">
        <f t="shared" si="9"/>
        <v>0.0851129251426629</v>
      </c>
    </row>
    <row r="13" spans="1:15" ht="16.5" thickBot="1">
      <c r="A13" s="138" t="s">
        <v>11</v>
      </c>
      <c r="B13" s="45">
        <f t="shared" si="10"/>
        <v>12</v>
      </c>
      <c r="C13" s="53">
        <v>306236.9</v>
      </c>
      <c r="D13" s="32">
        <f t="shared" si="1"/>
        <v>12.632114264415971</v>
      </c>
      <c r="E13" s="49">
        <f t="shared" si="2"/>
        <v>2.4849066497880004</v>
      </c>
      <c r="F13" s="49">
        <f t="shared" si="3"/>
        <v>6.174761058160624</v>
      </c>
      <c r="G13" s="49">
        <f t="shared" si="4"/>
        <v>31.3896247365291</v>
      </c>
      <c r="H13" s="1"/>
      <c r="I13" s="133">
        <v>306236.9</v>
      </c>
      <c r="J13" s="127">
        <f t="shared" si="5"/>
        <v>345127.2405156442</v>
      </c>
      <c r="K13" s="175">
        <f t="shared" si="6"/>
        <v>-38890.34051564417</v>
      </c>
      <c r="L13" s="175">
        <f t="shared" si="0"/>
        <v>38890.34051564417</v>
      </c>
      <c r="M13" s="184">
        <f t="shared" si="7"/>
        <v>1512458585.4227548</v>
      </c>
      <c r="N13" s="216">
        <f t="shared" si="8"/>
        <v>0.12699429923580133</v>
      </c>
      <c r="O13" s="177">
        <f t="shared" si="9"/>
        <v>0.059705989471353346</v>
      </c>
    </row>
    <row r="14" spans="1:15" ht="15.75">
      <c r="A14" s="136" t="s">
        <v>12</v>
      </c>
      <c r="B14" s="43">
        <f t="shared" si="10"/>
        <v>13</v>
      </c>
      <c r="C14" s="50">
        <v>320848.6</v>
      </c>
      <c r="D14" s="24">
        <f>LN(C14)</f>
        <v>12.678724639759448</v>
      </c>
      <c r="E14" s="42">
        <f>LN(B14)</f>
        <v>2.5649493574615367</v>
      </c>
      <c r="F14" s="42">
        <f>E14*E14</f>
        <v>6.5789652063423505</v>
      </c>
      <c r="G14" s="42">
        <f>D14*E14</f>
        <v>32.52028661818275</v>
      </c>
      <c r="H14" s="1"/>
      <c r="I14" s="131">
        <v>320848.6</v>
      </c>
      <c r="J14" s="128">
        <f>E$76*B14^(C$77)</f>
        <v>356735.1615897007</v>
      </c>
      <c r="K14" s="173">
        <f>I14-J14</f>
        <v>-35886.56158970075</v>
      </c>
      <c r="L14" s="233">
        <f t="shared" si="0"/>
        <v>35886.56158970075</v>
      </c>
      <c r="M14" s="181">
        <f>K14*K14</f>
        <v>1287845302.7313855</v>
      </c>
      <c r="N14" s="214">
        <f>L14/I14</f>
        <v>0.11184889567758985</v>
      </c>
      <c r="O14" s="181">
        <f>L14/ABS(I14+J14)</f>
        <v>0.052962546660661046</v>
      </c>
    </row>
    <row r="15" spans="1:15" ht="15.75">
      <c r="A15" s="137" t="s">
        <v>13</v>
      </c>
      <c r="B15" s="45">
        <f t="shared" si="10"/>
        <v>14</v>
      </c>
      <c r="C15" s="51">
        <v>329595.1</v>
      </c>
      <c r="D15" s="28">
        <f t="shared" si="1"/>
        <v>12.705620210402092</v>
      </c>
      <c r="E15" s="47">
        <f t="shared" si="2"/>
        <v>2.6390573296152584</v>
      </c>
      <c r="F15" s="47">
        <f t="shared" si="3"/>
        <v>6.964623588996019</v>
      </c>
      <c r="G15" s="47">
        <f t="shared" si="4"/>
        <v>33.530860143569406</v>
      </c>
      <c r="H15" s="1"/>
      <c r="I15" s="132">
        <v>329595.1</v>
      </c>
      <c r="J15" s="127">
        <f t="shared" si="5"/>
        <v>367830.2010171142</v>
      </c>
      <c r="K15" s="174">
        <f t="shared" si="6"/>
        <v>-38235.10101711424</v>
      </c>
      <c r="L15" s="233">
        <f t="shared" si="0"/>
        <v>38235.10101711424</v>
      </c>
      <c r="M15" s="177">
        <f t="shared" si="7"/>
        <v>1461922949.7889304</v>
      </c>
      <c r="N15" s="215">
        <f t="shared" si="8"/>
        <v>0.11600627866468356</v>
      </c>
      <c r="O15" s="177">
        <f t="shared" si="9"/>
        <v>0.054823220438594306</v>
      </c>
    </row>
    <row r="16" spans="1:15" ht="15.75">
      <c r="A16" s="137" t="s">
        <v>14</v>
      </c>
      <c r="B16" s="45">
        <f t="shared" si="10"/>
        <v>15</v>
      </c>
      <c r="C16" s="51">
        <v>336112.3</v>
      </c>
      <c r="D16" s="28">
        <f t="shared" si="1"/>
        <v>12.725200609294687</v>
      </c>
      <c r="E16" s="47">
        <f t="shared" si="2"/>
        <v>2.70805020110221</v>
      </c>
      <c r="F16" s="47">
        <f t="shared" si="3"/>
        <v>7.333535891689721</v>
      </c>
      <c r="G16" s="47">
        <f t="shared" si="4"/>
        <v>34.460482069066444</v>
      </c>
      <c r="H16" s="1"/>
      <c r="I16" s="132">
        <v>336112.3</v>
      </c>
      <c r="J16" s="127">
        <f t="shared" si="5"/>
        <v>378469.3844472574</v>
      </c>
      <c r="K16" s="174">
        <f t="shared" si="6"/>
        <v>-42357.084447257395</v>
      </c>
      <c r="L16" s="233">
        <f t="shared" si="0"/>
        <v>42357.084447257395</v>
      </c>
      <c r="M16" s="177">
        <f t="shared" si="7"/>
        <v>1794122602.8720944</v>
      </c>
      <c r="N16" s="215">
        <f t="shared" si="8"/>
        <v>0.12602063193539004</v>
      </c>
      <c r="O16" s="177">
        <f t="shared" si="9"/>
        <v>0.05927535699438115</v>
      </c>
    </row>
    <row r="17" spans="1:15" ht="16.5" thickBot="1">
      <c r="A17" s="138" t="s">
        <v>15</v>
      </c>
      <c r="B17" s="52">
        <f t="shared" si="10"/>
        <v>16</v>
      </c>
      <c r="C17" s="53">
        <v>365625.2</v>
      </c>
      <c r="D17" s="32">
        <f t="shared" si="1"/>
        <v>12.809364043976656</v>
      </c>
      <c r="E17" s="49">
        <f t="shared" si="2"/>
        <v>2.772588722239781</v>
      </c>
      <c r="F17" s="49">
        <f t="shared" si="3"/>
        <v>7.687248222691222</v>
      </c>
      <c r="G17" s="49">
        <f t="shared" si="4"/>
        <v>35.51509828739343</v>
      </c>
      <c r="H17" s="1"/>
      <c r="I17" s="133">
        <v>365625.2</v>
      </c>
      <c r="J17" s="129">
        <f t="shared" si="5"/>
        <v>388700.0730504374</v>
      </c>
      <c r="K17" s="175">
        <f t="shared" si="6"/>
        <v>-23074.873050437367</v>
      </c>
      <c r="L17" s="233">
        <f t="shared" si="0"/>
        <v>23074.873050437367</v>
      </c>
      <c r="M17" s="182">
        <f t="shared" si="7"/>
        <v>532449766.29380065</v>
      </c>
      <c r="N17" s="216">
        <f t="shared" si="8"/>
        <v>0.06311072937652373</v>
      </c>
      <c r="O17" s="182">
        <f t="shared" si="9"/>
        <v>0.03059008344917867</v>
      </c>
    </row>
    <row r="18" spans="1:15" ht="15.75">
      <c r="A18" s="136" t="s">
        <v>16</v>
      </c>
      <c r="B18" s="45">
        <f t="shared" si="10"/>
        <v>17</v>
      </c>
      <c r="C18" s="50">
        <v>414840.1</v>
      </c>
      <c r="D18" s="24">
        <f>LN(C18)</f>
        <v>12.935648423760435</v>
      </c>
      <c r="E18" s="42">
        <f>LN(B18)</f>
        <v>2.833213344056216</v>
      </c>
      <c r="F18" s="42">
        <f>E18*E18</f>
        <v>8.027097852938207</v>
      </c>
      <c r="G18" s="42">
        <f>D18*E18</f>
        <v>36.64945172821783</v>
      </c>
      <c r="H18" s="1"/>
      <c r="I18" s="131">
        <v>414840.1</v>
      </c>
      <c r="J18" s="128">
        <f>E$76*B18^(C$77)</f>
        <v>398562.09591000516</v>
      </c>
      <c r="K18" s="173">
        <f>I18-J18</f>
        <v>16278.004089994822</v>
      </c>
      <c r="L18" s="173">
        <f t="shared" si="0"/>
        <v>16278.004089994822</v>
      </c>
      <c r="M18" s="184">
        <f>K18*K18</f>
        <v>264973417.15388814</v>
      </c>
      <c r="N18" s="214">
        <f>L18/I18</f>
        <v>0.03923922516168235</v>
      </c>
      <c r="O18" s="181">
        <f>L18/ABS(I18+J18)</f>
        <v>0.020012245076107247</v>
      </c>
    </row>
    <row r="19" spans="1:15" ht="15.75">
      <c r="A19" s="137" t="s">
        <v>17</v>
      </c>
      <c r="B19" s="45">
        <f t="shared" si="10"/>
        <v>18</v>
      </c>
      <c r="C19" s="51">
        <v>441183</v>
      </c>
      <c r="D19" s="28">
        <f t="shared" si="1"/>
        <v>12.997215034340805</v>
      </c>
      <c r="E19" s="47">
        <f t="shared" si="2"/>
        <v>2.8903717578961645</v>
      </c>
      <c r="F19" s="47">
        <f t="shared" si="3"/>
        <v>8.354248898843764</v>
      </c>
      <c r="G19" s="47">
        <f t="shared" si="4"/>
        <v>37.56678326656209</v>
      </c>
      <c r="H19" s="1"/>
      <c r="I19" s="132">
        <v>441183</v>
      </c>
      <c r="J19" s="127">
        <f t="shared" si="5"/>
        <v>408089.3153861015</v>
      </c>
      <c r="K19" s="174">
        <f t="shared" si="6"/>
        <v>33093.68461389851</v>
      </c>
      <c r="L19" s="174">
        <f t="shared" si="0"/>
        <v>33093.68461389851</v>
      </c>
      <c r="M19" s="184">
        <f t="shared" si="7"/>
        <v>1095191961.3241832</v>
      </c>
      <c r="N19" s="215">
        <f t="shared" si="8"/>
        <v>0.07501124162512725</v>
      </c>
      <c r="O19" s="177">
        <f t="shared" si="9"/>
        <v>0.0389671063266124</v>
      </c>
    </row>
    <row r="20" spans="1:15" ht="15.75">
      <c r="A20" s="137" t="s">
        <v>18</v>
      </c>
      <c r="B20" s="45">
        <f t="shared" si="10"/>
        <v>19</v>
      </c>
      <c r="C20" s="51">
        <v>443649.1</v>
      </c>
      <c r="D20" s="28">
        <f t="shared" si="1"/>
        <v>13.002789213635257</v>
      </c>
      <c r="E20" s="47">
        <f t="shared" si="2"/>
        <v>2.9444389791664403</v>
      </c>
      <c r="F20" s="47">
        <f t="shared" si="3"/>
        <v>8.669720902034708</v>
      </c>
      <c r="G20" s="47">
        <f t="shared" si="4"/>
        <v>38.2859193985126</v>
      </c>
      <c r="H20" s="1"/>
      <c r="I20" s="132">
        <v>443649.1</v>
      </c>
      <c r="J20" s="127">
        <f t="shared" si="5"/>
        <v>417310.79910099023</v>
      </c>
      <c r="K20" s="174">
        <f t="shared" si="6"/>
        <v>26338.300899009744</v>
      </c>
      <c r="L20" s="174">
        <f t="shared" si="0"/>
        <v>26338.300899009744</v>
      </c>
      <c r="M20" s="184">
        <f t="shared" si="7"/>
        <v>693706094.2467775</v>
      </c>
      <c r="N20" s="215">
        <f t="shared" si="8"/>
        <v>0.05936741649878191</v>
      </c>
      <c r="O20" s="177">
        <f t="shared" si="9"/>
        <v>0.030591785896778766</v>
      </c>
    </row>
    <row r="21" spans="1:15" ht="16.5" thickBot="1">
      <c r="A21" s="138" t="s">
        <v>19</v>
      </c>
      <c r="B21" s="45">
        <f t="shared" si="10"/>
        <v>20</v>
      </c>
      <c r="C21" s="53">
        <v>473921.5</v>
      </c>
      <c r="D21" s="32">
        <f t="shared" si="1"/>
        <v>13.068796975147716</v>
      </c>
      <c r="E21" s="49">
        <f t="shared" si="2"/>
        <v>2.995732273553991</v>
      </c>
      <c r="F21" s="49">
        <f t="shared" si="3"/>
        <v>8.974411854812963</v>
      </c>
      <c r="G21" s="49">
        <f t="shared" si="4"/>
        <v>39.15061687497479</v>
      </c>
      <c r="H21" s="1"/>
      <c r="I21" s="133">
        <v>473921.5</v>
      </c>
      <c r="J21" s="129">
        <f t="shared" si="5"/>
        <v>426251.7127370438</v>
      </c>
      <c r="K21" s="175">
        <f t="shared" si="6"/>
        <v>47669.787262956204</v>
      </c>
      <c r="L21" s="175">
        <f t="shared" si="0"/>
        <v>47669.787262956204</v>
      </c>
      <c r="M21" s="184">
        <f t="shared" si="7"/>
        <v>2272408617.695502</v>
      </c>
      <c r="N21" s="216">
        <f t="shared" si="8"/>
        <v>0.10058582964258048</v>
      </c>
      <c r="O21" s="177">
        <f t="shared" si="9"/>
        <v>0.05295623840884207</v>
      </c>
    </row>
    <row r="22" spans="1:15" ht="15.75">
      <c r="A22" s="136" t="s">
        <v>20</v>
      </c>
      <c r="B22" s="43">
        <f t="shared" si="10"/>
        <v>21</v>
      </c>
      <c r="C22" s="50">
        <v>493387.1</v>
      </c>
      <c r="D22" s="24">
        <f>LN(C22)</f>
        <v>13.109049337620078</v>
      </c>
      <c r="E22" s="42">
        <f>LN(B22)</f>
        <v>3.044522437723423</v>
      </c>
      <c r="F22" s="42">
        <f>E22*E22</f>
        <v>9.269116873801375</v>
      </c>
      <c r="G22" s="42">
        <f>D22*E22</f>
        <v>39.910794845607704</v>
      </c>
      <c r="H22" s="1"/>
      <c r="I22" s="131">
        <v>493387.1</v>
      </c>
      <c r="J22" s="128">
        <f>E$76*B22^(C$77)</f>
        <v>434934.0106771493</v>
      </c>
      <c r="K22" s="173">
        <f>I22-J22</f>
        <v>58453.08932285069</v>
      </c>
      <c r="L22" s="233">
        <f t="shared" si="0"/>
        <v>58453.08932285069</v>
      </c>
      <c r="M22" s="181">
        <f>K22*K22</f>
        <v>3416763651.3851614</v>
      </c>
      <c r="N22" s="214">
        <f>L22/I22</f>
        <v>0.11847307990592111</v>
      </c>
      <c r="O22" s="181">
        <f>L22/ABS(I22+J22)</f>
        <v>0.06296645487272502</v>
      </c>
    </row>
    <row r="23" spans="1:15" ht="15.75">
      <c r="A23" s="137" t="s">
        <v>21</v>
      </c>
      <c r="B23" s="45">
        <f t="shared" si="10"/>
        <v>22</v>
      </c>
      <c r="C23" s="51">
        <v>512073.8</v>
      </c>
      <c r="D23" s="28">
        <f t="shared" si="1"/>
        <v>13.146224034259383</v>
      </c>
      <c r="E23" s="47">
        <f t="shared" si="2"/>
        <v>3.091042453358316</v>
      </c>
      <c r="F23" s="47">
        <f t="shared" si="3"/>
        <v>9.554543448463397</v>
      </c>
      <c r="G23" s="47">
        <f t="shared" si="4"/>
        <v>40.63553659125518</v>
      </c>
      <c r="H23" s="1"/>
      <c r="I23" s="132">
        <v>512073.8</v>
      </c>
      <c r="J23" s="127">
        <f t="shared" si="5"/>
        <v>443376.97763309255</v>
      </c>
      <c r="K23" s="174">
        <f t="shared" si="6"/>
        <v>68696.82236690744</v>
      </c>
      <c r="L23" s="233">
        <f t="shared" si="0"/>
        <v>68696.82236690744</v>
      </c>
      <c r="M23" s="177">
        <f t="shared" si="7"/>
        <v>4719253403.310433</v>
      </c>
      <c r="N23" s="215">
        <f t="shared" si="8"/>
        <v>0.13415414412318583</v>
      </c>
      <c r="O23" s="177">
        <f t="shared" si="9"/>
        <v>0.07189990732655832</v>
      </c>
    </row>
    <row r="24" spans="1:15" ht="15.75">
      <c r="A24" s="137" t="s">
        <v>22</v>
      </c>
      <c r="B24" s="45">
        <f t="shared" si="10"/>
        <v>23</v>
      </c>
      <c r="C24" s="51">
        <v>527451.8</v>
      </c>
      <c r="D24" s="28">
        <f t="shared" si="1"/>
        <v>13.17581276574988</v>
      </c>
      <c r="E24" s="47">
        <f t="shared" si="2"/>
        <v>3.1354942159291497</v>
      </c>
      <c r="F24" s="47">
        <f t="shared" si="3"/>
        <v>9.831323978125154</v>
      </c>
      <c r="G24" s="47">
        <f t="shared" si="4"/>
        <v>41.3126847171742</v>
      </c>
      <c r="H24" s="1"/>
      <c r="I24" s="132">
        <v>527451.8</v>
      </c>
      <c r="J24" s="127">
        <f t="shared" si="5"/>
        <v>451597.65867168043</v>
      </c>
      <c r="K24" s="174">
        <f t="shared" si="6"/>
        <v>75854.14132831962</v>
      </c>
      <c r="L24" s="233">
        <f t="shared" si="0"/>
        <v>75854.14132831962</v>
      </c>
      <c r="M24" s="177">
        <f t="shared" si="7"/>
        <v>5753850756.656686</v>
      </c>
      <c r="N24" s="215">
        <f t="shared" si="8"/>
        <v>0.14381246083209803</v>
      </c>
      <c r="O24" s="177">
        <f t="shared" si="9"/>
        <v>0.07747733340380401</v>
      </c>
    </row>
    <row r="25" spans="1:15" ht="16.5" thickBot="1">
      <c r="A25" s="138" t="s">
        <v>23</v>
      </c>
      <c r="B25" s="52">
        <f t="shared" si="10"/>
        <v>24</v>
      </c>
      <c r="C25" s="53">
        <v>549745.5</v>
      </c>
      <c r="D25" s="32">
        <f t="shared" si="1"/>
        <v>13.217210722844625</v>
      </c>
      <c r="E25" s="49">
        <f t="shared" si="2"/>
        <v>3.1780538303479458</v>
      </c>
      <c r="F25" s="49">
        <f t="shared" si="3"/>
        <v>10.100026148589249</v>
      </c>
      <c r="G25" s="49">
        <f t="shared" si="4"/>
        <v>42.0050071642523</v>
      </c>
      <c r="H25" s="1"/>
      <c r="I25" s="133">
        <v>549745.5</v>
      </c>
      <c r="J25" s="129">
        <f t="shared" si="5"/>
        <v>459611.2044493642</v>
      </c>
      <c r="K25" s="175">
        <f t="shared" si="6"/>
        <v>90134.29555063578</v>
      </c>
      <c r="L25" s="233">
        <f t="shared" si="0"/>
        <v>90134.29555063578</v>
      </c>
      <c r="M25" s="182">
        <f t="shared" si="7"/>
        <v>8124191234.409362</v>
      </c>
      <c r="N25" s="216">
        <f t="shared" si="8"/>
        <v>0.16395640446467644</v>
      </c>
      <c r="O25" s="182">
        <f t="shared" si="9"/>
        <v>0.08929875350637996</v>
      </c>
    </row>
    <row r="26" spans="1:15" ht="15.75">
      <c r="A26" s="136" t="s">
        <v>24</v>
      </c>
      <c r="B26" s="43">
        <f t="shared" si="10"/>
        <v>25</v>
      </c>
      <c r="C26" s="50">
        <v>559644.4</v>
      </c>
      <c r="D26" s="24">
        <f>LN(C26)</f>
        <v>13.235056861013442</v>
      </c>
      <c r="E26" s="42">
        <f>LN(B26)</f>
        <v>3.2188758248682006</v>
      </c>
      <c r="F26" s="42">
        <f>E26*E26</f>
        <v>10.361161575920939</v>
      </c>
      <c r="G26" s="42">
        <f>D26*E26</f>
        <v>42.60200457067218</v>
      </c>
      <c r="H26" s="1"/>
      <c r="I26" s="131">
        <v>559644.4</v>
      </c>
      <c r="J26" s="128">
        <f>E$76*B26^(C$77)</f>
        <v>467431.1511839808</v>
      </c>
      <c r="K26" s="173">
        <f>I26-J26</f>
        <v>92213.24881601922</v>
      </c>
      <c r="L26" s="173">
        <f t="shared" si="0"/>
        <v>92213.24881601922</v>
      </c>
      <c r="M26" s="184">
        <f>K26*K26</f>
        <v>8503283257.20507</v>
      </c>
      <c r="N26" s="214">
        <f>L26/I26</f>
        <v>0.1647711454202333</v>
      </c>
      <c r="O26" s="181">
        <f>L26/ABS(I26+J26)</f>
        <v>0.08978234240871437</v>
      </c>
    </row>
    <row r="27" spans="1:15" ht="15.75">
      <c r="A27" s="137" t="s">
        <v>25</v>
      </c>
      <c r="B27" s="45">
        <f t="shared" si="10"/>
        <v>26</v>
      </c>
      <c r="C27" s="51">
        <v>554565.3</v>
      </c>
      <c r="D27" s="28">
        <f t="shared" si="1"/>
        <v>13.22593984259008</v>
      </c>
      <c r="E27" s="47">
        <f t="shared" si="2"/>
        <v>3.258096538021482</v>
      </c>
      <c r="F27" s="47">
        <f t="shared" si="3"/>
        <v>10.615193051067568</v>
      </c>
      <c r="G27" s="47">
        <f t="shared" si="4"/>
        <v>43.091388813223126</v>
      </c>
      <c r="H27" s="1"/>
      <c r="I27" s="132">
        <v>554565.3</v>
      </c>
      <c r="J27" s="127">
        <f t="shared" si="5"/>
        <v>475069.64979847433</v>
      </c>
      <c r="K27" s="174">
        <f t="shared" si="6"/>
        <v>79495.65020152571</v>
      </c>
      <c r="L27" s="174">
        <f t="shared" si="0"/>
        <v>79495.65020152571</v>
      </c>
      <c r="M27" s="184">
        <f t="shared" si="7"/>
        <v>6319558400.963335</v>
      </c>
      <c r="N27" s="215">
        <f t="shared" si="8"/>
        <v>0.14334768187177543</v>
      </c>
      <c r="O27" s="177">
        <f t="shared" si="9"/>
        <v>0.07720760665426618</v>
      </c>
    </row>
    <row r="28" spans="1:15" ht="15.75">
      <c r="A28" s="137" t="s">
        <v>26</v>
      </c>
      <c r="B28" s="45">
        <f t="shared" si="10"/>
        <v>27</v>
      </c>
      <c r="C28" s="51">
        <v>542409.4</v>
      </c>
      <c r="D28" s="28">
        <f t="shared" si="1"/>
        <v>13.203776345841634</v>
      </c>
      <c r="E28" s="47">
        <f t="shared" si="2"/>
        <v>3.295836866004329</v>
      </c>
      <c r="F28" s="47">
        <f t="shared" si="3"/>
        <v>10.862540647313239</v>
      </c>
      <c r="G28" s="47">
        <f t="shared" si="4"/>
        <v>43.51749285110078</v>
      </c>
      <c r="H28" s="1"/>
      <c r="I28" s="132">
        <v>542409.4</v>
      </c>
      <c r="J28" s="127">
        <f t="shared" si="5"/>
        <v>482537.65505000204</v>
      </c>
      <c r="K28" s="174">
        <f t="shared" si="6"/>
        <v>59871.744949997985</v>
      </c>
      <c r="L28" s="174">
        <f t="shared" si="0"/>
        <v>59871.744949997985</v>
      </c>
      <c r="M28" s="184">
        <f t="shared" si="7"/>
        <v>3584625843.3576093</v>
      </c>
      <c r="N28" s="215">
        <f t="shared" si="8"/>
        <v>0.11038109765427735</v>
      </c>
      <c r="O28" s="177">
        <f t="shared" si="9"/>
        <v>0.0584144758063402</v>
      </c>
    </row>
    <row r="29" spans="1:15" ht="16.5" thickBot="1">
      <c r="A29" s="138" t="s">
        <v>27</v>
      </c>
      <c r="B29" s="52">
        <f t="shared" si="10"/>
        <v>28</v>
      </c>
      <c r="C29" s="53">
        <v>536933.7</v>
      </c>
      <c r="D29" s="32">
        <f t="shared" si="1"/>
        <v>13.193629902181582</v>
      </c>
      <c r="E29" s="49">
        <f t="shared" si="2"/>
        <v>3.332204510175204</v>
      </c>
      <c r="F29" s="49">
        <f t="shared" si="3"/>
        <v>11.10358689763197</v>
      </c>
      <c r="G29" s="49">
        <f t="shared" si="4"/>
        <v>43.9638730656319</v>
      </c>
      <c r="H29" s="1"/>
      <c r="I29" s="133">
        <v>536933.7</v>
      </c>
      <c r="J29" s="129">
        <f t="shared" si="5"/>
        <v>489845.0828446398</v>
      </c>
      <c r="K29" s="175">
        <f t="shared" si="6"/>
        <v>47088.617155360174</v>
      </c>
      <c r="L29" s="175">
        <f t="shared" si="0"/>
        <v>47088.617155360174</v>
      </c>
      <c r="M29" s="184">
        <f t="shared" si="7"/>
        <v>2217337865.6040807</v>
      </c>
      <c r="N29" s="216">
        <f t="shared" si="8"/>
        <v>0.08769912776076484</v>
      </c>
      <c r="O29" s="177">
        <f t="shared" si="9"/>
        <v>0.04586052803399725</v>
      </c>
    </row>
    <row r="30" spans="1:15" ht="15.75">
      <c r="A30" s="136" t="s">
        <v>28</v>
      </c>
      <c r="B30" s="43">
        <f t="shared" si="10"/>
        <v>29</v>
      </c>
      <c r="C30" s="50">
        <v>548175</v>
      </c>
      <c r="D30" s="24">
        <f>LN(C30)</f>
        <v>13.214349858016702</v>
      </c>
      <c r="E30" s="42">
        <f>LN(B30)</f>
        <v>3.367295829986474</v>
      </c>
      <c r="F30" s="42">
        <f>E30*E30</f>
        <v>11.338681206644297</v>
      </c>
      <c r="G30" s="42">
        <f>D30*E30</f>
        <v>44.496625172882</v>
      </c>
      <c r="H30" s="1"/>
      <c r="I30" s="131">
        <v>548175</v>
      </c>
      <c r="J30" s="128">
        <f>E$76*B30^(C$77)</f>
        <v>497000.94202644983</v>
      </c>
      <c r="K30" s="173">
        <f>I30-J30</f>
        <v>51174.05797355017</v>
      </c>
      <c r="L30" s="233">
        <f t="shared" si="0"/>
        <v>51174.05797355017</v>
      </c>
      <c r="M30" s="181">
        <f>K30*K30</f>
        <v>2618784209.4802732</v>
      </c>
      <c r="N30" s="214">
        <f>L30/I30</f>
        <v>0.09335350567528648</v>
      </c>
      <c r="O30" s="181">
        <f>L30/ABS(I30+J30)</f>
        <v>0.048962146865274024</v>
      </c>
    </row>
    <row r="31" spans="1:15" ht="15.75">
      <c r="A31" s="137" t="s">
        <v>29</v>
      </c>
      <c r="B31" s="45">
        <f t="shared" si="10"/>
        <v>30</v>
      </c>
      <c r="C31" s="51">
        <v>543395.4</v>
      </c>
      <c r="D31" s="28">
        <f t="shared" si="1"/>
        <v>13.205592510719562</v>
      </c>
      <c r="E31" s="47">
        <f t="shared" si="2"/>
        <v>3.4011973816621555</v>
      </c>
      <c r="F31" s="47">
        <f t="shared" si="3"/>
        <v>11.568143629025503</v>
      </c>
      <c r="G31" s="47">
        <f t="shared" si="4"/>
        <v>44.914826670756746</v>
      </c>
      <c r="H31" s="1"/>
      <c r="I31" s="132">
        <v>543395.4</v>
      </c>
      <c r="J31" s="127">
        <f t="shared" si="5"/>
        <v>504013.4455139555</v>
      </c>
      <c r="K31" s="174">
        <f t="shared" si="6"/>
        <v>39381.95448604453</v>
      </c>
      <c r="L31" s="233">
        <f t="shared" si="0"/>
        <v>39381.95448604453</v>
      </c>
      <c r="M31" s="177">
        <f t="shared" si="7"/>
        <v>1550938339.140883</v>
      </c>
      <c r="N31" s="215">
        <f t="shared" si="8"/>
        <v>0.07247384590676427</v>
      </c>
      <c r="O31" s="177">
        <f t="shared" si="9"/>
        <v>0.037599409872006676</v>
      </c>
    </row>
    <row r="32" spans="1:15" ht="15.75">
      <c r="A32" s="137" t="s">
        <v>30</v>
      </c>
      <c r="B32" s="45">
        <f t="shared" si="10"/>
        <v>31</v>
      </c>
      <c r="C32" s="51">
        <v>547678.9</v>
      </c>
      <c r="D32" s="28">
        <f t="shared" si="1"/>
        <v>13.213444445289895</v>
      </c>
      <c r="E32" s="47">
        <f t="shared" si="2"/>
        <v>3.4339872044851463</v>
      </c>
      <c r="F32" s="47">
        <f t="shared" si="3"/>
        <v>11.79226812056771</v>
      </c>
      <c r="G32" s="47">
        <f t="shared" si="4"/>
        <v>45.37479915230083</v>
      </c>
      <c r="H32" s="1"/>
      <c r="I32" s="132">
        <v>547678.9</v>
      </c>
      <c r="J32" s="127">
        <f t="shared" si="5"/>
        <v>510890.10459634836</v>
      </c>
      <c r="K32" s="174">
        <f t="shared" si="6"/>
        <v>36788.79540365166</v>
      </c>
      <c r="L32" s="233">
        <f t="shared" si="0"/>
        <v>36788.79540365166</v>
      </c>
      <c r="M32" s="177">
        <f t="shared" si="7"/>
        <v>1353415467.2517414</v>
      </c>
      <c r="N32" s="215">
        <f t="shared" si="8"/>
        <v>0.06717219780358831</v>
      </c>
      <c r="O32" s="177">
        <f t="shared" si="9"/>
        <v>0.034753327599724965</v>
      </c>
    </row>
    <row r="33" spans="1:15" ht="16.5" thickBot="1">
      <c r="A33" s="138" t="s">
        <v>31</v>
      </c>
      <c r="B33" s="52">
        <f t="shared" si="10"/>
        <v>32</v>
      </c>
      <c r="C33" s="53">
        <v>549152.9</v>
      </c>
      <c r="D33" s="32">
        <f t="shared" si="1"/>
        <v>13.216132188091194</v>
      </c>
      <c r="E33" s="49">
        <f t="shared" si="2"/>
        <v>3.4657359027997265</v>
      </c>
      <c r="F33" s="49">
        <f t="shared" si="3"/>
        <v>12.011325347955035</v>
      </c>
      <c r="G33" s="49">
        <f t="shared" si="4"/>
        <v>45.803623820414764</v>
      </c>
      <c r="H33" s="1"/>
      <c r="I33" s="133">
        <v>549152.9</v>
      </c>
      <c r="J33" s="129">
        <f t="shared" si="5"/>
        <v>517637.8093985003</v>
      </c>
      <c r="K33" s="175">
        <f t="shared" si="6"/>
        <v>31515.090601499716</v>
      </c>
      <c r="L33" s="233">
        <f t="shared" si="0"/>
        <v>31515.090601499716</v>
      </c>
      <c r="M33" s="182">
        <f t="shared" si="7"/>
        <v>993200935.6207358</v>
      </c>
      <c r="N33" s="216">
        <f t="shared" si="8"/>
        <v>0.057388553536728504</v>
      </c>
      <c r="O33" s="182">
        <f t="shared" si="9"/>
        <v>0.029541962002339894</v>
      </c>
    </row>
    <row r="34" spans="1:15" ht="15.75">
      <c r="A34" s="136" t="s">
        <v>32</v>
      </c>
      <c r="B34" s="45">
        <f t="shared" si="10"/>
        <v>33</v>
      </c>
      <c r="C34" s="50">
        <v>568758.9</v>
      </c>
      <c r="D34" s="24">
        <f>LN(C34)</f>
        <v>13.251211897476512</v>
      </c>
      <c r="E34" s="42">
        <f>LN(B34)</f>
        <v>3.4965075614664802</v>
      </c>
      <c r="F34" s="42">
        <f>E34*E34</f>
        <v>12.225565127392272</v>
      </c>
      <c r="G34" s="42">
        <f>D34*E34</f>
        <v>46.33296259812121</v>
      </c>
      <c r="H34" s="1"/>
      <c r="I34" s="131">
        <v>568758.9</v>
      </c>
      <c r="J34" s="128">
        <f>E$76*B34^(C$77)</f>
        <v>524262.8979095202</v>
      </c>
      <c r="K34" s="173">
        <f>I34-J34</f>
        <v>44496.00209047983</v>
      </c>
      <c r="L34" s="173">
        <f aca="true" t="shared" si="11" ref="L34:L61">ABS(K34)</f>
        <v>44496.00209047983</v>
      </c>
      <c r="M34" s="184">
        <f>K34*K34</f>
        <v>1979894202.0359852</v>
      </c>
      <c r="N34" s="214">
        <f>L34/I34</f>
        <v>0.07823350472490158</v>
      </c>
      <c r="O34" s="181">
        <f>L34/ABS(I34+J34)</f>
        <v>0.04070916259454433</v>
      </c>
    </row>
    <row r="35" spans="1:15" ht="15.75">
      <c r="A35" s="137" t="s">
        <v>33</v>
      </c>
      <c r="B35" s="45">
        <f t="shared" si="10"/>
        <v>34</v>
      </c>
      <c r="C35" s="51">
        <v>583195.2</v>
      </c>
      <c r="D35" s="28">
        <f t="shared" si="1"/>
        <v>13.27627722919004</v>
      </c>
      <c r="E35" s="47">
        <f t="shared" si="2"/>
        <v>3.5263605246161616</v>
      </c>
      <c r="F35" s="47">
        <f t="shared" si="3"/>
        <v>12.43521854957117</v>
      </c>
      <c r="G35" s="47">
        <f t="shared" si="4"/>
        <v>46.81693993487619</v>
      </c>
      <c r="H35" s="1"/>
      <c r="I35" s="132">
        <v>583195.2</v>
      </c>
      <c r="J35" s="127">
        <f t="shared" si="5"/>
        <v>530771.2154953965</v>
      </c>
      <c r="K35" s="174">
        <f t="shared" si="6"/>
        <v>52423.98450460343</v>
      </c>
      <c r="L35" s="174">
        <f t="shared" si="11"/>
        <v>52423.98450460343</v>
      </c>
      <c r="M35" s="184">
        <f t="shared" si="7"/>
        <v>2748274151.3389006</v>
      </c>
      <c r="N35" s="215">
        <f t="shared" si="8"/>
        <v>0.08989097390479797</v>
      </c>
      <c r="O35" s="177">
        <f t="shared" si="9"/>
        <v>0.04706065081979132</v>
      </c>
    </row>
    <row r="36" spans="1:15" ht="15.75">
      <c r="A36" s="137" t="s">
        <v>34</v>
      </c>
      <c r="B36" s="45">
        <f aca="true" t="shared" si="12" ref="B36:B58">B35+1</f>
        <v>35</v>
      </c>
      <c r="C36" s="51">
        <v>589675.9</v>
      </c>
      <c r="D36" s="28">
        <f t="shared" si="1"/>
        <v>13.287328342915378</v>
      </c>
      <c r="E36" s="47">
        <f t="shared" si="2"/>
        <v>3.5553480614894135</v>
      </c>
      <c r="F36" s="47">
        <f t="shared" si="3"/>
        <v>12.640499838336531</v>
      </c>
      <c r="G36" s="47">
        <f t="shared" si="4"/>
        <v>47.24107706635753</v>
      </c>
      <c r="H36" s="1"/>
      <c r="I36" s="132">
        <v>589675.9</v>
      </c>
      <c r="J36" s="127">
        <f t="shared" si="5"/>
        <v>537168.1664470732</v>
      </c>
      <c r="K36" s="174">
        <f t="shared" si="6"/>
        <v>52507.7335529268</v>
      </c>
      <c r="L36" s="174">
        <f t="shared" si="11"/>
        <v>52507.7335529268</v>
      </c>
      <c r="M36" s="184">
        <f t="shared" si="7"/>
        <v>2757062082.865155</v>
      </c>
      <c r="N36" s="215">
        <f t="shared" si="8"/>
        <v>0.08904507298488339</v>
      </c>
      <c r="O36" s="177">
        <f t="shared" si="9"/>
        <v>0.046597160260587876</v>
      </c>
    </row>
    <row r="37" spans="1:15" ht="16.5" thickBot="1">
      <c r="A37" s="138" t="s">
        <v>35</v>
      </c>
      <c r="B37" s="45">
        <f t="shared" si="12"/>
        <v>36</v>
      </c>
      <c r="C37" s="53">
        <v>595970.9</v>
      </c>
      <c r="D37" s="32">
        <f t="shared" si="1"/>
        <v>13.297947119352127</v>
      </c>
      <c r="E37" s="49">
        <f t="shared" si="2"/>
        <v>3.58351893845611</v>
      </c>
      <c r="F37" s="49">
        <f t="shared" si="3"/>
        <v>12.841607982273604</v>
      </c>
      <c r="G37" s="49">
        <f t="shared" si="4"/>
        <v>47.65344534478622</v>
      </c>
      <c r="H37" s="1"/>
      <c r="I37" s="133">
        <v>595970.9</v>
      </c>
      <c r="J37" s="129">
        <f t="shared" si="5"/>
        <v>543458.7588255602</v>
      </c>
      <c r="K37" s="175">
        <f t="shared" si="6"/>
        <v>52512.14117443981</v>
      </c>
      <c r="L37" s="175">
        <f t="shared" si="11"/>
        <v>52512.14117443981</v>
      </c>
      <c r="M37" s="184">
        <f t="shared" si="7"/>
        <v>2757524970.7242966</v>
      </c>
      <c r="N37" s="216">
        <f t="shared" si="8"/>
        <v>0.08811192152912131</v>
      </c>
      <c r="O37" s="177">
        <f t="shared" si="9"/>
        <v>0.046086338693838665</v>
      </c>
    </row>
    <row r="38" spans="1:15" ht="15.75">
      <c r="A38" s="136" t="s">
        <v>36</v>
      </c>
      <c r="B38" s="43">
        <f t="shared" si="12"/>
        <v>37</v>
      </c>
      <c r="C38" s="50">
        <v>596536.5</v>
      </c>
      <c r="D38" s="24">
        <f>LN(C38)</f>
        <v>13.298895708924674</v>
      </c>
      <c r="E38" s="42">
        <f>LN(B38)</f>
        <v>3.6109179126442243</v>
      </c>
      <c r="F38" s="42">
        <f>E38*E38</f>
        <v>13.038728171854922</v>
      </c>
      <c r="G38" s="42">
        <f>D38*E38</f>
        <v>48.02122073374351</v>
      </c>
      <c r="H38" s="1"/>
      <c r="I38" s="131">
        <v>596536.5</v>
      </c>
      <c r="J38" s="128">
        <f>E$76*B38^(C$77)</f>
        <v>549647.6436365355</v>
      </c>
      <c r="K38" s="173">
        <f>I38-J38</f>
        <v>46888.856363464496</v>
      </c>
      <c r="L38" s="233">
        <f t="shared" si="11"/>
        <v>46888.856363464496</v>
      </c>
      <c r="M38" s="181">
        <f>K38*K38</f>
        <v>2198564851.073605</v>
      </c>
      <c r="N38" s="214">
        <f>L38/I38</f>
        <v>0.07860182296215654</v>
      </c>
      <c r="O38" s="181">
        <f>L38/ABS(I38+J38)</f>
        <v>0.04090865906999787</v>
      </c>
    </row>
    <row r="39" spans="1:15" ht="15.75">
      <c r="A39" s="137" t="s">
        <v>37</v>
      </c>
      <c r="B39" s="45">
        <f t="shared" si="12"/>
        <v>38</v>
      </c>
      <c r="C39" s="51">
        <v>594155.3</v>
      </c>
      <c r="D39" s="28">
        <f t="shared" si="1"/>
        <v>13.294896011984706</v>
      </c>
      <c r="E39" s="47">
        <f t="shared" si="2"/>
        <v>3.6375861597263857</v>
      </c>
      <c r="F39" s="47">
        <f t="shared" si="3"/>
        <v>13.232033069432955</v>
      </c>
      <c r="G39" s="47">
        <f t="shared" si="4"/>
        <v>48.361329728197084</v>
      </c>
      <c r="H39" s="1"/>
      <c r="I39" s="132">
        <v>594155.3</v>
      </c>
      <c r="J39" s="127">
        <f t="shared" si="5"/>
        <v>555739.1491844258</v>
      </c>
      <c r="K39" s="174">
        <f t="shared" si="6"/>
        <v>38416.15081557422</v>
      </c>
      <c r="L39" s="233">
        <f t="shared" si="11"/>
        <v>38416.15081557422</v>
      </c>
      <c r="M39" s="177">
        <f t="shared" si="7"/>
        <v>1475800643.4849439</v>
      </c>
      <c r="N39" s="215">
        <f t="shared" si="8"/>
        <v>0.06465675020583712</v>
      </c>
      <c r="O39" s="177">
        <f t="shared" si="9"/>
        <v>0.0334084148704442</v>
      </c>
    </row>
    <row r="40" spans="1:15" ht="15.75">
      <c r="A40" s="137" t="s">
        <v>38</v>
      </c>
      <c r="B40" s="45">
        <f t="shared" si="12"/>
        <v>39</v>
      </c>
      <c r="C40" s="51">
        <v>580665.6</v>
      </c>
      <c r="D40" s="28">
        <f t="shared" si="1"/>
        <v>13.271930310755787</v>
      </c>
      <c r="E40" s="47">
        <f t="shared" si="2"/>
        <v>3.6635616461296463</v>
      </c>
      <c r="F40" s="47">
        <f t="shared" si="3"/>
        <v>13.421683934992164</v>
      </c>
      <c r="G40" s="47">
        <f t="shared" si="4"/>
        <v>48.62253485659042</v>
      </c>
      <c r="H40" s="1"/>
      <c r="I40" s="132">
        <v>580665.6</v>
      </c>
      <c r="J40" s="127">
        <f t="shared" si="5"/>
        <v>561737.3113096427</v>
      </c>
      <c r="K40" s="174">
        <f t="shared" si="6"/>
        <v>18928.288690357236</v>
      </c>
      <c r="L40" s="233">
        <f t="shared" si="11"/>
        <v>18928.288690357236</v>
      </c>
      <c r="M40" s="177">
        <f t="shared" si="7"/>
        <v>358280112.74550563</v>
      </c>
      <c r="N40" s="215">
        <f t="shared" si="8"/>
        <v>0.03259757197663722</v>
      </c>
      <c r="O40" s="177">
        <f t="shared" si="9"/>
        <v>0.016568837931844885</v>
      </c>
    </row>
    <row r="41" spans="1:15" ht="16.5" thickBot="1">
      <c r="A41" s="138" t="s">
        <v>39</v>
      </c>
      <c r="B41" s="52">
        <f t="shared" si="12"/>
        <v>40</v>
      </c>
      <c r="C41" s="53">
        <v>567335.8</v>
      </c>
      <c r="D41" s="32">
        <f t="shared" si="1"/>
        <v>13.248706647263981</v>
      </c>
      <c r="E41" s="49">
        <f t="shared" si="2"/>
        <v>3.6888794541139363</v>
      </c>
      <c r="F41" s="49">
        <f t="shared" si="3"/>
        <v>13.607831626983932</v>
      </c>
      <c r="G41" s="49">
        <f t="shared" si="4"/>
        <v>48.872881744674835</v>
      </c>
      <c r="H41" s="1"/>
      <c r="I41" s="133">
        <v>567335.8</v>
      </c>
      <c r="J41" s="129">
        <f t="shared" si="5"/>
        <v>567645.9000946254</v>
      </c>
      <c r="K41" s="175">
        <f t="shared" si="6"/>
        <v>-310.1000946253771</v>
      </c>
      <c r="L41" s="233">
        <f t="shared" si="11"/>
        <v>310.1000946253771</v>
      </c>
      <c r="M41" s="182">
        <f t="shared" si="7"/>
        <v>96162.06868666783</v>
      </c>
      <c r="N41" s="216">
        <f t="shared" si="8"/>
        <v>0.0005465900347296558</v>
      </c>
      <c r="O41" s="182">
        <f t="shared" si="9"/>
        <v>0.0002732203476051848</v>
      </c>
    </row>
    <row r="42" spans="1:15" ht="15.75">
      <c r="A42" s="136" t="s">
        <v>40</v>
      </c>
      <c r="B42" s="45">
        <f t="shared" si="12"/>
        <v>41</v>
      </c>
      <c r="C42" s="50">
        <v>560701.5</v>
      </c>
      <c r="D42" s="24">
        <f>LN(C42)</f>
        <v>13.23694395733558</v>
      </c>
      <c r="E42" s="42">
        <f>LN(B42)</f>
        <v>3.713572066704308</v>
      </c>
      <c r="F42" s="42">
        <f>E42*E42</f>
        <v>13.790617494606504</v>
      </c>
      <c r="G42" s="42">
        <f>D42*E42</f>
        <v>49.15634532849179</v>
      </c>
      <c r="H42" s="1"/>
      <c r="I42" s="131">
        <v>560701.5</v>
      </c>
      <c r="J42" s="128">
        <f>E$76*B42^(C$77)</f>
        <v>573468.4435285443</v>
      </c>
      <c r="K42" s="173">
        <f>I42-J42</f>
        <v>-12766.943528544274</v>
      </c>
      <c r="L42" s="173">
        <f t="shared" si="11"/>
        <v>12766.943528544274</v>
      </c>
      <c r="M42" s="184">
        <f>K42*K42</f>
        <v>162994847.06103852</v>
      </c>
      <c r="N42" s="214">
        <f>L42/I42</f>
        <v>0.022769590465772385</v>
      </c>
      <c r="O42" s="181">
        <f>L42/ABS(I42+J42)</f>
        <v>0.011256640683692181</v>
      </c>
    </row>
    <row r="43" spans="1:15" ht="15.75">
      <c r="A43" s="137" t="s">
        <v>41</v>
      </c>
      <c r="B43" s="45">
        <f t="shared" si="12"/>
        <v>42</v>
      </c>
      <c r="C43" s="51">
        <v>553728.3</v>
      </c>
      <c r="D43" s="28">
        <f t="shared" si="1"/>
        <v>13.224429412214722</v>
      </c>
      <c r="E43" s="47">
        <f t="shared" si="2"/>
        <v>3.7376696182833684</v>
      </c>
      <c r="F43" s="47">
        <f t="shared" si="3"/>
        <v>13.97017417543854</v>
      </c>
      <c r="G43" s="47">
        <f t="shared" si="4"/>
        <v>49.42854803316795</v>
      </c>
      <c r="H43" s="1"/>
      <c r="I43" s="132">
        <v>553728.3</v>
      </c>
      <c r="J43" s="127">
        <f t="shared" si="5"/>
        <v>579208.24854234</v>
      </c>
      <c r="K43" s="174">
        <f t="shared" si="6"/>
        <v>-25479.94854233996</v>
      </c>
      <c r="L43" s="174">
        <f t="shared" si="11"/>
        <v>25479.94854233996</v>
      </c>
      <c r="M43" s="184">
        <f t="shared" si="7"/>
        <v>649227777.7202922</v>
      </c>
      <c r="N43" s="215">
        <f t="shared" si="8"/>
        <v>0.046015254308548</v>
      </c>
      <c r="O43" s="177">
        <f t="shared" si="9"/>
        <v>0.02249018144495647</v>
      </c>
    </row>
    <row r="44" spans="1:15" ht="15.75">
      <c r="A44" s="137" t="s">
        <v>42</v>
      </c>
      <c r="B44" s="45">
        <f t="shared" si="12"/>
        <v>43</v>
      </c>
      <c r="C44" s="51">
        <v>548450.7</v>
      </c>
      <c r="D44" s="28">
        <f t="shared" si="1"/>
        <v>13.214852673162852</v>
      </c>
      <c r="E44" s="47">
        <f t="shared" si="2"/>
        <v>3.7612001156935624</v>
      </c>
      <c r="F44" s="47">
        <f t="shared" si="3"/>
        <v>14.146626310293268</v>
      </c>
      <c r="G44" s="47">
        <f t="shared" si="4"/>
        <v>49.7037054031735</v>
      </c>
      <c r="H44" s="1"/>
      <c r="I44" s="132">
        <v>548450.7</v>
      </c>
      <c r="J44" s="127">
        <f t="shared" si="5"/>
        <v>584868.4197616256</v>
      </c>
      <c r="K44" s="174">
        <f t="shared" si="6"/>
        <v>-36417.71976162563</v>
      </c>
      <c r="L44" s="174">
        <f t="shared" si="11"/>
        <v>36417.71976162563</v>
      </c>
      <c r="M44" s="184">
        <f t="shared" si="7"/>
        <v>1326250312.636298</v>
      </c>
      <c r="N44" s="215">
        <f t="shared" si="8"/>
        <v>0.06640108174103093</v>
      </c>
      <c r="O44" s="177">
        <f t="shared" si="9"/>
        <v>0.032133685143585576</v>
      </c>
    </row>
    <row r="45" spans="1:15" ht="16.5" thickBot="1">
      <c r="A45" s="138" t="s">
        <v>43</v>
      </c>
      <c r="B45" s="45">
        <f t="shared" si="12"/>
        <v>44</v>
      </c>
      <c r="C45" s="51">
        <v>558026.2</v>
      </c>
      <c r="D45" s="32">
        <f t="shared" si="1"/>
        <v>13.232161193666188</v>
      </c>
      <c r="E45" s="49">
        <f t="shared" si="2"/>
        <v>3.784189633918261</v>
      </c>
      <c r="F45" s="49">
        <f t="shared" si="3"/>
        <v>14.320091185454423</v>
      </c>
      <c r="G45" s="49">
        <f t="shared" si="4"/>
        <v>50.073007223407075</v>
      </c>
      <c r="H45" s="1"/>
      <c r="I45" s="132">
        <v>558026.2</v>
      </c>
      <c r="J45" s="129">
        <f t="shared" si="5"/>
        <v>590451.8762720712</v>
      </c>
      <c r="K45" s="175">
        <f t="shared" si="6"/>
        <v>-32425.6762720712</v>
      </c>
      <c r="L45" s="175">
        <f t="shared" si="11"/>
        <v>32425.6762720712</v>
      </c>
      <c r="M45" s="184">
        <f t="shared" si="7"/>
        <v>1051424481.7011611</v>
      </c>
      <c r="N45" s="216">
        <f t="shared" si="8"/>
        <v>0.05810780259434271</v>
      </c>
      <c r="O45" s="177">
        <f t="shared" si="9"/>
        <v>0.028233604926377064</v>
      </c>
    </row>
    <row r="46" spans="1:15" ht="15.75">
      <c r="A46" s="136" t="s">
        <v>44</v>
      </c>
      <c r="B46" s="43">
        <f t="shared" si="12"/>
        <v>45</v>
      </c>
      <c r="C46" s="50">
        <v>557442.5</v>
      </c>
      <c r="D46" s="24">
        <f>LN(C46)</f>
        <v>13.231114637983763</v>
      </c>
      <c r="E46" s="42">
        <f>LN(B46)</f>
        <v>3.8066624897703196</v>
      </c>
      <c r="F46" s="42">
        <f>E46*E46</f>
        <v>14.490679311024369</v>
      </c>
      <c r="G46" s="42">
        <f>D46*E46</f>
        <v>50.36638779026379</v>
      </c>
      <c r="H46" s="1"/>
      <c r="I46" s="131">
        <v>557442.5</v>
      </c>
      <c r="J46" s="128">
        <f>E$76*B46^(C$77)</f>
        <v>595961.3666480695</v>
      </c>
      <c r="K46" s="173">
        <f>I46-J46</f>
        <v>-38518.86664806947</v>
      </c>
      <c r="L46" s="233">
        <f t="shared" si="11"/>
        <v>38518.86664806947</v>
      </c>
      <c r="M46" s="181">
        <f>K46*K46</f>
        <v>1483703087.8517582</v>
      </c>
      <c r="N46" s="214">
        <f>L46/I46</f>
        <v>0.0690992643152782</v>
      </c>
      <c r="O46" s="181">
        <f>L46/ABS(I46+J46)</f>
        <v>0.03339581889907299</v>
      </c>
    </row>
    <row r="47" spans="1:15" ht="15.75">
      <c r="A47" s="137" t="s">
        <v>45</v>
      </c>
      <c r="B47" s="45">
        <f t="shared" si="12"/>
        <v>46</v>
      </c>
      <c r="C47" s="51">
        <v>563668.2</v>
      </c>
      <c r="D47" s="28">
        <f t="shared" si="1"/>
        <v>13.242221059492763</v>
      </c>
      <c r="E47" s="47">
        <f t="shared" si="2"/>
        <v>3.828641396489095</v>
      </c>
      <c r="F47" s="47">
        <f t="shared" si="3"/>
        <v>14.658494942909968</v>
      </c>
      <c r="G47" s="47">
        <f t="shared" si="4"/>
        <v>50.69971572983368</v>
      </c>
      <c r="H47" s="1"/>
      <c r="I47" s="132">
        <v>563668.2</v>
      </c>
      <c r="J47" s="127">
        <f t="shared" si="5"/>
        <v>601399.482458979</v>
      </c>
      <c r="K47" s="174">
        <f t="shared" si="6"/>
        <v>-37731.282458979054</v>
      </c>
      <c r="L47" s="233">
        <f t="shared" si="11"/>
        <v>37731.282458979054</v>
      </c>
      <c r="M47" s="177">
        <f t="shared" si="7"/>
        <v>1423649675.9992604</v>
      </c>
      <c r="N47" s="215">
        <f t="shared" si="8"/>
        <v>0.06693881694759267</v>
      </c>
      <c r="O47" s="177">
        <f t="shared" si="9"/>
        <v>0.03238548543321004</v>
      </c>
    </row>
    <row r="48" spans="1:15" ht="15.75">
      <c r="A48" s="137" t="s">
        <v>46</v>
      </c>
      <c r="B48" s="45">
        <f t="shared" si="12"/>
        <v>47</v>
      </c>
      <c r="C48" s="51">
        <v>569176.8</v>
      </c>
      <c r="D48" s="28">
        <f t="shared" si="1"/>
        <v>13.251946385407221</v>
      </c>
      <c r="E48" s="47">
        <f t="shared" si="2"/>
        <v>3.8501476017100584</v>
      </c>
      <c r="F48" s="47">
        <f t="shared" si="3"/>
        <v>14.823636554953715</v>
      </c>
      <c r="G48" s="47">
        <f t="shared" si="4"/>
        <v>51.02194959376589</v>
      </c>
      <c r="H48" s="1"/>
      <c r="I48" s="132">
        <v>569176.8</v>
      </c>
      <c r="J48" s="127">
        <f t="shared" si="5"/>
        <v>606768.6704367455</v>
      </c>
      <c r="K48" s="174">
        <f t="shared" si="6"/>
        <v>-37591.87043674546</v>
      </c>
      <c r="L48" s="233">
        <f t="shared" si="11"/>
        <v>37591.87043674546</v>
      </c>
      <c r="M48" s="177">
        <f t="shared" si="7"/>
        <v>1413148722.9330575</v>
      </c>
      <c r="N48" s="215">
        <f t="shared" si="8"/>
        <v>0.06604603426693685</v>
      </c>
      <c r="O48" s="177">
        <f t="shared" si="9"/>
        <v>0.031967358505819034</v>
      </c>
    </row>
    <row r="49" spans="1:15" ht="16.5" thickBot="1">
      <c r="A49" s="138" t="s">
        <v>47</v>
      </c>
      <c r="B49" s="52">
        <f t="shared" si="12"/>
        <v>48</v>
      </c>
      <c r="C49" s="51">
        <v>587564.8</v>
      </c>
      <c r="D49" s="32">
        <f t="shared" si="1"/>
        <v>13.283741816790428</v>
      </c>
      <c r="E49" s="49">
        <f t="shared" si="2"/>
        <v>3.871201010907891</v>
      </c>
      <c r="F49" s="49">
        <f t="shared" si="3"/>
        <v>14.986197266854278</v>
      </c>
      <c r="G49" s="49">
        <f t="shared" si="4"/>
        <v>51.42403474979853</v>
      </c>
      <c r="H49" s="1"/>
      <c r="I49" s="132">
        <v>587564.8</v>
      </c>
      <c r="J49" s="129">
        <f t="shared" si="5"/>
        <v>612071.24346309</v>
      </c>
      <c r="K49" s="175">
        <f t="shared" si="6"/>
        <v>-24506.443463089992</v>
      </c>
      <c r="L49" s="233">
        <f t="shared" si="11"/>
        <v>24506.443463089992</v>
      </c>
      <c r="M49" s="182">
        <f t="shared" si="7"/>
        <v>600565771.2096262</v>
      </c>
      <c r="N49" s="216">
        <f t="shared" si="8"/>
        <v>0.04170849489807761</v>
      </c>
      <c r="O49" s="182">
        <f t="shared" si="9"/>
        <v>0.02042823204306632</v>
      </c>
    </row>
    <row r="50" spans="1:15" ht="15.75">
      <c r="A50" s="136" t="s">
        <v>48</v>
      </c>
      <c r="B50" s="23">
        <f t="shared" si="12"/>
        <v>49</v>
      </c>
      <c r="C50" s="24">
        <v>584631.3</v>
      </c>
      <c r="D50" s="24">
        <f>LN(C50)</f>
        <v>13.278736671108675</v>
      </c>
      <c r="E50" s="42">
        <f>LN(B50)</f>
        <v>3.8918202981106265</v>
      </c>
      <c r="F50" s="42">
        <f>E50*E50</f>
        <v>15.146265232785886</v>
      </c>
      <c r="G50" s="42">
        <f>D50*E50</f>
        <v>51.67845690988667</v>
      </c>
      <c r="H50" s="1"/>
      <c r="I50" s="131">
        <v>584631.3</v>
      </c>
      <c r="J50" s="128">
        <f>E$76*B50^(C$77)</f>
        <v>617309.3905128661</v>
      </c>
      <c r="K50" s="173">
        <f>I50-J50</f>
        <v>-32678.090512866038</v>
      </c>
      <c r="L50" s="173">
        <f t="shared" si="11"/>
        <v>32678.090512866038</v>
      </c>
      <c r="M50" s="184">
        <f>K50*K50</f>
        <v>1067857599.5670654</v>
      </c>
      <c r="N50" s="214">
        <f>L50/I50</f>
        <v>0.055895212098404645</v>
      </c>
      <c r="O50" s="181">
        <f>L50/ABS(I50+J50)</f>
        <v>0.02718777288330454</v>
      </c>
    </row>
    <row r="51" spans="1:15" ht="15.75">
      <c r="A51" s="137" t="s">
        <v>49</v>
      </c>
      <c r="B51" s="27">
        <f t="shared" si="12"/>
        <v>50</v>
      </c>
      <c r="C51" s="28">
        <v>589489.7</v>
      </c>
      <c r="D51" s="28">
        <f t="shared" si="1"/>
        <v>13.287012526372651</v>
      </c>
      <c r="E51" s="47">
        <f t="shared" si="2"/>
        <v>3.912023005428146</v>
      </c>
      <c r="F51" s="47">
        <f t="shared" si="3"/>
        <v>15.303923994999064</v>
      </c>
      <c r="G51" s="47">
        <f t="shared" si="4"/>
        <v>51.97909867658176</v>
      </c>
      <c r="H51" s="1"/>
      <c r="I51" s="132">
        <v>589489.7</v>
      </c>
      <c r="J51" s="127">
        <f t="shared" si="5"/>
        <v>622485.185671932</v>
      </c>
      <c r="K51" s="174">
        <f t="shared" si="6"/>
        <v>-32995.485671931994</v>
      </c>
      <c r="L51" s="174">
        <f t="shared" si="11"/>
        <v>32995.485671931994</v>
      </c>
      <c r="M51" s="184">
        <f t="shared" si="7"/>
        <v>1088702074.7266695</v>
      </c>
      <c r="N51" s="215">
        <f t="shared" si="8"/>
        <v>0.055972963856589855</v>
      </c>
      <c r="O51" s="177">
        <f t="shared" si="9"/>
        <v>0.02722456220999905</v>
      </c>
    </row>
    <row r="52" spans="1:15" ht="15.75">
      <c r="A52" s="137" t="s">
        <v>50</v>
      </c>
      <c r="B52" s="27">
        <f t="shared" si="12"/>
        <v>51</v>
      </c>
      <c r="C52" s="28">
        <v>582149.8</v>
      </c>
      <c r="D52" s="28">
        <f t="shared" si="1"/>
        <v>13.274483081911036</v>
      </c>
      <c r="E52" s="47">
        <f t="shared" si="2"/>
        <v>3.9318256327243257</v>
      </c>
      <c r="F52" s="47">
        <f t="shared" si="3"/>
        <v>15.459252806148044</v>
      </c>
      <c r="G52" s="47">
        <f t="shared" si="4"/>
        <v>52.192952842623214</v>
      </c>
      <c r="H52" s="1"/>
      <c r="I52" s="132">
        <v>582149.8</v>
      </c>
      <c r="J52" s="127">
        <f t="shared" si="5"/>
        <v>627600.5963323748</v>
      </c>
      <c r="K52" s="174">
        <f t="shared" si="6"/>
        <v>-45450.7963323748</v>
      </c>
      <c r="L52" s="174">
        <f t="shared" si="11"/>
        <v>45450.7963323748</v>
      </c>
      <c r="M52" s="184">
        <f t="shared" si="7"/>
        <v>2065774887.2470143</v>
      </c>
      <c r="N52" s="215">
        <f t="shared" si="8"/>
        <v>0.0780740564239218</v>
      </c>
      <c r="O52" s="177">
        <f t="shared" si="9"/>
        <v>0.03757039176855731</v>
      </c>
    </row>
    <row r="53" spans="1:15" ht="16.5" thickBot="1">
      <c r="A53" s="138" t="s">
        <v>51</v>
      </c>
      <c r="B53" s="31">
        <f t="shared" si="12"/>
        <v>52</v>
      </c>
      <c r="C53" s="28">
        <v>599177.5</v>
      </c>
      <c r="D53" s="32">
        <f t="shared" si="1"/>
        <v>13.303313160413369</v>
      </c>
      <c r="E53" s="49">
        <f t="shared" si="2"/>
        <v>3.9512437185814275</v>
      </c>
      <c r="F53" s="49">
        <f t="shared" si="3"/>
        <v>15.612326923629187</v>
      </c>
      <c r="G53" s="49">
        <f t="shared" si="4"/>
        <v>52.56463256140496</v>
      </c>
      <c r="H53" s="1"/>
      <c r="I53" s="132">
        <v>599177.5</v>
      </c>
      <c r="J53" s="129">
        <f t="shared" si="5"/>
        <v>632657.4906547171</v>
      </c>
      <c r="K53" s="175">
        <f t="shared" si="6"/>
        <v>-33479.99065471708</v>
      </c>
      <c r="L53" s="175">
        <f t="shared" si="11"/>
        <v>33479.99065471708</v>
      </c>
      <c r="M53" s="184">
        <f t="shared" si="7"/>
        <v>1120909774.2399433</v>
      </c>
      <c r="N53" s="216">
        <f t="shared" si="8"/>
        <v>0.05587658190555734</v>
      </c>
      <c r="O53" s="177">
        <f t="shared" si="9"/>
        <v>0.027178957334961357</v>
      </c>
    </row>
    <row r="54" spans="1:15" ht="15.75">
      <c r="A54" s="136" t="s">
        <v>52</v>
      </c>
      <c r="B54" s="23">
        <f t="shared" si="12"/>
        <v>53</v>
      </c>
      <c r="C54" s="24">
        <v>597108</v>
      </c>
      <c r="D54" s="24">
        <f>LN(C54)</f>
        <v>13.299853280536102</v>
      </c>
      <c r="E54" s="42">
        <f>LN(B54)</f>
        <v>3.970291913552122</v>
      </c>
      <c r="F54" s="42">
        <f>E54*E54</f>
        <v>15.76321787881737</v>
      </c>
      <c r="G54" s="42">
        <f>D54*E54</f>
        <v>52.80429993114215</v>
      </c>
      <c r="H54" s="1"/>
      <c r="I54" s="131">
        <v>597108</v>
      </c>
      <c r="J54" s="128">
        <f>E$76*B54^(C$77)</f>
        <v>637657.6443754366</v>
      </c>
      <c r="K54" s="173">
        <f>I54-J54</f>
        <v>-40549.64437543659</v>
      </c>
      <c r="L54" s="233">
        <f t="shared" si="11"/>
        <v>40549.64437543659</v>
      </c>
      <c r="M54" s="181">
        <f>K54*K54</f>
        <v>1644273658.9743762</v>
      </c>
      <c r="N54" s="214">
        <f>L54/I54</f>
        <v>0.0679100671493877</v>
      </c>
      <c r="O54" s="181">
        <f>L54/ABS(I54+J54)</f>
        <v>0.03283995190516272</v>
      </c>
    </row>
    <row r="55" spans="1:15" ht="15.75">
      <c r="A55" s="137" t="s">
        <v>53</v>
      </c>
      <c r="B55" s="27">
        <f t="shared" si="12"/>
        <v>54</v>
      </c>
      <c r="C55" s="28">
        <v>604796.4</v>
      </c>
      <c r="D55" s="28">
        <f t="shared" si="1"/>
        <v>13.312647151448793</v>
      </c>
      <c r="E55" s="47">
        <f t="shared" si="2"/>
        <v>3.9889840465642745</v>
      </c>
      <c r="F55" s="47">
        <f t="shared" si="3"/>
        <v>15.911993723744294</v>
      </c>
      <c r="G55" s="47">
        <f t="shared" si="4"/>
        <v>53.10393710466857</v>
      </c>
      <c r="H55" s="1"/>
      <c r="I55" s="132">
        <v>604796.4</v>
      </c>
      <c r="J55" s="127">
        <f t="shared" si="5"/>
        <v>642602.7470284551</v>
      </c>
      <c r="K55" s="174">
        <f t="shared" si="6"/>
        <v>-37806.347028455115</v>
      </c>
      <c r="L55" s="233">
        <f t="shared" si="11"/>
        <v>37806.347028455115</v>
      </c>
      <c r="M55" s="177">
        <f t="shared" si="7"/>
        <v>1429319875.6359768</v>
      </c>
      <c r="N55" s="215">
        <f t="shared" si="8"/>
        <v>0.06251086651384682</v>
      </c>
      <c r="O55" s="177">
        <f t="shared" si="9"/>
        <v>0.030308139233954996</v>
      </c>
    </row>
    <row r="56" spans="1:15" ht="15.75">
      <c r="A56" s="137" t="s">
        <v>54</v>
      </c>
      <c r="B56" s="27">
        <f t="shared" si="12"/>
        <v>55</v>
      </c>
      <c r="C56" s="28">
        <v>606284.6</v>
      </c>
      <c r="D56" s="28">
        <f t="shared" si="1"/>
        <v>13.315104791770224</v>
      </c>
      <c r="E56" s="47">
        <f t="shared" si="2"/>
        <v>4.007333185232471</v>
      </c>
      <c r="F56" s="47">
        <f t="shared" si="3"/>
        <v>16.058719257465423</v>
      </c>
      <c r="G56" s="47">
        <f t="shared" si="4"/>
        <v>53.358061296908716</v>
      </c>
      <c r="H56" s="1"/>
      <c r="I56" s="132">
        <v>606284.6</v>
      </c>
      <c r="J56" s="127">
        <f t="shared" si="5"/>
        <v>647494.4076409102</v>
      </c>
      <c r="K56" s="174">
        <f t="shared" si="6"/>
        <v>-41209.807640910265</v>
      </c>
      <c r="L56" s="233">
        <f t="shared" si="11"/>
        <v>41209.807640910265</v>
      </c>
      <c r="M56" s="177">
        <f t="shared" si="7"/>
        <v>1698248245.800826</v>
      </c>
      <c r="N56" s="215">
        <f t="shared" si="8"/>
        <v>0.06797106118299931</v>
      </c>
      <c r="O56" s="177">
        <f t="shared" si="9"/>
        <v>0.03286847792933617</v>
      </c>
    </row>
    <row r="57" spans="1:15" ht="16.5" thickBot="1">
      <c r="A57" s="138" t="s">
        <v>55</v>
      </c>
      <c r="B57" s="31">
        <f t="shared" si="12"/>
        <v>56</v>
      </c>
      <c r="C57" s="28">
        <v>630641.9</v>
      </c>
      <c r="D57" s="32">
        <f t="shared" si="1"/>
        <v>13.354493468541632</v>
      </c>
      <c r="E57" s="49">
        <f t="shared" si="2"/>
        <v>4.02535169073515</v>
      </c>
      <c r="F57" s="49">
        <f t="shared" si="3"/>
        <v>16.203456234104326</v>
      </c>
      <c r="G57" s="49">
        <f t="shared" si="4"/>
        <v>53.75653286250557</v>
      </c>
      <c r="H57" s="1"/>
      <c r="I57" s="132">
        <v>630641.9</v>
      </c>
      <c r="J57" s="129">
        <f t="shared" si="5"/>
        <v>652334.159956343</v>
      </c>
      <c r="K57" s="175">
        <f t="shared" si="6"/>
        <v>-21692.259956342983</v>
      </c>
      <c r="L57" s="233">
        <f t="shared" si="11"/>
        <v>21692.259956342983</v>
      </c>
      <c r="M57" s="182">
        <f t="shared" si="7"/>
        <v>470554142.01356125</v>
      </c>
      <c r="N57" s="216">
        <f t="shared" si="8"/>
        <v>0.03439711182581269</v>
      </c>
      <c r="O57" s="182">
        <f t="shared" si="9"/>
        <v>0.01690776674124467</v>
      </c>
    </row>
    <row r="58" spans="1:15" ht="15.75">
      <c r="A58" s="136" t="s">
        <v>56</v>
      </c>
      <c r="B58" s="27">
        <f t="shared" si="12"/>
        <v>57</v>
      </c>
      <c r="C58" s="24">
        <v>636801.4</v>
      </c>
      <c r="D58" s="24">
        <f>LN(C58)</f>
        <v>13.364213112002355</v>
      </c>
      <c r="E58" s="42">
        <f>LN(B58)</f>
        <v>4.04305126783455</v>
      </c>
      <c r="F58" s="42">
        <f>E58*E58</f>
        <v>16.346263554338563</v>
      </c>
      <c r="G58" s="42">
        <f>D58*E58</f>
        <v>54.03219876609224</v>
      </c>
      <c r="H58" s="1"/>
      <c r="I58" s="131">
        <v>636801.4</v>
      </c>
      <c r="J58" s="128">
        <f>E$76*B58^(C$77)</f>
        <v>657123.4672322157</v>
      </c>
      <c r="K58" s="173">
        <f>I58-J58</f>
        <v>-20322.06723221566</v>
      </c>
      <c r="L58" s="173">
        <f t="shared" si="11"/>
        <v>20322.06723221566</v>
      </c>
      <c r="M58" s="184">
        <f>K58*K58</f>
        <v>412986416.5906935</v>
      </c>
      <c r="N58" s="214">
        <f>L58/I58</f>
        <v>0.031912723860556304</v>
      </c>
      <c r="O58" s="181">
        <f>L58/ABS(I58+J58)</f>
        <v>0.015705755215668592</v>
      </c>
    </row>
    <row r="59" spans="1:15" ht="15.75">
      <c r="A59" s="137" t="s">
        <v>57</v>
      </c>
      <c r="B59" s="27"/>
      <c r="C59" s="28"/>
      <c r="D59" s="28"/>
      <c r="E59" s="47">
        <f>B59^2</f>
        <v>0</v>
      </c>
      <c r="F59" s="47"/>
      <c r="G59" s="47">
        <f>B59*C59</f>
        <v>0</v>
      </c>
      <c r="H59" s="1"/>
      <c r="I59" s="134"/>
      <c r="J59" s="127"/>
      <c r="K59" s="174">
        <f t="shared" si="6"/>
        <v>0</v>
      </c>
      <c r="L59" s="177">
        <f t="shared" si="11"/>
        <v>0</v>
      </c>
      <c r="M59" s="184">
        <f t="shared" si="7"/>
        <v>0</v>
      </c>
      <c r="N59" s="215"/>
      <c r="O59" s="177"/>
    </row>
    <row r="60" spans="1:15" ht="15.75">
      <c r="A60" s="137" t="s">
        <v>58</v>
      </c>
      <c r="B60" s="27"/>
      <c r="C60" s="28"/>
      <c r="D60" s="28"/>
      <c r="E60" s="47">
        <f>B60^2</f>
        <v>0</v>
      </c>
      <c r="F60" s="47"/>
      <c r="G60" s="47">
        <f>B60*C60</f>
        <v>0</v>
      </c>
      <c r="H60" s="1"/>
      <c r="I60" s="134"/>
      <c r="J60" s="127"/>
      <c r="K60" s="174">
        <f t="shared" si="6"/>
        <v>0</v>
      </c>
      <c r="L60" s="177">
        <f t="shared" si="11"/>
        <v>0</v>
      </c>
      <c r="M60" s="184">
        <f t="shared" si="7"/>
        <v>0</v>
      </c>
      <c r="N60" s="215"/>
      <c r="O60" s="177"/>
    </row>
    <row r="61" spans="1:15" ht="16.5" thickBot="1">
      <c r="A61" s="138" t="s">
        <v>59</v>
      </c>
      <c r="B61" s="31"/>
      <c r="C61" s="32"/>
      <c r="D61" s="32"/>
      <c r="E61" s="49">
        <f>B61^2</f>
        <v>0</v>
      </c>
      <c r="F61" s="49"/>
      <c r="G61" s="49">
        <f>B61*C61</f>
        <v>0</v>
      </c>
      <c r="H61" s="1"/>
      <c r="I61" s="134"/>
      <c r="J61" s="127"/>
      <c r="K61" s="175">
        <f t="shared" si="6"/>
        <v>0</v>
      </c>
      <c r="L61" s="182">
        <f t="shared" si="11"/>
        <v>0</v>
      </c>
      <c r="M61" s="185">
        <f t="shared" si="7"/>
        <v>0</v>
      </c>
      <c r="N61" s="216"/>
      <c r="O61" s="182"/>
    </row>
    <row r="62" spans="1:15" ht="16.5" thickBot="1">
      <c r="A62" s="139" t="s">
        <v>68</v>
      </c>
      <c r="B62" s="40">
        <f aca="true" t="shared" si="13" ref="B62:G62">SUM(B2:B58)</f>
        <v>1653</v>
      </c>
      <c r="C62" s="39">
        <f t="shared" si="13"/>
        <v>26961516.7</v>
      </c>
      <c r="D62" s="39">
        <f t="shared" si="13"/>
        <v>741.2093261486806</v>
      </c>
      <c r="E62" s="39">
        <f t="shared" si="13"/>
        <v>176.39584840699737</v>
      </c>
      <c r="F62" s="39">
        <f t="shared" si="13"/>
        <v>591.0077750964699</v>
      </c>
      <c r="G62" s="39">
        <f t="shared" si="13"/>
        <v>2312.4420525078117</v>
      </c>
      <c r="H62" s="1"/>
      <c r="I62" s="39">
        <f>SUM(I2:I58)</f>
        <v>26961516.7</v>
      </c>
      <c r="J62" s="39">
        <f>SUM(J2:J58)</f>
        <v>26801913.926142476</v>
      </c>
      <c r="K62" s="179">
        <f>SUM(K2:K58)</f>
        <v>159602.77385752613</v>
      </c>
      <c r="L62" s="179">
        <f>SUM(L2:L58)</f>
        <v>2302948.561316482</v>
      </c>
      <c r="M62" s="190">
        <f>SUM(M2:M58)</f>
        <v>112012299956.52759</v>
      </c>
      <c r="N62" s="213">
        <f>SUM(N2:N58)/57</f>
        <v>0.09571308995300323</v>
      </c>
      <c r="O62" s="213">
        <f>SUM(O2:O58)/57</f>
        <v>0.04796272320189166</v>
      </c>
    </row>
    <row r="63" spans="1:9" ht="15.75">
      <c r="A63" s="1"/>
      <c r="B63" s="1"/>
      <c r="C63" s="1"/>
      <c r="D63" s="1"/>
      <c r="E63" s="1"/>
      <c r="F63" s="1"/>
      <c r="G63" s="1"/>
      <c r="H63" s="1"/>
      <c r="I63" s="1"/>
    </row>
    <row r="64" spans="1:9" ht="16.5" thickBot="1">
      <c r="A64" s="1"/>
      <c r="B64" s="1"/>
      <c r="C64" s="1"/>
      <c r="D64" s="1"/>
      <c r="E64" s="1"/>
      <c r="F64" s="1"/>
      <c r="G64" s="1"/>
      <c r="H64" s="1"/>
      <c r="I64" s="1"/>
    </row>
    <row r="65" spans="1:10" ht="17.25" thickBot="1">
      <c r="A65" s="1" t="s">
        <v>121</v>
      </c>
      <c r="B65" s="62" t="s">
        <v>69</v>
      </c>
      <c r="C65" s="54">
        <v>57</v>
      </c>
      <c r="D65" s="55">
        <f>E62</f>
        <v>176.39584840699737</v>
      </c>
      <c r="E65" s="1"/>
      <c r="F65" s="1"/>
      <c r="G65" s="1"/>
      <c r="H65" s="1"/>
      <c r="I65" s="220" t="s">
        <v>122</v>
      </c>
      <c r="J65" s="221">
        <f>SQRT(L62)/(SQRT(I62)+SQRT(J62))</f>
        <v>0.14634709728399561</v>
      </c>
    </row>
    <row r="66" spans="1:9" ht="16.5" thickBot="1">
      <c r="A66" s="1"/>
      <c r="B66" s="63"/>
      <c r="C66" s="56">
        <f>E62</f>
        <v>176.39584840699737</v>
      </c>
      <c r="D66" s="57">
        <f>F62</f>
        <v>591.0077750964699</v>
      </c>
      <c r="E66" s="1"/>
      <c r="F66" s="1"/>
      <c r="G66" s="1"/>
      <c r="H66" s="1"/>
      <c r="I66" s="1"/>
    </row>
    <row r="67" spans="1:9" ht="16.5" thickBot="1">
      <c r="A67" s="1"/>
      <c r="B67" s="63"/>
      <c r="C67" s="1"/>
      <c r="D67" s="1"/>
      <c r="E67" s="1"/>
      <c r="F67" s="1"/>
      <c r="G67" s="1"/>
      <c r="H67" s="1"/>
      <c r="I67" s="1"/>
    </row>
    <row r="68" spans="1:9" ht="16.5" thickBot="1">
      <c r="A68" s="1"/>
      <c r="B68" s="62" t="s">
        <v>71</v>
      </c>
      <c r="C68" s="35">
        <f>C65*D66-D65^2</f>
        <v>2571.947845274386</v>
      </c>
      <c r="D68" s="1"/>
      <c r="E68" s="1"/>
      <c r="F68" s="1"/>
      <c r="G68" s="1"/>
      <c r="H68" s="1"/>
      <c r="I68" s="1"/>
    </row>
    <row r="69" spans="1:9" ht="16.5" thickBot="1">
      <c r="A69" s="1"/>
      <c r="B69" s="63"/>
      <c r="C69" s="1"/>
      <c r="D69" s="1"/>
      <c r="E69" s="1"/>
      <c r="F69" s="1"/>
      <c r="G69" s="1"/>
      <c r="H69" s="1"/>
      <c r="I69" s="1"/>
    </row>
    <row r="70" spans="1:9" ht="16.5" thickBot="1">
      <c r="A70" s="1"/>
      <c r="B70" s="62" t="s">
        <v>70</v>
      </c>
      <c r="C70" s="54">
        <f>D66/C68</f>
        <v>0.22978995323811427</v>
      </c>
      <c r="D70" s="55">
        <f>-D65/C68</f>
        <v>-0.06858453554223559</v>
      </c>
      <c r="E70" s="1"/>
      <c r="F70" s="1"/>
      <c r="G70" s="1"/>
      <c r="H70" s="1"/>
      <c r="I70" s="1"/>
    </row>
    <row r="71" spans="1:9" ht="16.5" thickBot="1">
      <c r="A71" s="1"/>
      <c r="B71" s="63"/>
      <c r="C71" s="56">
        <f>D70</f>
        <v>-0.06858453554223559</v>
      </c>
      <c r="D71" s="57">
        <f>C65/C68</f>
        <v>0.022162191237559487</v>
      </c>
      <c r="E71" s="1"/>
      <c r="F71" s="1"/>
      <c r="G71" s="1"/>
      <c r="H71" s="1"/>
      <c r="I71" s="1"/>
    </row>
    <row r="72" spans="1:9" ht="16.5" thickBot="1">
      <c r="A72" s="1"/>
      <c r="B72" s="63"/>
      <c r="C72" s="1"/>
      <c r="D72" s="1"/>
      <c r="E72" s="1"/>
      <c r="F72" s="1"/>
      <c r="G72" s="1"/>
      <c r="H72" s="1"/>
      <c r="I72" s="1"/>
    </row>
    <row r="73" spans="1:9" ht="16.5" thickBot="1">
      <c r="A73" s="1"/>
      <c r="B73" s="62" t="s">
        <v>75</v>
      </c>
      <c r="C73" s="58">
        <f>D62</f>
        <v>741.2093261486806</v>
      </c>
      <c r="D73" s="1"/>
      <c r="E73" s="1"/>
      <c r="F73" s="1"/>
      <c r="G73" s="1"/>
      <c r="H73" s="1"/>
      <c r="I73" s="1"/>
    </row>
    <row r="74" spans="1:9" ht="16.5" thickBot="1">
      <c r="A74" s="1"/>
      <c r="B74" s="63"/>
      <c r="C74" s="59">
        <f>G62</f>
        <v>2312.4420525078117</v>
      </c>
      <c r="D74" s="1"/>
      <c r="E74" s="1"/>
      <c r="F74" s="1"/>
      <c r="G74" s="1"/>
      <c r="H74" s="1"/>
      <c r="I74" s="1"/>
    </row>
    <row r="75" spans="1:9" ht="16.5" thickBot="1">
      <c r="A75" s="1"/>
      <c r="B75" s="63"/>
      <c r="C75" s="1"/>
      <c r="D75" s="1"/>
      <c r="E75" s="1"/>
      <c r="F75" s="1"/>
      <c r="G75" s="1"/>
      <c r="H75" s="1"/>
      <c r="I75" s="1"/>
    </row>
    <row r="76" spans="1:9" ht="19.5" thickBot="1">
      <c r="A76" s="1"/>
      <c r="B76" s="64" t="s">
        <v>97</v>
      </c>
      <c r="C76" s="60">
        <f>C70*C73+D70*C74</f>
        <v>11.724692255777256</v>
      </c>
      <c r="D76" s="62" t="s">
        <v>99</v>
      </c>
      <c r="E76" s="39">
        <f>EXP(C76)</f>
        <v>123585.96376401129</v>
      </c>
      <c r="F76" s="1"/>
      <c r="G76" s="1"/>
      <c r="H76" s="1"/>
      <c r="I76" s="1"/>
    </row>
    <row r="77" spans="1:9" ht="19.5" thickBot="1">
      <c r="A77" s="1"/>
      <c r="B77" s="65" t="s">
        <v>98</v>
      </c>
      <c r="C77" s="61">
        <f>C71*C73+D71*C74</f>
        <v>0.4132856199720223</v>
      </c>
      <c r="D77" s="1"/>
      <c r="E77" s="1"/>
      <c r="F77" s="1"/>
      <c r="G77" s="1"/>
      <c r="H77" s="1"/>
      <c r="I77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77"/>
  <sheetViews>
    <sheetView zoomScalePageLayoutView="0" workbookViewId="0" topLeftCell="A35">
      <selection activeCell="H65" sqref="H65"/>
    </sheetView>
  </sheetViews>
  <sheetFormatPr defaultColWidth="9.140625" defaultRowHeight="12.75"/>
  <cols>
    <col min="6" max="6" width="5.421875" style="0" customWidth="1"/>
    <col min="7" max="7" width="11.28125" style="0" customWidth="1"/>
    <col min="9" max="9" width="11.7109375" style="0" customWidth="1"/>
    <col min="10" max="10" width="12.140625" style="0" customWidth="1"/>
    <col min="11" max="11" width="11.28125" style="0" customWidth="1"/>
  </cols>
  <sheetData>
    <row r="1" spans="1:13" ht="16.5" thickBot="1">
      <c r="A1" s="140" t="s">
        <v>67</v>
      </c>
      <c r="B1" s="67" t="s">
        <v>60</v>
      </c>
      <c r="C1" s="68" t="s">
        <v>61</v>
      </c>
      <c r="D1" s="69" t="s">
        <v>72</v>
      </c>
      <c r="E1" s="69" t="s">
        <v>76</v>
      </c>
      <c r="G1" s="130" t="s">
        <v>83</v>
      </c>
      <c r="H1" s="126" t="s">
        <v>82</v>
      </c>
      <c r="I1" s="167" t="s">
        <v>111</v>
      </c>
      <c r="J1" s="167" t="s">
        <v>112</v>
      </c>
      <c r="K1" s="180" t="s">
        <v>113</v>
      </c>
      <c r="L1" s="167" t="s">
        <v>119</v>
      </c>
      <c r="M1" s="210" t="s">
        <v>120</v>
      </c>
    </row>
    <row r="2" spans="1:13" ht="15.75">
      <c r="A2" s="140" t="s">
        <v>0</v>
      </c>
      <c r="B2" s="23">
        <v>1</v>
      </c>
      <c r="C2" s="24">
        <f>LN(G2)</f>
        <v>12.097054894777886</v>
      </c>
      <c r="D2" s="76">
        <f>B2^2</f>
        <v>1</v>
      </c>
      <c r="E2" s="42">
        <f>B2*C2</f>
        <v>12.097054894777886</v>
      </c>
      <c r="G2" s="131">
        <v>179342.9</v>
      </c>
      <c r="H2" s="127">
        <f>EXP(C$76+C$77*B2)</f>
        <v>251841.70168790602</v>
      </c>
      <c r="I2" s="173">
        <f>G2-H2</f>
        <v>-72498.80168790603</v>
      </c>
      <c r="J2" s="191">
        <f aca="true" t="shared" si="0" ref="J2:J33">ABS(I2)</f>
        <v>72498.80168790603</v>
      </c>
      <c r="K2" s="181">
        <f>I2*I2</f>
        <v>5256076246.182326</v>
      </c>
      <c r="L2" s="215">
        <f aca="true" t="shared" si="1" ref="L2:L57">J2/G2</f>
        <v>0.40424684605805994</v>
      </c>
      <c r="M2" s="181">
        <f>J2/ABS(G2+H2)</f>
        <v>0.16813866126968305</v>
      </c>
    </row>
    <row r="3" spans="1:13" ht="15.75">
      <c r="A3" s="141" t="s">
        <v>1</v>
      </c>
      <c r="B3" s="27">
        <v>2</v>
      </c>
      <c r="C3" s="28">
        <f aca="true" t="shared" si="2" ref="C3:C58">LN(G3)</f>
        <v>12.100043017177478</v>
      </c>
      <c r="D3" s="77">
        <f aca="true" t="shared" si="3" ref="D3:D61">B3^2</f>
        <v>4</v>
      </c>
      <c r="E3" s="47">
        <f aca="true" t="shared" si="4" ref="E3:E61">B3*C3</f>
        <v>24.200086034354957</v>
      </c>
      <c r="G3" s="132">
        <v>179879.6</v>
      </c>
      <c r="H3" s="127">
        <f aca="true" t="shared" si="5" ref="H3:H58">EXP(C$76+C$77*B3)</f>
        <v>256994.55012158205</v>
      </c>
      <c r="I3" s="174">
        <f aca="true" t="shared" si="6" ref="I3:I57">G3-H3</f>
        <v>-77114.95012158205</v>
      </c>
      <c r="J3" s="192">
        <f t="shared" si="0"/>
        <v>77114.95012158205</v>
      </c>
      <c r="K3" s="177">
        <f aca="true" t="shared" si="7" ref="K3:K61">I3*I3</f>
        <v>5946715532.254087</v>
      </c>
      <c r="L3" s="215">
        <f t="shared" si="1"/>
        <v>0.4287031443342216</v>
      </c>
      <c r="M3" s="177">
        <f aca="true" t="shared" si="8" ref="M3:M57">J3/ABS(G3+H3)</f>
        <v>0.17651525067372595</v>
      </c>
    </row>
    <row r="4" spans="1:13" ht="15.75">
      <c r="A4" s="141" t="s">
        <v>2</v>
      </c>
      <c r="B4" s="27">
        <f>B3+1</f>
        <v>3</v>
      </c>
      <c r="C4" s="28">
        <f t="shared" si="2"/>
        <v>12.123548820762979</v>
      </c>
      <c r="D4" s="77">
        <f t="shared" si="3"/>
        <v>9</v>
      </c>
      <c r="E4" s="47">
        <f t="shared" si="4"/>
        <v>36.37064646228894</v>
      </c>
      <c r="G4" s="132">
        <v>184157.9</v>
      </c>
      <c r="H4" s="127">
        <f t="shared" si="5"/>
        <v>262252.8292555848</v>
      </c>
      <c r="I4" s="174">
        <f t="shared" si="6"/>
        <v>-78094.92925558481</v>
      </c>
      <c r="J4" s="192">
        <f t="shared" si="0"/>
        <v>78094.92925558481</v>
      </c>
      <c r="K4" s="177">
        <f t="shared" si="7"/>
        <v>6098817975.434796</v>
      </c>
      <c r="L4" s="215">
        <f t="shared" si="1"/>
        <v>0.4240650510001733</v>
      </c>
      <c r="M4" s="177">
        <f t="shared" si="8"/>
        <v>0.17493963325167505</v>
      </c>
    </row>
    <row r="5" spans="1:13" ht="16.5" thickBot="1">
      <c r="A5" s="142" t="s">
        <v>3</v>
      </c>
      <c r="B5" s="27">
        <f>B4+1</f>
        <v>4</v>
      </c>
      <c r="C5" s="28">
        <f t="shared" si="2"/>
        <v>12.229704695923225</v>
      </c>
      <c r="D5" s="78">
        <f t="shared" si="3"/>
        <v>16</v>
      </c>
      <c r="E5" s="49">
        <f t="shared" si="4"/>
        <v>48.9188187836929</v>
      </c>
      <c r="G5" s="133">
        <v>204782.7</v>
      </c>
      <c r="H5" s="127">
        <f t="shared" si="5"/>
        <v>267618.69627204665</v>
      </c>
      <c r="I5" s="175">
        <f t="shared" si="6"/>
        <v>-62835.99627204664</v>
      </c>
      <c r="J5" s="193">
        <f t="shared" si="0"/>
        <v>62835.99627204664</v>
      </c>
      <c r="K5" s="182">
        <f t="shared" si="7"/>
        <v>3948362427.5006595</v>
      </c>
      <c r="L5" s="216">
        <f t="shared" si="1"/>
        <v>0.30684230783189514</v>
      </c>
      <c r="M5" s="177">
        <f t="shared" si="8"/>
        <v>0.13301399354006277</v>
      </c>
    </row>
    <row r="6" spans="1:13" ht="15.75">
      <c r="A6" s="140" t="s">
        <v>4</v>
      </c>
      <c r="B6" s="23">
        <f aca="true" t="shared" si="9" ref="B6:B58">B5+1</f>
        <v>5</v>
      </c>
      <c r="C6" s="24">
        <f>LN(G6)</f>
        <v>12.279068892803872</v>
      </c>
      <c r="D6" s="76">
        <f>B6^2</f>
        <v>25</v>
      </c>
      <c r="E6" s="42">
        <f>B6*C6</f>
        <v>61.39534446401936</v>
      </c>
      <c r="G6" s="131">
        <v>215145.3</v>
      </c>
      <c r="H6" s="128">
        <f>EXP(C$76+C$77*B6)</f>
        <v>273094.3524904784</v>
      </c>
      <c r="I6" s="173">
        <f>G6-H6</f>
        <v>-57949.05249047844</v>
      </c>
      <c r="J6" s="194">
        <f t="shared" si="0"/>
        <v>57949.05249047844</v>
      </c>
      <c r="K6" s="181">
        <f>I6*I6</f>
        <v>3358092684.5442257</v>
      </c>
      <c r="L6" s="214">
        <f>J6/G6</f>
        <v>0.2693484472608904</v>
      </c>
      <c r="M6" s="181">
        <f>J6/ABS(G6+H6)</f>
        <v>0.11868977088379472</v>
      </c>
    </row>
    <row r="7" spans="1:13" ht="15.75">
      <c r="A7" s="141" t="s">
        <v>5</v>
      </c>
      <c r="B7" s="27">
        <f t="shared" si="9"/>
        <v>6</v>
      </c>
      <c r="C7" s="28">
        <f t="shared" si="2"/>
        <v>12.301929948362668</v>
      </c>
      <c r="D7" s="77">
        <f t="shared" si="3"/>
        <v>36</v>
      </c>
      <c r="E7" s="47">
        <f t="shared" si="4"/>
        <v>73.811579690176</v>
      </c>
      <c r="G7" s="132">
        <v>220120.4</v>
      </c>
      <c r="H7" s="127">
        <f t="shared" si="5"/>
        <v>278682.04427085014</v>
      </c>
      <c r="I7" s="174">
        <f t="shared" si="6"/>
        <v>-58561.64427085014</v>
      </c>
      <c r="J7" s="194">
        <f t="shared" si="0"/>
        <v>58561.64427085014</v>
      </c>
      <c r="K7" s="177">
        <f t="shared" si="7"/>
        <v>3429466179.705595</v>
      </c>
      <c r="L7" s="215">
        <f t="shared" si="1"/>
        <v>0.26604369368241265</v>
      </c>
      <c r="M7" s="177">
        <f t="shared" si="8"/>
        <v>0.11740448536986542</v>
      </c>
    </row>
    <row r="8" spans="1:13" ht="15.75">
      <c r="A8" s="141" t="s">
        <v>6</v>
      </c>
      <c r="B8" s="27">
        <f t="shared" si="9"/>
        <v>7</v>
      </c>
      <c r="C8" s="28">
        <f t="shared" si="2"/>
        <v>12.323222591938954</v>
      </c>
      <c r="D8" s="77">
        <f t="shared" si="3"/>
        <v>49</v>
      </c>
      <c r="E8" s="47">
        <f t="shared" si="4"/>
        <v>86.26255814357268</v>
      </c>
      <c r="G8" s="132">
        <v>224857.6</v>
      </c>
      <c r="H8" s="127">
        <f t="shared" si="5"/>
        <v>284384.06393514806</v>
      </c>
      <c r="I8" s="174">
        <f t="shared" si="6"/>
        <v>-59526.46393514806</v>
      </c>
      <c r="J8" s="194">
        <f t="shared" si="0"/>
        <v>59526.46393514806</v>
      </c>
      <c r="K8" s="177">
        <f t="shared" si="7"/>
        <v>3543399908.6224823</v>
      </c>
      <c r="L8" s="215">
        <f t="shared" si="1"/>
        <v>0.2647296063604168</v>
      </c>
      <c r="M8" s="177">
        <f t="shared" si="8"/>
        <v>0.11689236790870426</v>
      </c>
    </row>
    <row r="9" spans="1:13" ht="16.5" thickBot="1">
      <c r="A9" s="142" t="s">
        <v>7</v>
      </c>
      <c r="B9" s="31">
        <f t="shared" si="9"/>
        <v>8</v>
      </c>
      <c r="C9" s="28">
        <f t="shared" si="2"/>
        <v>12.406966088909439</v>
      </c>
      <c r="D9" s="78">
        <f t="shared" si="3"/>
        <v>64</v>
      </c>
      <c r="E9" s="49">
        <f t="shared" si="4"/>
        <v>99.25572871127551</v>
      </c>
      <c r="G9" s="133">
        <v>244498.9</v>
      </c>
      <c r="H9" s="129">
        <f t="shared" si="5"/>
        <v>290202.7507077884</v>
      </c>
      <c r="I9" s="175">
        <f t="shared" si="6"/>
        <v>-45703.8507077884</v>
      </c>
      <c r="J9" s="194">
        <f t="shared" si="0"/>
        <v>45703.8507077884</v>
      </c>
      <c r="K9" s="182">
        <f t="shared" si="7"/>
        <v>2088841969.5198102</v>
      </c>
      <c r="L9" s="216">
        <f t="shared" si="1"/>
        <v>0.18692865574359802</v>
      </c>
      <c r="M9" s="182">
        <f t="shared" si="8"/>
        <v>0.08547542474815607</v>
      </c>
    </row>
    <row r="10" spans="1:13" ht="15.75">
      <c r="A10" s="140" t="s">
        <v>8</v>
      </c>
      <c r="B10" s="27">
        <f t="shared" si="9"/>
        <v>9</v>
      </c>
      <c r="C10" s="24">
        <f>LN(G10)</f>
        <v>12.45688350259593</v>
      </c>
      <c r="D10" s="76">
        <f>B10^2</f>
        <v>81</v>
      </c>
      <c r="E10" s="42">
        <f>B10*C10</f>
        <v>112.11195152336337</v>
      </c>
      <c r="G10" s="131">
        <v>257013.4</v>
      </c>
      <c r="H10" s="127">
        <f>EXP(C$76+C$77*B10)</f>
        <v>296140.4916752721</v>
      </c>
      <c r="I10" s="173">
        <f>G10-H10</f>
        <v>-39127.091675272124</v>
      </c>
      <c r="J10" s="195">
        <f t="shared" si="0"/>
        <v>39127.091675272124</v>
      </c>
      <c r="K10" s="184">
        <f>I10*I10</f>
        <v>1530929302.9651492</v>
      </c>
      <c r="L10" s="214">
        <f>J10/G10</f>
        <v>0.15223755522191498</v>
      </c>
      <c r="M10" s="181">
        <f>J10/ABS(G10+H10)</f>
        <v>0.07073455012089402</v>
      </c>
    </row>
    <row r="11" spans="1:13" ht="15.75">
      <c r="A11" s="141" t="s">
        <v>9</v>
      </c>
      <c r="B11" s="27">
        <f t="shared" si="9"/>
        <v>10</v>
      </c>
      <c r="C11" s="28">
        <f t="shared" si="2"/>
        <v>12.499680625060432</v>
      </c>
      <c r="D11" s="77">
        <f t="shared" si="3"/>
        <v>100</v>
      </c>
      <c r="E11" s="47">
        <f t="shared" si="4"/>
        <v>124.99680625060432</v>
      </c>
      <c r="G11" s="132">
        <v>268251.6</v>
      </c>
      <c r="H11" s="127">
        <f t="shared" si="5"/>
        <v>302199.72276547505</v>
      </c>
      <c r="I11" s="174">
        <f t="shared" si="6"/>
        <v>-33948.12276547507</v>
      </c>
      <c r="J11" s="196">
        <f t="shared" si="0"/>
        <v>33948.12276547507</v>
      </c>
      <c r="K11" s="184">
        <f t="shared" si="7"/>
        <v>1152475039.2997665</v>
      </c>
      <c r="L11" s="215">
        <f t="shared" si="1"/>
        <v>0.1265532908861497</v>
      </c>
      <c r="M11" s="177">
        <f t="shared" si="8"/>
        <v>0.05951098965096428</v>
      </c>
    </row>
    <row r="12" spans="1:13" ht="15.75">
      <c r="A12" s="141" t="s">
        <v>10</v>
      </c>
      <c r="B12" s="27">
        <f t="shared" si="9"/>
        <v>11</v>
      </c>
      <c r="C12" s="28">
        <f t="shared" si="2"/>
        <v>12.545069193395186</v>
      </c>
      <c r="D12" s="77">
        <f t="shared" si="3"/>
        <v>121</v>
      </c>
      <c r="E12" s="47">
        <f t="shared" si="4"/>
        <v>137.99576112734704</v>
      </c>
      <c r="G12" s="132">
        <v>280707.7</v>
      </c>
      <c r="H12" s="127">
        <f t="shared" si="5"/>
        <v>308382.9297469747</v>
      </c>
      <c r="I12" s="174">
        <f t="shared" si="6"/>
        <v>-27675.229746974714</v>
      </c>
      <c r="J12" s="196">
        <f t="shared" si="0"/>
        <v>27675.229746974714</v>
      </c>
      <c r="K12" s="184">
        <f t="shared" si="7"/>
        <v>765918341.547834</v>
      </c>
      <c r="L12" s="215">
        <f t="shared" si="1"/>
        <v>0.09859091769472199</v>
      </c>
      <c r="M12" s="177">
        <f t="shared" si="8"/>
        <v>0.04697957894672631</v>
      </c>
    </row>
    <row r="13" spans="1:13" ht="16.5" thickBot="1">
      <c r="A13" s="142" t="s">
        <v>11</v>
      </c>
      <c r="B13" s="27">
        <f t="shared" si="9"/>
        <v>12</v>
      </c>
      <c r="C13" s="28">
        <f t="shared" si="2"/>
        <v>12.632114264415971</v>
      </c>
      <c r="D13" s="78">
        <f t="shared" si="3"/>
        <v>144</v>
      </c>
      <c r="E13" s="49">
        <f t="shared" si="4"/>
        <v>151.58537117299164</v>
      </c>
      <c r="G13" s="133">
        <v>306236.9</v>
      </c>
      <c r="H13" s="127">
        <f t="shared" si="5"/>
        <v>314692.6492488241</v>
      </c>
      <c r="I13" s="175">
        <f t="shared" si="6"/>
        <v>-8455.749248824082</v>
      </c>
      <c r="J13" s="197">
        <f t="shared" si="0"/>
        <v>8455.749248824082</v>
      </c>
      <c r="K13" s="184">
        <f t="shared" si="7"/>
        <v>71499695.35898903</v>
      </c>
      <c r="L13" s="216">
        <f t="shared" si="1"/>
        <v>0.027611790900522053</v>
      </c>
      <c r="M13" s="177">
        <f t="shared" si="8"/>
        <v>0.013617888308027072</v>
      </c>
    </row>
    <row r="14" spans="1:13" ht="15.75">
      <c r="A14" s="140" t="s">
        <v>12</v>
      </c>
      <c r="B14" s="23">
        <f t="shared" si="9"/>
        <v>13</v>
      </c>
      <c r="C14" s="24">
        <f>LN(G14)</f>
        <v>12.678724639759448</v>
      </c>
      <c r="D14" s="76">
        <f>B14^2</f>
        <v>169</v>
      </c>
      <c r="E14" s="42">
        <f>B14*C14</f>
        <v>164.8234203168728</v>
      </c>
      <c r="G14" s="131">
        <v>320848.6</v>
      </c>
      <c r="H14" s="128">
        <f>EXP(C$76+C$77*B14)</f>
        <v>321131.46980119107</v>
      </c>
      <c r="I14" s="173">
        <f>G14-H14</f>
        <v>-282.8698011910892</v>
      </c>
      <c r="J14" s="194">
        <f t="shared" si="0"/>
        <v>282.8698011910892</v>
      </c>
      <c r="K14" s="181">
        <f>I14*I14</f>
        <v>80015.32442588633</v>
      </c>
      <c r="L14" s="214">
        <f>J14/G14</f>
        <v>0.0008816301557528667</v>
      </c>
      <c r="M14" s="181">
        <f>J14/ABS(G14+H14)</f>
        <v>0.000440620845564082</v>
      </c>
    </row>
    <row r="15" spans="1:13" ht="15.75">
      <c r="A15" s="141" t="s">
        <v>13</v>
      </c>
      <c r="B15" s="27">
        <f t="shared" si="9"/>
        <v>14</v>
      </c>
      <c r="C15" s="28">
        <f t="shared" si="2"/>
        <v>12.705620210402092</v>
      </c>
      <c r="D15" s="77">
        <f t="shared" si="3"/>
        <v>196</v>
      </c>
      <c r="E15" s="47">
        <f t="shared" si="4"/>
        <v>177.8786829456293</v>
      </c>
      <c r="G15" s="132">
        <v>329595.1</v>
      </c>
      <c r="H15" s="127">
        <f t="shared" si="5"/>
        <v>327702.0328972894</v>
      </c>
      <c r="I15" s="174">
        <f t="shared" si="6"/>
        <v>1893.0671027106</v>
      </c>
      <c r="J15" s="194">
        <f t="shared" si="0"/>
        <v>1893.0671027106</v>
      </c>
      <c r="K15" s="177">
        <f t="shared" si="7"/>
        <v>3583703.0553651056</v>
      </c>
      <c r="L15" s="215">
        <f t="shared" si="1"/>
        <v>0.005743614218508103</v>
      </c>
      <c r="M15" s="177">
        <f t="shared" si="8"/>
        <v>0.00288007813812633</v>
      </c>
    </row>
    <row r="16" spans="1:13" ht="15.75">
      <c r="A16" s="141" t="s">
        <v>14</v>
      </c>
      <c r="B16" s="27">
        <f t="shared" si="9"/>
        <v>15</v>
      </c>
      <c r="C16" s="28">
        <f t="shared" si="2"/>
        <v>12.725200609294687</v>
      </c>
      <c r="D16" s="77">
        <f t="shared" si="3"/>
        <v>225</v>
      </c>
      <c r="E16" s="47">
        <f t="shared" si="4"/>
        <v>190.8780091394203</v>
      </c>
      <c r="G16" s="132">
        <v>336112.3</v>
      </c>
      <c r="H16" s="127">
        <f t="shared" si="5"/>
        <v>334407.03407703777</v>
      </c>
      <c r="I16" s="174">
        <f t="shared" si="6"/>
        <v>1705.2659229622222</v>
      </c>
      <c r="J16" s="194">
        <f t="shared" si="0"/>
        <v>1705.2659229622222</v>
      </c>
      <c r="K16" s="177">
        <f t="shared" si="7"/>
        <v>2907931.8680161997</v>
      </c>
      <c r="L16" s="215">
        <f t="shared" si="1"/>
        <v>0.005073500502546983</v>
      </c>
      <c r="M16" s="177">
        <f t="shared" si="8"/>
        <v>0.0025432017188728815</v>
      </c>
    </row>
    <row r="17" spans="1:13" ht="16.5" thickBot="1">
      <c r="A17" s="142" t="s">
        <v>15</v>
      </c>
      <c r="B17" s="31">
        <f t="shared" si="9"/>
        <v>16</v>
      </c>
      <c r="C17" s="28">
        <f t="shared" si="2"/>
        <v>12.809364043976656</v>
      </c>
      <c r="D17" s="78">
        <f t="shared" si="3"/>
        <v>256</v>
      </c>
      <c r="E17" s="49">
        <f t="shared" si="4"/>
        <v>204.9498247036265</v>
      </c>
      <c r="G17" s="133">
        <v>365625.2</v>
      </c>
      <c r="H17" s="129">
        <f t="shared" si="5"/>
        <v>341249.2240328915</v>
      </c>
      <c r="I17" s="175">
        <f t="shared" si="6"/>
        <v>24375.975967108505</v>
      </c>
      <c r="J17" s="194">
        <f t="shared" si="0"/>
        <v>24375.975967108505</v>
      </c>
      <c r="K17" s="182">
        <f t="shared" si="7"/>
        <v>594188204.3490514</v>
      </c>
      <c r="L17" s="216">
        <f t="shared" si="1"/>
        <v>0.06666929950973977</v>
      </c>
      <c r="M17" s="182">
        <f t="shared" si="8"/>
        <v>0.03448416739714191</v>
      </c>
    </row>
    <row r="18" spans="1:13" ht="15.75">
      <c r="A18" s="140" t="s">
        <v>16</v>
      </c>
      <c r="B18" s="27">
        <f t="shared" si="9"/>
        <v>17</v>
      </c>
      <c r="C18" s="24">
        <f>LN(G18)</f>
        <v>12.935648423760435</v>
      </c>
      <c r="D18" s="76">
        <f>B18^2</f>
        <v>289</v>
      </c>
      <c r="E18" s="42">
        <f>B18*C18</f>
        <v>219.9060232039274</v>
      </c>
      <c r="G18" s="131">
        <v>414840.1</v>
      </c>
      <c r="H18" s="127">
        <f>EXP(C$76+C$77*B18)</f>
        <v>348231.4097383</v>
      </c>
      <c r="I18" s="173">
        <f>G18-H18</f>
        <v>66608.69026169996</v>
      </c>
      <c r="J18" s="195">
        <f t="shared" si="0"/>
        <v>66608.69026169996</v>
      </c>
      <c r="K18" s="184">
        <f>I18*I18</f>
        <v>4436717618.379083</v>
      </c>
      <c r="L18" s="214">
        <f>J18/G18</f>
        <v>0.16056473388589956</v>
      </c>
      <c r="M18" s="181">
        <f>J18/ABS(G18+H18)</f>
        <v>0.08729023349927428</v>
      </c>
    </row>
    <row r="19" spans="1:13" ht="15.75">
      <c r="A19" s="141" t="s">
        <v>17</v>
      </c>
      <c r="B19" s="27">
        <f t="shared" si="9"/>
        <v>18</v>
      </c>
      <c r="C19" s="28">
        <f t="shared" si="2"/>
        <v>12.997215034340805</v>
      </c>
      <c r="D19" s="77">
        <f t="shared" si="3"/>
        <v>324</v>
      </c>
      <c r="E19" s="47">
        <f t="shared" si="4"/>
        <v>233.94987061813447</v>
      </c>
      <c r="G19" s="132">
        <v>441183</v>
      </c>
      <c r="H19" s="127">
        <f t="shared" si="5"/>
        <v>355356.45559925307</v>
      </c>
      <c r="I19" s="174">
        <f t="shared" si="6"/>
        <v>85826.54440074693</v>
      </c>
      <c r="J19" s="196">
        <f t="shared" si="0"/>
        <v>85826.54440074693</v>
      </c>
      <c r="K19" s="184">
        <f t="shared" si="7"/>
        <v>7366195723.773385</v>
      </c>
      <c r="L19" s="215">
        <f t="shared" si="1"/>
        <v>0.19453728815649501</v>
      </c>
      <c r="M19" s="177">
        <f t="shared" si="8"/>
        <v>0.10774926941463038</v>
      </c>
    </row>
    <row r="20" spans="1:13" ht="15.75">
      <c r="A20" s="141" t="s">
        <v>18</v>
      </c>
      <c r="B20" s="27">
        <f t="shared" si="9"/>
        <v>19</v>
      </c>
      <c r="C20" s="28">
        <f t="shared" si="2"/>
        <v>13.002789213635257</v>
      </c>
      <c r="D20" s="77">
        <f t="shared" si="3"/>
        <v>361</v>
      </c>
      <c r="E20" s="47">
        <f t="shared" si="4"/>
        <v>247.05299505906987</v>
      </c>
      <c r="G20" s="132">
        <v>443649.1</v>
      </c>
      <c r="H20" s="127">
        <f t="shared" si="5"/>
        <v>362627.28462938906</v>
      </c>
      <c r="I20" s="174">
        <f t="shared" si="6"/>
        <v>81021.81537061092</v>
      </c>
      <c r="J20" s="196">
        <f t="shared" si="0"/>
        <v>81021.81537061092</v>
      </c>
      <c r="K20" s="184">
        <f t="shared" si="7"/>
        <v>6564534565.949363</v>
      </c>
      <c r="L20" s="215">
        <f t="shared" si="1"/>
        <v>0.1826258981943408</v>
      </c>
      <c r="M20" s="177">
        <f t="shared" si="8"/>
        <v>0.10048888559207052</v>
      </c>
    </row>
    <row r="21" spans="1:13" ht="16.5" thickBot="1">
      <c r="A21" s="142" t="s">
        <v>19</v>
      </c>
      <c r="B21" s="27">
        <f t="shared" si="9"/>
        <v>20</v>
      </c>
      <c r="C21" s="28">
        <f t="shared" si="2"/>
        <v>13.068796975147716</v>
      </c>
      <c r="D21" s="78">
        <f t="shared" si="3"/>
        <v>400</v>
      </c>
      <c r="E21" s="49">
        <f t="shared" si="4"/>
        <v>261.37593950295434</v>
      </c>
      <c r="G21" s="133">
        <v>473921.5</v>
      </c>
      <c r="H21" s="127">
        <f t="shared" si="5"/>
        <v>370046.87964914617</v>
      </c>
      <c r="I21" s="175">
        <f t="shared" si="6"/>
        <v>103874.62035085383</v>
      </c>
      <c r="J21" s="197">
        <f t="shared" si="0"/>
        <v>103874.62035085383</v>
      </c>
      <c r="K21" s="184">
        <f t="shared" si="7"/>
        <v>10789936753.034018</v>
      </c>
      <c r="L21" s="216">
        <f t="shared" si="1"/>
        <v>0.2191810676469707</v>
      </c>
      <c r="M21" s="177">
        <f t="shared" si="8"/>
        <v>0.12307880586004477</v>
      </c>
    </row>
    <row r="22" spans="1:13" ht="15.75">
      <c r="A22" s="140" t="s">
        <v>20</v>
      </c>
      <c r="B22" s="23">
        <f t="shared" si="9"/>
        <v>21</v>
      </c>
      <c r="C22" s="24">
        <f>LN(G22)</f>
        <v>13.109049337620078</v>
      </c>
      <c r="D22" s="76">
        <f>B22^2</f>
        <v>441</v>
      </c>
      <c r="E22" s="42">
        <f>B22*C22</f>
        <v>275.29003609002166</v>
      </c>
      <c r="G22" s="131">
        <v>493387.1</v>
      </c>
      <c r="H22" s="128">
        <f>EXP(C$76+C$77*B22)</f>
        <v>377618.2845094492</v>
      </c>
      <c r="I22" s="173">
        <f>G22-H22</f>
        <v>115768.81549055077</v>
      </c>
      <c r="J22" s="194">
        <f t="shared" si="0"/>
        <v>115768.81549055077</v>
      </c>
      <c r="K22" s="181">
        <f>I22*I22</f>
        <v>13402418640.085188</v>
      </c>
      <c r="L22" s="214">
        <f>J22/G22</f>
        <v>0.234640945194049</v>
      </c>
      <c r="M22" s="181">
        <f>J22/ABS(G22+H22)</f>
        <v>0.13291400667488623</v>
      </c>
    </row>
    <row r="23" spans="1:13" ht="15.75">
      <c r="A23" s="141" t="s">
        <v>21</v>
      </c>
      <c r="B23" s="27">
        <f t="shared" si="9"/>
        <v>22</v>
      </c>
      <c r="C23" s="28">
        <f t="shared" si="2"/>
        <v>13.146224034259383</v>
      </c>
      <c r="D23" s="77">
        <f t="shared" si="3"/>
        <v>484</v>
      </c>
      <c r="E23" s="47">
        <f t="shared" si="4"/>
        <v>289.21692875370644</v>
      </c>
      <c r="G23" s="132">
        <v>512073.8</v>
      </c>
      <c r="H23" s="127">
        <f t="shared" si="5"/>
        <v>385344.60534043406</v>
      </c>
      <c r="I23" s="174">
        <f t="shared" si="6"/>
        <v>126729.19465956592</v>
      </c>
      <c r="J23" s="194">
        <f t="shared" si="0"/>
        <v>126729.19465956592</v>
      </c>
      <c r="K23" s="177">
        <f t="shared" si="7"/>
        <v>16060288779.062153</v>
      </c>
      <c r="L23" s="215">
        <f t="shared" si="1"/>
        <v>0.24748228606807443</v>
      </c>
      <c r="M23" s="177">
        <f t="shared" si="8"/>
        <v>0.14121528364630703</v>
      </c>
    </row>
    <row r="24" spans="1:13" ht="15.75">
      <c r="A24" s="141" t="s">
        <v>22</v>
      </c>
      <c r="B24" s="27">
        <f t="shared" si="9"/>
        <v>23</v>
      </c>
      <c r="C24" s="28">
        <f t="shared" si="2"/>
        <v>13.17581276574988</v>
      </c>
      <c r="D24" s="77">
        <f t="shared" si="3"/>
        <v>529</v>
      </c>
      <c r="E24" s="47">
        <f t="shared" si="4"/>
        <v>303.04369361224724</v>
      </c>
      <c r="G24" s="132">
        <v>527451.8</v>
      </c>
      <c r="H24" s="127">
        <f t="shared" si="5"/>
        <v>393229.0118257216</v>
      </c>
      <c r="I24" s="174">
        <f t="shared" si="6"/>
        <v>134222.78817427845</v>
      </c>
      <c r="J24" s="194">
        <f t="shared" si="0"/>
        <v>134222.78817427845</v>
      </c>
      <c r="K24" s="177">
        <f t="shared" si="7"/>
        <v>18015756865.27722</v>
      </c>
      <c r="L24" s="215">
        <f t="shared" si="1"/>
        <v>0.25447403568303006</v>
      </c>
      <c r="M24" s="177">
        <f t="shared" si="8"/>
        <v>0.1457864511242642</v>
      </c>
    </row>
    <row r="25" spans="1:13" ht="16.5" thickBot="1">
      <c r="A25" s="142" t="s">
        <v>23</v>
      </c>
      <c r="B25" s="31">
        <f t="shared" si="9"/>
        <v>24</v>
      </c>
      <c r="C25" s="28">
        <f t="shared" si="2"/>
        <v>13.217210722844625</v>
      </c>
      <c r="D25" s="78">
        <f t="shared" si="3"/>
        <v>576</v>
      </c>
      <c r="E25" s="49">
        <f t="shared" si="4"/>
        <v>317.213057348271</v>
      </c>
      <c r="G25" s="133">
        <v>549745.5</v>
      </c>
      <c r="H25" s="129">
        <f t="shared" si="5"/>
        <v>401274.73850276397</v>
      </c>
      <c r="I25" s="175">
        <f t="shared" si="6"/>
        <v>148470.76149723603</v>
      </c>
      <c r="J25" s="194">
        <f t="shared" si="0"/>
        <v>148470.76149723603</v>
      </c>
      <c r="K25" s="182">
        <f t="shared" si="7"/>
        <v>22043567019.569145</v>
      </c>
      <c r="L25" s="216">
        <f t="shared" si="1"/>
        <v>0.2700718086773535</v>
      </c>
      <c r="M25" s="182">
        <f t="shared" si="8"/>
        <v>0.15611735217221093</v>
      </c>
    </row>
    <row r="26" spans="1:13" ht="15.75">
      <c r="A26" s="140" t="s">
        <v>24</v>
      </c>
      <c r="B26" s="23">
        <f t="shared" si="9"/>
        <v>25</v>
      </c>
      <c r="C26" s="24">
        <f>LN(G26)</f>
        <v>13.235056861013442</v>
      </c>
      <c r="D26" s="76">
        <f>B26^2</f>
        <v>625</v>
      </c>
      <c r="E26" s="42">
        <f>B26*C26</f>
        <v>330.87642152533607</v>
      </c>
      <c r="G26" s="131">
        <v>559644.4</v>
      </c>
      <c r="H26" s="127">
        <f>EXP(C$76+C$77*B26)</f>
        <v>409485.08608979755</v>
      </c>
      <c r="I26" s="173">
        <f>G26-H26</f>
        <v>150159.31391020247</v>
      </c>
      <c r="J26" s="195">
        <f t="shared" si="0"/>
        <v>150159.31391020247</v>
      </c>
      <c r="K26" s="184">
        <f>I26*I26</f>
        <v>22547819553.982727</v>
      </c>
      <c r="L26" s="214">
        <f>J26/G26</f>
        <v>0.2683120101089236</v>
      </c>
      <c r="M26" s="181">
        <f>J26/ABS(G26+H26)</f>
        <v>0.15494246750871124</v>
      </c>
    </row>
    <row r="27" spans="1:13" ht="15.75">
      <c r="A27" s="141" t="s">
        <v>25</v>
      </c>
      <c r="B27" s="27">
        <f t="shared" si="9"/>
        <v>26</v>
      </c>
      <c r="C27" s="28">
        <f t="shared" si="2"/>
        <v>13.22593984259008</v>
      </c>
      <c r="D27" s="77">
        <f t="shared" si="3"/>
        <v>676</v>
      </c>
      <c r="E27" s="47">
        <f t="shared" si="4"/>
        <v>343.8744359073421</v>
      </c>
      <c r="G27" s="132">
        <v>554565.3</v>
      </c>
      <c r="H27" s="127">
        <f t="shared" si="5"/>
        <v>417863.42283994524</v>
      </c>
      <c r="I27" s="174">
        <f t="shared" si="6"/>
        <v>136701.8771600548</v>
      </c>
      <c r="J27" s="196">
        <f t="shared" si="0"/>
        <v>136701.8771600548</v>
      </c>
      <c r="K27" s="184">
        <f t="shared" si="7"/>
        <v>18687403219.082714</v>
      </c>
      <c r="L27" s="215">
        <f t="shared" si="1"/>
        <v>0.24650276019804124</v>
      </c>
      <c r="M27" s="177">
        <f t="shared" si="8"/>
        <v>0.14057778626779102</v>
      </c>
    </row>
    <row r="28" spans="1:13" ht="15.75">
      <c r="A28" s="141" t="s">
        <v>26</v>
      </c>
      <c r="B28" s="27">
        <f t="shared" si="9"/>
        <v>27</v>
      </c>
      <c r="C28" s="28">
        <f t="shared" si="2"/>
        <v>13.203776345841634</v>
      </c>
      <c r="D28" s="77">
        <f t="shared" si="3"/>
        <v>729</v>
      </c>
      <c r="E28" s="47">
        <f t="shared" si="4"/>
        <v>356.50196133772414</v>
      </c>
      <c r="G28" s="132">
        <v>542409.4</v>
      </c>
      <c r="H28" s="127">
        <f t="shared" si="5"/>
        <v>426413.18592302524</v>
      </c>
      <c r="I28" s="174">
        <f t="shared" si="6"/>
        <v>115996.21407697478</v>
      </c>
      <c r="J28" s="196">
        <f t="shared" si="0"/>
        <v>115996.21407697478</v>
      </c>
      <c r="K28" s="184">
        <f t="shared" si="7"/>
        <v>13455121680.191362</v>
      </c>
      <c r="L28" s="215">
        <f t="shared" si="1"/>
        <v>0.21385362067282532</v>
      </c>
      <c r="M28" s="177">
        <f t="shared" si="8"/>
        <v>0.11972905644686414</v>
      </c>
    </row>
    <row r="29" spans="1:13" ht="16.5" thickBot="1">
      <c r="A29" s="142" t="s">
        <v>27</v>
      </c>
      <c r="B29" s="31">
        <f t="shared" si="9"/>
        <v>28</v>
      </c>
      <c r="C29" s="28">
        <f t="shared" si="2"/>
        <v>13.193629902181582</v>
      </c>
      <c r="D29" s="78">
        <f t="shared" si="3"/>
        <v>784</v>
      </c>
      <c r="E29" s="49">
        <f t="shared" si="4"/>
        <v>369.4216372610843</v>
      </c>
      <c r="G29" s="133">
        <v>536933.7</v>
      </c>
      <c r="H29" s="127">
        <f t="shared" si="5"/>
        <v>435137.88283563266</v>
      </c>
      <c r="I29" s="175">
        <f t="shared" si="6"/>
        <v>101795.8171643673</v>
      </c>
      <c r="J29" s="197">
        <f t="shared" si="0"/>
        <v>101795.8171643673</v>
      </c>
      <c r="K29" s="184">
        <f t="shared" si="7"/>
        <v>10362388392.161295</v>
      </c>
      <c r="L29" s="216">
        <f t="shared" si="1"/>
        <v>0.18958731248265345</v>
      </c>
      <c r="M29" s="177">
        <f t="shared" si="8"/>
        <v>0.10472049482962813</v>
      </c>
    </row>
    <row r="30" spans="1:13" ht="15.75">
      <c r="A30" s="140" t="s">
        <v>28</v>
      </c>
      <c r="B30" s="23">
        <f t="shared" si="9"/>
        <v>29</v>
      </c>
      <c r="C30" s="24">
        <f>LN(G30)</f>
        <v>13.214349858016702</v>
      </c>
      <c r="D30" s="76">
        <f>B30^2</f>
        <v>841</v>
      </c>
      <c r="E30" s="42">
        <f>B30*C30</f>
        <v>383.21614588248434</v>
      </c>
      <c r="G30" s="131">
        <v>548175</v>
      </c>
      <c r="H30" s="128">
        <f>EXP(C$76+C$77*B30)</f>
        <v>444041.0928400716</v>
      </c>
      <c r="I30" s="173">
        <f>G30-H30</f>
        <v>104133.9071599284</v>
      </c>
      <c r="J30" s="194">
        <f t="shared" si="0"/>
        <v>104133.9071599284</v>
      </c>
      <c r="K30" s="181">
        <f>I30*I30</f>
        <v>10843870620.39259</v>
      </c>
      <c r="L30" s="214">
        <f>J30/G30</f>
        <v>0.1899647141148874</v>
      </c>
      <c r="M30" s="181">
        <f>J30/ABS(G30+H30)</f>
        <v>0.10495083471369682</v>
      </c>
    </row>
    <row r="31" spans="1:13" ht="15.75">
      <c r="A31" s="141" t="s">
        <v>29</v>
      </c>
      <c r="B31" s="27">
        <f t="shared" si="9"/>
        <v>30</v>
      </c>
      <c r="C31" s="28">
        <f t="shared" si="2"/>
        <v>13.205592510719562</v>
      </c>
      <c r="D31" s="77">
        <f t="shared" si="3"/>
        <v>900</v>
      </c>
      <c r="E31" s="47">
        <f t="shared" si="4"/>
        <v>396.1677753215869</v>
      </c>
      <c r="G31" s="132">
        <v>543395.4</v>
      </c>
      <c r="H31" s="127">
        <f t="shared" si="5"/>
        <v>453126.4684327296</v>
      </c>
      <c r="I31" s="174">
        <f t="shared" si="6"/>
        <v>90268.93156727043</v>
      </c>
      <c r="J31" s="194">
        <f t="shared" si="0"/>
        <v>90268.93156727043</v>
      </c>
      <c r="K31" s="177">
        <f t="shared" si="7"/>
        <v>8148480006.296551</v>
      </c>
      <c r="L31" s="215">
        <f t="shared" si="1"/>
        <v>0.16612016142806954</v>
      </c>
      <c r="M31" s="177">
        <f t="shared" si="8"/>
        <v>0.09058399461844228</v>
      </c>
    </row>
    <row r="32" spans="1:13" ht="15.75">
      <c r="A32" s="141" t="s">
        <v>30</v>
      </c>
      <c r="B32" s="27">
        <f t="shared" si="9"/>
        <v>31</v>
      </c>
      <c r="C32" s="28">
        <f t="shared" si="2"/>
        <v>13.213444445289895</v>
      </c>
      <c r="D32" s="77">
        <f t="shared" si="3"/>
        <v>961</v>
      </c>
      <c r="E32" s="47">
        <f t="shared" si="4"/>
        <v>409.61677780398674</v>
      </c>
      <c r="G32" s="132">
        <v>547678.9</v>
      </c>
      <c r="H32" s="127">
        <f t="shared" si="5"/>
        <v>462397.7368424954</v>
      </c>
      <c r="I32" s="174">
        <f t="shared" si="6"/>
        <v>85281.16315750463</v>
      </c>
      <c r="J32" s="194">
        <f t="shared" si="0"/>
        <v>85281.16315750463</v>
      </c>
      <c r="K32" s="177">
        <f t="shared" si="7"/>
        <v>7272876789.496925</v>
      </c>
      <c r="L32" s="215">
        <f t="shared" si="1"/>
        <v>0.1557138008375065</v>
      </c>
      <c r="M32" s="177">
        <f t="shared" si="8"/>
        <v>0.08443038879118517</v>
      </c>
    </row>
    <row r="33" spans="1:13" ht="16.5" thickBot="1">
      <c r="A33" s="142" t="s">
        <v>31</v>
      </c>
      <c r="B33" s="31">
        <f t="shared" si="9"/>
        <v>32</v>
      </c>
      <c r="C33" s="28">
        <f t="shared" si="2"/>
        <v>13.216132188091194</v>
      </c>
      <c r="D33" s="78">
        <f t="shared" si="3"/>
        <v>1024</v>
      </c>
      <c r="E33" s="49">
        <f t="shared" si="4"/>
        <v>422.9162300189182</v>
      </c>
      <c r="G33" s="133">
        <v>549152.9</v>
      </c>
      <c r="H33" s="129">
        <f t="shared" si="5"/>
        <v>471858.7015598356</v>
      </c>
      <c r="I33" s="175">
        <f t="shared" si="6"/>
        <v>77294.19844016444</v>
      </c>
      <c r="J33" s="194">
        <f t="shared" si="0"/>
        <v>77294.19844016444</v>
      </c>
      <c r="K33" s="182">
        <f t="shared" si="7"/>
        <v>5974393112.50752</v>
      </c>
      <c r="L33" s="216">
        <f t="shared" si="1"/>
        <v>0.14075168944781033</v>
      </c>
      <c r="M33" s="182">
        <f t="shared" si="8"/>
        <v>0.07570354570122353</v>
      </c>
    </row>
    <row r="34" spans="1:13" ht="15.75">
      <c r="A34" s="140" t="s">
        <v>32</v>
      </c>
      <c r="B34" s="27">
        <f t="shared" si="9"/>
        <v>33</v>
      </c>
      <c r="C34" s="24">
        <f>LN(G34)</f>
        <v>13.251211897476512</v>
      </c>
      <c r="D34" s="76">
        <f>B34^2</f>
        <v>1089</v>
      </c>
      <c r="E34" s="42">
        <f>B34*C34</f>
        <v>437.28999261672493</v>
      </c>
      <c r="G34" s="131">
        <v>568758.9</v>
      </c>
      <c r="H34" s="127">
        <f>EXP(C$76+C$77*B34)</f>
        <v>481513.24389715714</v>
      </c>
      <c r="I34" s="173">
        <f>G34-H34</f>
        <v>87245.65610284288</v>
      </c>
      <c r="J34" s="195">
        <f aca="true" t="shared" si="10" ref="J34:J61">ABS(I34)</f>
        <v>87245.65610284288</v>
      </c>
      <c r="K34" s="184">
        <f>I34*I34</f>
        <v>7611804508.815526</v>
      </c>
      <c r="L34" s="214">
        <f>J34/G34</f>
        <v>0.153396555381978</v>
      </c>
      <c r="M34" s="181">
        <f>J34/ABS(G34+H34)</f>
        <v>0.08306957069156162</v>
      </c>
    </row>
    <row r="35" spans="1:13" ht="15.75">
      <c r="A35" s="141" t="s">
        <v>33</v>
      </c>
      <c r="B35" s="27">
        <f t="shared" si="9"/>
        <v>34</v>
      </c>
      <c r="C35" s="28">
        <f t="shared" si="2"/>
        <v>13.27627722919004</v>
      </c>
      <c r="D35" s="77">
        <f t="shared" si="3"/>
        <v>1156</v>
      </c>
      <c r="E35" s="47">
        <f t="shared" si="4"/>
        <v>451.39342579246136</v>
      </c>
      <c r="G35" s="132">
        <v>583195.2</v>
      </c>
      <c r="H35" s="127">
        <f t="shared" si="5"/>
        <v>491365.32458109607</v>
      </c>
      <c r="I35" s="174">
        <f t="shared" si="6"/>
        <v>91829.87541890389</v>
      </c>
      <c r="J35" s="196">
        <f t="shared" si="10"/>
        <v>91829.87541890389</v>
      </c>
      <c r="K35" s="184">
        <f t="shared" si="7"/>
        <v>8432726019.451408</v>
      </c>
      <c r="L35" s="215">
        <f t="shared" si="1"/>
        <v>0.15745993008670836</v>
      </c>
      <c r="M35" s="177">
        <f t="shared" si="8"/>
        <v>0.08545807641193837</v>
      </c>
    </row>
    <row r="36" spans="1:13" ht="15.75">
      <c r="A36" s="141" t="s">
        <v>34</v>
      </c>
      <c r="B36" s="27">
        <f t="shared" si="9"/>
        <v>35</v>
      </c>
      <c r="C36" s="28">
        <f t="shared" si="2"/>
        <v>13.287328342915378</v>
      </c>
      <c r="D36" s="77">
        <f t="shared" si="3"/>
        <v>1225</v>
      </c>
      <c r="E36" s="47">
        <f t="shared" si="4"/>
        <v>465.0564920020382</v>
      </c>
      <c r="G36" s="132">
        <v>589675.9</v>
      </c>
      <c r="H36" s="127">
        <f t="shared" si="5"/>
        <v>501418.9853773851</v>
      </c>
      <c r="I36" s="174">
        <f t="shared" si="6"/>
        <v>88256.91462261492</v>
      </c>
      <c r="J36" s="196">
        <f t="shared" si="10"/>
        <v>88256.91462261492</v>
      </c>
      <c r="K36" s="184">
        <f t="shared" si="7"/>
        <v>7789282978.703539</v>
      </c>
      <c r="L36" s="215">
        <f t="shared" si="1"/>
        <v>0.1496702080288764</v>
      </c>
      <c r="M36" s="177">
        <f t="shared" si="8"/>
        <v>0.0808883955056657</v>
      </c>
    </row>
    <row r="37" spans="1:13" ht="16.5" thickBot="1">
      <c r="A37" s="142" t="s">
        <v>35</v>
      </c>
      <c r="B37" s="27">
        <f t="shared" si="9"/>
        <v>36</v>
      </c>
      <c r="C37" s="28">
        <f t="shared" si="2"/>
        <v>13.297947119352127</v>
      </c>
      <c r="D37" s="78">
        <f t="shared" si="3"/>
        <v>1296</v>
      </c>
      <c r="E37" s="49">
        <f t="shared" si="4"/>
        <v>478.7260962966766</v>
      </c>
      <c r="G37" s="133">
        <v>595970.9</v>
      </c>
      <c r="H37" s="127">
        <f t="shared" si="5"/>
        <v>511678.3507489675</v>
      </c>
      <c r="I37" s="175">
        <f t="shared" si="6"/>
        <v>84292.54925103253</v>
      </c>
      <c r="J37" s="197">
        <f t="shared" si="10"/>
        <v>84292.54925103253</v>
      </c>
      <c r="K37" s="184">
        <f t="shared" si="7"/>
        <v>7105233859.237744</v>
      </c>
      <c r="L37" s="216">
        <f t="shared" si="1"/>
        <v>0.1414373575136513</v>
      </c>
      <c r="M37" s="177">
        <f t="shared" si="8"/>
        <v>0.07610039838336531</v>
      </c>
    </row>
    <row r="38" spans="1:13" ht="15.75">
      <c r="A38" s="140" t="s">
        <v>36</v>
      </c>
      <c r="B38" s="23">
        <f t="shared" si="9"/>
        <v>37</v>
      </c>
      <c r="C38" s="24">
        <f>LN(G38)</f>
        <v>13.298895708924674</v>
      </c>
      <c r="D38" s="76">
        <f>B38^2</f>
        <v>1369</v>
      </c>
      <c r="E38" s="42">
        <f>B38*C38</f>
        <v>492.0591412302129</v>
      </c>
      <c r="G38" s="131">
        <v>596536.5</v>
      </c>
      <c r="H38" s="128">
        <f>EXP(C$76+C$77*B38)</f>
        <v>522147.62954803684</v>
      </c>
      <c r="I38" s="173">
        <f>G38-H38</f>
        <v>74388.87045196316</v>
      </c>
      <c r="J38" s="194">
        <f t="shared" si="10"/>
        <v>74388.87045196316</v>
      </c>
      <c r="K38" s="181">
        <f>I38*I38</f>
        <v>5533704047.1189575</v>
      </c>
      <c r="L38" s="214">
        <f>J38/G38</f>
        <v>0.12470128894369943</v>
      </c>
      <c r="M38" s="181">
        <f>J38/ABS(G38+H38)</f>
        <v>0.0664967603339624</v>
      </c>
    </row>
    <row r="39" spans="1:13" ht="15.75">
      <c r="A39" s="141" t="s">
        <v>37</v>
      </c>
      <c r="B39" s="27">
        <f t="shared" si="9"/>
        <v>38</v>
      </c>
      <c r="C39" s="28">
        <f t="shared" si="2"/>
        <v>13.294896011984706</v>
      </c>
      <c r="D39" s="77">
        <f t="shared" si="3"/>
        <v>1444</v>
      </c>
      <c r="E39" s="47">
        <f t="shared" si="4"/>
        <v>505.20604845541885</v>
      </c>
      <c r="G39" s="132">
        <v>594155.3</v>
      </c>
      <c r="H39" s="127">
        <f t="shared" si="5"/>
        <v>532831.1167426973</v>
      </c>
      <c r="I39" s="174">
        <f t="shared" si="6"/>
        <v>61324.183257302735</v>
      </c>
      <c r="J39" s="194">
        <f t="shared" si="10"/>
        <v>61324.183257302735</v>
      </c>
      <c r="K39" s="177">
        <f t="shared" si="7"/>
        <v>3760655452.175249</v>
      </c>
      <c r="L39" s="215">
        <f t="shared" si="1"/>
        <v>0.1032123811018815</v>
      </c>
      <c r="M39" s="177">
        <f t="shared" si="8"/>
        <v>0.054414305573040174</v>
      </c>
    </row>
    <row r="40" spans="1:13" ht="15.75">
      <c r="A40" s="141" t="s">
        <v>38</v>
      </c>
      <c r="B40" s="27">
        <f t="shared" si="9"/>
        <v>39</v>
      </c>
      <c r="C40" s="28">
        <f t="shared" si="2"/>
        <v>13.271930310755787</v>
      </c>
      <c r="D40" s="77">
        <f t="shared" si="3"/>
        <v>1521</v>
      </c>
      <c r="E40" s="47">
        <f t="shared" si="4"/>
        <v>517.6052821194756</v>
      </c>
      <c r="G40" s="132">
        <v>580665.6</v>
      </c>
      <c r="H40" s="127">
        <f t="shared" si="5"/>
        <v>543733.1951789523</v>
      </c>
      <c r="I40" s="174">
        <f t="shared" si="6"/>
        <v>36932.404821047676</v>
      </c>
      <c r="J40" s="194">
        <f t="shared" si="10"/>
        <v>36932.404821047676</v>
      </c>
      <c r="K40" s="177">
        <f t="shared" si="7"/>
        <v>1364002525.8657455</v>
      </c>
      <c r="L40" s="215">
        <f t="shared" si="1"/>
        <v>0.06360356945727055</v>
      </c>
      <c r="M40" s="177">
        <f t="shared" si="8"/>
        <v>0.03284635751959317</v>
      </c>
    </row>
    <row r="41" spans="1:13" ht="16.5" thickBot="1">
      <c r="A41" s="142" t="s">
        <v>39</v>
      </c>
      <c r="B41" s="31">
        <f t="shared" si="9"/>
        <v>40</v>
      </c>
      <c r="C41" s="28">
        <f t="shared" si="2"/>
        <v>13.248706647263981</v>
      </c>
      <c r="D41" s="78">
        <f t="shared" si="3"/>
        <v>1600</v>
      </c>
      <c r="E41" s="49">
        <f t="shared" si="4"/>
        <v>529.9482658905592</v>
      </c>
      <c r="G41" s="133">
        <v>567335.8</v>
      </c>
      <c r="H41" s="129">
        <f t="shared" si="5"/>
        <v>554858.3373787442</v>
      </c>
      <c r="I41" s="175">
        <f t="shared" si="6"/>
        <v>12477.462621255894</v>
      </c>
      <c r="J41" s="194">
        <f t="shared" si="10"/>
        <v>12477.462621255894</v>
      </c>
      <c r="K41" s="182">
        <f t="shared" si="7"/>
        <v>155687073.464838</v>
      </c>
      <c r="L41" s="216">
        <f t="shared" si="1"/>
        <v>0.021993081736170875</v>
      </c>
      <c r="M41" s="182">
        <f t="shared" si="8"/>
        <v>0.01111880930905693</v>
      </c>
    </row>
    <row r="42" spans="1:13" ht="15.75">
      <c r="A42" s="140" t="s">
        <v>40</v>
      </c>
      <c r="B42" s="27">
        <f t="shared" si="9"/>
        <v>41</v>
      </c>
      <c r="C42" s="24">
        <f>LN(G42)</f>
        <v>13.23694395733558</v>
      </c>
      <c r="D42" s="76">
        <f>B42^2</f>
        <v>1681</v>
      </c>
      <c r="E42" s="42">
        <f>B42*C42</f>
        <v>542.7147022507588</v>
      </c>
      <c r="G42" s="131">
        <v>560701.5</v>
      </c>
      <c r="H42" s="127">
        <f>EXP(C$76+C$77*B42)</f>
        <v>566211.1073747843</v>
      </c>
      <c r="I42" s="173">
        <f>G42-H42</f>
        <v>-5509.607374784304</v>
      </c>
      <c r="J42" s="195">
        <f t="shared" si="10"/>
        <v>5509.607374784304</v>
      </c>
      <c r="K42" s="184">
        <f>I42*I42</f>
        <v>30355773.42427759</v>
      </c>
      <c r="L42" s="214">
        <f>J42/G42</f>
        <v>0.009826275433157044</v>
      </c>
      <c r="M42" s="181">
        <f>J42/ABS(G42+H42)</f>
        <v>0.0048891168123669235</v>
      </c>
    </row>
    <row r="43" spans="1:13" ht="15.75">
      <c r="A43" s="141" t="s">
        <v>41</v>
      </c>
      <c r="B43" s="27">
        <f t="shared" si="9"/>
        <v>42</v>
      </c>
      <c r="C43" s="28">
        <f t="shared" si="2"/>
        <v>13.224429412214722</v>
      </c>
      <c r="D43" s="77">
        <f t="shared" si="3"/>
        <v>1764</v>
      </c>
      <c r="E43" s="47">
        <f t="shared" si="4"/>
        <v>555.4260353130184</v>
      </c>
      <c r="G43" s="132">
        <v>553728.3</v>
      </c>
      <c r="H43" s="127">
        <f t="shared" si="5"/>
        <v>577796.1625829235</v>
      </c>
      <c r="I43" s="174">
        <f t="shared" si="6"/>
        <v>-24067.862582923495</v>
      </c>
      <c r="J43" s="196">
        <f t="shared" si="10"/>
        <v>24067.862582923495</v>
      </c>
      <c r="K43" s="184">
        <f t="shared" si="7"/>
        <v>579262009.3104888</v>
      </c>
      <c r="L43" s="215">
        <f t="shared" si="1"/>
        <v>0.04346511201057178</v>
      </c>
      <c r="M43" s="177">
        <f t="shared" si="8"/>
        <v>0.02127029806141702</v>
      </c>
    </row>
    <row r="44" spans="1:13" ht="15.75">
      <c r="A44" s="141" t="s">
        <v>42</v>
      </c>
      <c r="B44" s="27">
        <f t="shared" si="9"/>
        <v>43</v>
      </c>
      <c r="C44" s="28">
        <f t="shared" si="2"/>
        <v>13.214852673162852</v>
      </c>
      <c r="D44" s="77">
        <f t="shared" si="3"/>
        <v>1849</v>
      </c>
      <c r="E44" s="47">
        <f t="shared" si="4"/>
        <v>568.2386649460027</v>
      </c>
      <c r="G44" s="132">
        <v>548450.7</v>
      </c>
      <c r="H44" s="127">
        <f t="shared" si="5"/>
        <v>589618.2557128335</v>
      </c>
      <c r="I44" s="174">
        <f t="shared" si="6"/>
        <v>-41167.555712833535</v>
      </c>
      <c r="J44" s="196">
        <f t="shared" si="10"/>
        <v>41167.555712833535</v>
      </c>
      <c r="K44" s="184">
        <f t="shared" si="7"/>
        <v>1694767643.369253</v>
      </c>
      <c r="L44" s="215">
        <f t="shared" si="1"/>
        <v>0.0750615428384603</v>
      </c>
      <c r="M44" s="177">
        <f t="shared" si="8"/>
        <v>0.03617316464541298</v>
      </c>
    </row>
    <row r="45" spans="1:13" ht="16.5" thickBot="1">
      <c r="A45" s="142" t="s">
        <v>43</v>
      </c>
      <c r="B45" s="27">
        <f t="shared" si="9"/>
        <v>44</v>
      </c>
      <c r="C45" s="28">
        <f t="shared" si="2"/>
        <v>13.232161193666188</v>
      </c>
      <c r="D45" s="78">
        <f t="shared" si="3"/>
        <v>1936</v>
      </c>
      <c r="E45" s="49">
        <f t="shared" si="4"/>
        <v>582.2150925213123</v>
      </c>
      <c r="G45" s="132">
        <v>558026.2</v>
      </c>
      <c r="H45" s="127">
        <f t="shared" si="5"/>
        <v>601682.2367177815</v>
      </c>
      <c r="I45" s="175">
        <f t="shared" si="6"/>
        <v>-43656.036717781564</v>
      </c>
      <c r="J45" s="197">
        <f t="shared" si="10"/>
        <v>43656.036717781564</v>
      </c>
      <c r="K45" s="184">
        <f t="shared" si="7"/>
        <v>1905849541.904292</v>
      </c>
      <c r="L45" s="216">
        <f t="shared" si="1"/>
        <v>0.07823295163879683</v>
      </c>
      <c r="M45" s="177">
        <f t="shared" si="8"/>
        <v>0.037643976137086074</v>
      </c>
    </row>
    <row r="46" spans="1:13" ht="15.75">
      <c r="A46" s="140" t="s">
        <v>44</v>
      </c>
      <c r="B46" s="23">
        <f t="shared" si="9"/>
        <v>45</v>
      </c>
      <c r="C46" s="24">
        <f>LN(G46)</f>
        <v>13.231114637983763</v>
      </c>
      <c r="D46" s="76">
        <f>B46^2</f>
        <v>2025</v>
      </c>
      <c r="E46" s="42">
        <f>B46*C46</f>
        <v>595.4001587092694</v>
      </c>
      <c r="G46" s="131">
        <v>557442.5</v>
      </c>
      <c r="H46" s="128">
        <f>EXP(C$76+C$77*B46)</f>
        <v>613993.0547842986</v>
      </c>
      <c r="I46" s="173">
        <f>G46-H46</f>
        <v>-56550.55478429864</v>
      </c>
      <c r="J46" s="194">
        <f t="shared" si="10"/>
        <v>56550.55478429864</v>
      </c>
      <c r="K46" s="181">
        <f>I46*I46</f>
        <v>3197965246.411962</v>
      </c>
      <c r="L46" s="214">
        <f>J46/G46</f>
        <v>0.1014464357925681</v>
      </c>
      <c r="M46" s="181">
        <f>J46/ABS(G46+H46)</f>
        <v>0.04827457605613783</v>
      </c>
    </row>
    <row r="47" spans="1:13" ht="15.75">
      <c r="A47" s="141" t="s">
        <v>45</v>
      </c>
      <c r="B47" s="27">
        <f t="shared" si="9"/>
        <v>46</v>
      </c>
      <c r="C47" s="28">
        <f t="shared" si="2"/>
        <v>13.242221059492763</v>
      </c>
      <c r="D47" s="77">
        <f t="shared" si="3"/>
        <v>2116</v>
      </c>
      <c r="E47" s="47">
        <f t="shared" si="4"/>
        <v>609.1421687366671</v>
      </c>
      <c r="G47" s="132">
        <v>563668.2</v>
      </c>
      <c r="H47" s="127">
        <f t="shared" si="5"/>
        <v>626555.760362559</v>
      </c>
      <c r="I47" s="174">
        <f t="shared" si="6"/>
        <v>-62887.560362559045</v>
      </c>
      <c r="J47" s="194">
        <f t="shared" si="10"/>
        <v>62887.560362559045</v>
      </c>
      <c r="K47" s="177">
        <f t="shared" si="7"/>
        <v>3954845248.3545074</v>
      </c>
      <c r="L47" s="215">
        <f t="shared" si="1"/>
        <v>0.11156840205383069</v>
      </c>
      <c r="M47" s="177">
        <f t="shared" si="8"/>
        <v>0.05283674539991835</v>
      </c>
    </row>
    <row r="48" spans="1:13" ht="15.75">
      <c r="A48" s="141" t="s">
        <v>46</v>
      </c>
      <c r="B48" s="27">
        <f t="shared" si="9"/>
        <v>47</v>
      </c>
      <c r="C48" s="28">
        <f t="shared" si="2"/>
        <v>13.251946385407221</v>
      </c>
      <c r="D48" s="77">
        <f t="shared" si="3"/>
        <v>2209</v>
      </c>
      <c r="E48" s="47">
        <f t="shared" si="4"/>
        <v>622.8414801141394</v>
      </c>
      <c r="G48" s="132">
        <v>569176.8</v>
      </c>
      <c r="H48" s="127">
        <f t="shared" si="5"/>
        <v>639375.5072383003</v>
      </c>
      <c r="I48" s="174">
        <f t="shared" si="6"/>
        <v>-70198.70723830024</v>
      </c>
      <c r="J48" s="194">
        <f t="shared" si="10"/>
        <v>70198.70723830024</v>
      </c>
      <c r="K48" s="177">
        <f t="shared" si="7"/>
        <v>4927858497.928586</v>
      </c>
      <c r="L48" s="215">
        <f t="shared" si="1"/>
        <v>0.12333374662899162</v>
      </c>
      <c r="M48" s="177">
        <f t="shared" si="8"/>
        <v>0.05808495570929275</v>
      </c>
    </row>
    <row r="49" spans="1:13" ht="16.5" thickBot="1">
      <c r="A49" s="142" t="s">
        <v>47</v>
      </c>
      <c r="B49" s="31">
        <f t="shared" si="9"/>
        <v>48</v>
      </c>
      <c r="C49" s="28">
        <f t="shared" si="2"/>
        <v>13.283741816790428</v>
      </c>
      <c r="D49" s="78">
        <f t="shared" si="3"/>
        <v>2304</v>
      </c>
      <c r="E49" s="49">
        <f t="shared" si="4"/>
        <v>637.6196072059406</v>
      </c>
      <c r="G49" s="132">
        <v>587564.8</v>
      </c>
      <c r="H49" s="129">
        <f t="shared" si="5"/>
        <v>652457.5546471386</v>
      </c>
      <c r="I49" s="175">
        <f t="shared" si="6"/>
        <v>-64892.75464713853</v>
      </c>
      <c r="J49" s="194">
        <f t="shared" si="10"/>
        <v>64892.75464713853</v>
      </c>
      <c r="K49" s="182">
        <f t="shared" si="7"/>
        <v>4211069605.693719</v>
      </c>
      <c r="L49" s="216">
        <f t="shared" si="1"/>
        <v>0.11044357089999013</v>
      </c>
      <c r="M49" s="182">
        <f t="shared" si="8"/>
        <v>0.05233192321408144</v>
      </c>
    </row>
    <row r="50" spans="1:13" ht="15.75">
      <c r="A50" s="140" t="s">
        <v>48</v>
      </c>
      <c r="B50" s="23">
        <f t="shared" si="9"/>
        <v>49</v>
      </c>
      <c r="C50" s="24">
        <f>LN(G50)</f>
        <v>13.278736671108675</v>
      </c>
      <c r="D50" s="76">
        <f>B50^2</f>
        <v>2401</v>
      </c>
      <c r="E50" s="42">
        <f>B50*C50</f>
        <v>650.658096884325</v>
      </c>
      <c r="G50" s="131">
        <v>584631.3</v>
      </c>
      <c r="H50" s="127">
        <f>EXP(C$76+C$77*B50)</f>
        <v>665807.2694321426</v>
      </c>
      <c r="I50" s="173">
        <f>G50-H50</f>
        <v>-81175.96943214256</v>
      </c>
      <c r="J50" s="195">
        <f t="shared" si="10"/>
        <v>81175.96943214256</v>
      </c>
      <c r="K50" s="184">
        <f>I50*I50</f>
        <v>6589538013.248144</v>
      </c>
      <c r="L50" s="214">
        <f>J50/G50</f>
        <v>0.1388498519188804</v>
      </c>
      <c r="M50" s="181">
        <f>J50/ABS(G50+H50)</f>
        <v>0.06491799870585144</v>
      </c>
    </row>
    <row r="51" spans="1:13" ht="15.75">
      <c r="A51" s="141" t="s">
        <v>49</v>
      </c>
      <c r="B51" s="27">
        <f t="shared" si="9"/>
        <v>50</v>
      </c>
      <c r="C51" s="28">
        <f t="shared" si="2"/>
        <v>13.287012526372651</v>
      </c>
      <c r="D51" s="77">
        <f t="shared" si="3"/>
        <v>2500</v>
      </c>
      <c r="E51" s="47">
        <f t="shared" si="4"/>
        <v>664.3506263186325</v>
      </c>
      <c r="G51" s="132">
        <v>589489.7</v>
      </c>
      <c r="H51" s="127">
        <f t="shared" si="5"/>
        <v>679430.1282455536</v>
      </c>
      <c r="I51" s="174">
        <f t="shared" si="6"/>
        <v>-89940.42824555363</v>
      </c>
      <c r="J51" s="196">
        <f t="shared" si="10"/>
        <v>89940.42824555363</v>
      </c>
      <c r="K51" s="184">
        <f t="shared" si="7"/>
        <v>8089280632.993581</v>
      </c>
      <c r="L51" s="215">
        <f t="shared" si="1"/>
        <v>0.15257336683839198</v>
      </c>
      <c r="M51" s="177">
        <f t="shared" si="8"/>
        <v>0.07087951992200164</v>
      </c>
    </row>
    <row r="52" spans="1:13" ht="15.75">
      <c r="A52" s="141" t="s">
        <v>50</v>
      </c>
      <c r="B52" s="27">
        <f t="shared" si="9"/>
        <v>51</v>
      </c>
      <c r="C52" s="28">
        <f t="shared" si="2"/>
        <v>13.274483081911036</v>
      </c>
      <c r="D52" s="77">
        <f t="shared" si="3"/>
        <v>2601</v>
      </c>
      <c r="E52" s="47">
        <f t="shared" si="4"/>
        <v>676.9986371774628</v>
      </c>
      <c r="G52" s="132">
        <v>582149.8</v>
      </c>
      <c r="H52" s="127">
        <f t="shared" si="5"/>
        <v>693331.7197955544</v>
      </c>
      <c r="I52" s="174">
        <f t="shared" si="6"/>
        <v>-111181.91979555436</v>
      </c>
      <c r="J52" s="196">
        <f t="shared" si="10"/>
        <v>111181.91979555436</v>
      </c>
      <c r="K52" s="184">
        <f t="shared" si="7"/>
        <v>12361419289.425083</v>
      </c>
      <c r="L52" s="215">
        <f t="shared" si="1"/>
        <v>0.19098506912748978</v>
      </c>
      <c r="M52" s="177">
        <f t="shared" si="8"/>
        <v>0.08716858540872909</v>
      </c>
    </row>
    <row r="53" spans="1:13" ht="16.5" thickBot="1">
      <c r="A53" s="142" t="s">
        <v>51</v>
      </c>
      <c r="B53" s="31">
        <f t="shared" si="9"/>
        <v>52</v>
      </c>
      <c r="C53" s="28">
        <f t="shared" si="2"/>
        <v>13.303313160413369</v>
      </c>
      <c r="D53" s="78">
        <f t="shared" si="3"/>
        <v>2704</v>
      </c>
      <c r="E53" s="49">
        <f t="shared" si="4"/>
        <v>691.7722843414952</v>
      </c>
      <c r="G53" s="132">
        <v>599177.5</v>
      </c>
      <c r="H53" s="127">
        <f t="shared" si="5"/>
        <v>707517.7471390077</v>
      </c>
      <c r="I53" s="175">
        <f t="shared" si="6"/>
        <v>-108340.24713900767</v>
      </c>
      <c r="J53" s="197">
        <f t="shared" si="10"/>
        <v>108340.24713900767</v>
      </c>
      <c r="K53" s="184">
        <f t="shared" si="7"/>
        <v>11737609150.141258</v>
      </c>
      <c r="L53" s="216">
        <f t="shared" si="1"/>
        <v>0.1808149457197703</v>
      </c>
      <c r="M53" s="177">
        <f t="shared" si="8"/>
        <v>0.08291164093251065</v>
      </c>
    </row>
    <row r="54" spans="1:13" ht="15.75">
      <c r="A54" s="140" t="s">
        <v>52</v>
      </c>
      <c r="B54" s="23">
        <f t="shared" si="9"/>
        <v>53</v>
      </c>
      <c r="C54" s="24">
        <f>LN(G54)</f>
        <v>13.299853280536102</v>
      </c>
      <c r="D54" s="76">
        <f>B54^2</f>
        <v>2809</v>
      </c>
      <c r="E54" s="42">
        <f>B54*C54</f>
        <v>704.8922238684133</v>
      </c>
      <c r="G54" s="131">
        <v>597108</v>
      </c>
      <c r="H54" s="128">
        <f>EXP(C$76+C$77*B54)</f>
        <v>721994.0300211062</v>
      </c>
      <c r="I54" s="173">
        <f>G54-H54</f>
        <v>-124886.03002110624</v>
      </c>
      <c r="J54" s="194">
        <f t="shared" si="10"/>
        <v>124886.03002110624</v>
      </c>
      <c r="K54" s="181">
        <f>I54*I54</f>
        <v>15596520494.43265</v>
      </c>
      <c r="L54" s="214">
        <f>J54/G54</f>
        <v>0.2091514935675058</v>
      </c>
      <c r="M54" s="181">
        <f>J54/ABS(G54+H54)</f>
        <v>0.0946750343634207</v>
      </c>
    </row>
    <row r="55" spans="1:13" ht="15.75">
      <c r="A55" s="141" t="s">
        <v>53</v>
      </c>
      <c r="B55" s="27">
        <f t="shared" si="9"/>
        <v>54</v>
      </c>
      <c r="C55" s="28">
        <f t="shared" si="2"/>
        <v>13.312647151448793</v>
      </c>
      <c r="D55" s="77">
        <f t="shared" si="3"/>
        <v>2916</v>
      </c>
      <c r="E55" s="47">
        <f t="shared" si="4"/>
        <v>718.8829461782349</v>
      </c>
      <c r="G55" s="132">
        <v>604796.4</v>
      </c>
      <c r="H55" s="127">
        <f t="shared" si="5"/>
        <v>736766.5072628941</v>
      </c>
      <c r="I55" s="174">
        <f t="shared" si="6"/>
        <v>-131970.10726289405</v>
      </c>
      <c r="J55" s="194">
        <f t="shared" si="10"/>
        <v>131970.10726289405</v>
      </c>
      <c r="K55" s="177">
        <f t="shared" si="7"/>
        <v>17416109210.97976</v>
      </c>
      <c r="L55" s="215">
        <f t="shared" si="1"/>
        <v>0.2182058412763271</v>
      </c>
      <c r="M55" s="177">
        <f t="shared" si="8"/>
        <v>0.09837042046141861</v>
      </c>
    </row>
    <row r="56" spans="1:13" ht="15.75">
      <c r="A56" s="141" t="s">
        <v>54</v>
      </c>
      <c r="B56" s="27">
        <f t="shared" si="9"/>
        <v>55</v>
      </c>
      <c r="C56" s="28">
        <f t="shared" si="2"/>
        <v>13.315104791770224</v>
      </c>
      <c r="D56" s="77">
        <f t="shared" si="3"/>
        <v>3025</v>
      </c>
      <c r="E56" s="47">
        <f t="shared" si="4"/>
        <v>732.3307635473624</v>
      </c>
      <c r="G56" s="132">
        <v>606284.6</v>
      </c>
      <c r="H56" s="127">
        <f t="shared" si="5"/>
        <v>751841.2391976365</v>
      </c>
      <c r="I56" s="174">
        <f t="shared" si="6"/>
        <v>-145556.6391976365</v>
      </c>
      <c r="J56" s="194">
        <f t="shared" si="10"/>
        <v>145556.6391976365</v>
      </c>
      <c r="K56" s="177">
        <f t="shared" si="7"/>
        <v>21186735214.510933</v>
      </c>
      <c r="L56" s="215">
        <f t="shared" si="1"/>
        <v>0.24007972361105084</v>
      </c>
      <c r="M56" s="177">
        <f t="shared" si="8"/>
        <v>0.10717463359921751</v>
      </c>
    </row>
    <row r="57" spans="1:13" ht="16.5" thickBot="1">
      <c r="A57" s="142" t="s">
        <v>55</v>
      </c>
      <c r="B57" s="31">
        <f t="shared" si="9"/>
        <v>56</v>
      </c>
      <c r="C57" s="32">
        <f t="shared" si="2"/>
        <v>13.354493468541632</v>
      </c>
      <c r="D57" s="78">
        <f t="shared" si="3"/>
        <v>3136</v>
      </c>
      <c r="E57" s="49">
        <f t="shared" si="4"/>
        <v>747.8516342383314</v>
      </c>
      <c r="G57" s="132">
        <v>630641.9</v>
      </c>
      <c r="H57" s="129">
        <f t="shared" si="5"/>
        <v>767224.4101570417</v>
      </c>
      <c r="I57" s="175">
        <f t="shared" si="6"/>
        <v>-136582.51015704172</v>
      </c>
      <c r="J57" s="194">
        <f t="shared" si="10"/>
        <v>136582.51015704172</v>
      </c>
      <c r="K57" s="182">
        <f t="shared" si="7"/>
        <v>18654782080.798405</v>
      </c>
      <c r="L57" s="216">
        <f t="shared" si="1"/>
        <v>0.21657696730433185</v>
      </c>
      <c r="M57" s="182">
        <f t="shared" si="8"/>
        <v>0.09770784885837724</v>
      </c>
    </row>
    <row r="58" spans="1:13" ht="16.5" thickBot="1">
      <c r="A58" s="140" t="s">
        <v>56</v>
      </c>
      <c r="B58" s="27">
        <f t="shared" si="9"/>
        <v>57</v>
      </c>
      <c r="C58" s="28">
        <f t="shared" si="2"/>
        <v>13.364213112002355</v>
      </c>
      <c r="D58" s="42">
        <f>B58^2</f>
        <v>3249</v>
      </c>
      <c r="E58" s="42">
        <f>B58*C58</f>
        <v>761.7601473841343</v>
      </c>
      <c r="G58" s="131">
        <v>636801.4</v>
      </c>
      <c r="H58" s="127">
        <f t="shared" si="5"/>
        <v>782922.3310083507</v>
      </c>
      <c r="I58" s="176">
        <f>G58-H58</f>
        <v>-146120.9310083507</v>
      </c>
      <c r="J58" s="195">
        <f t="shared" si="10"/>
        <v>146120.9310083507</v>
      </c>
      <c r="K58" s="184">
        <f>I58*I58</f>
        <v>21351326478.74718</v>
      </c>
      <c r="L58" s="214">
        <f>J58/G58</f>
        <v>0.22946075653783218</v>
      </c>
      <c r="M58" s="181">
        <f>J58/ABS(G58+H58)</f>
        <v>0.10292208816187717</v>
      </c>
    </row>
    <row r="59" spans="1:13" ht="15.75">
      <c r="A59" s="141" t="s">
        <v>57</v>
      </c>
      <c r="B59" s="27"/>
      <c r="C59" s="28"/>
      <c r="D59" s="47">
        <f t="shared" si="3"/>
        <v>0</v>
      </c>
      <c r="E59" s="47">
        <f t="shared" si="4"/>
        <v>0</v>
      </c>
      <c r="G59" s="134"/>
      <c r="H59" s="127"/>
      <c r="I59" s="177"/>
      <c r="J59" s="196">
        <f t="shared" si="10"/>
        <v>0</v>
      </c>
      <c r="K59" s="184">
        <f t="shared" si="7"/>
        <v>0</v>
      </c>
      <c r="L59" s="215"/>
      <c r="M59" s="177"/>
    </row>
    <row r="60" spans="1:13" ht="15.75">
      <c r="A60" s="141" t="s">
        <v>58</v>
      </c>
      <c r="B60" s="27"/>
      <c r="C60" s="28"/>
      <c r="D60" s="47">
        <f t="shared" si="3"/>
        <v>0</v>
      </c>
      <c r="E60" s="47">
        <f t="shared" si="4"/>
        <v>0</v>
      </c>
      <c r="G60" s="134"/>
      <c r="H60" s="127"/>
      <c r="I60" s="177"/>
      <c r="J60" s="196">
        <f t="shared" si="10"/>
        <v>0</v>
      </c>
      <c r="K60" s="184">
        <f t="shared" si="7"/>
        <v>0</v>
      </c>
      <c r="L60" s="215"/>
      <c r="M60" s="177"/>
    </row>
    <row r="61" spans="1:13" ht="16.5" thickBot="1">
      <c r="A61" s="142" t="s">
        <v>59</v>
      </c>
      <c r="B61" s="31"/>
      <c r="C61" s="32"/>
      <c r="D61" s="49">
        <f t="shared" si="3"/>
        <v>0</v>
      </c>
      <c r="E61" s="49">
        <f t="shared" si="4"/>
        <v>0</v>
      </c>
      <c r="G61" s="135"/>
      <c r="H61" s="127"/>
      <c r="I61" s="177"/>
      <c r="J61" s="197">
        <f t="shared" si="10"/>
        <v>0</v>
      </c>
      <c r="K61" s="185">
        <f t="shared" si="7"/>
        <v>0</v>
      </c>
      <c r="L61" s="216"/>
      <c r="M61" s="182"/>
    </row>
    <row r="62" spans="1:13" ht="16.5" thickBot="1">
      <c r="A62" s="143" t="s">
        <v>68</v>
      </c>
      <c r="B62" s="40">
        <f>SUM(B2:B58)</f>
        <v>1653</v>
      </c>
      <c r="C62" s="39">
        <f>SUM(C2:C58)</f>
        <v>741.2093261486806</v>
      </c>
      <c r="D62" s="39">
        <f>SUM(D2:D58)</f>
        <v>63365</v>
      </c>
      <c r="E62" s="39">
        <f>SUM(E2:E58)</f>
        <v>21807.551587749873</v>
      </c>
      <c r="G62" s="39">
        <f>SUM(G2:G58)</f>
        <v>26961516.7</v>
      </c>
      <c r="H62" s="39">
        <f>SUM(H2:H58)</f>
        <v>26739099.995277278</v>
      </c>
      <c r="I62" s="110">
        <f>SUM(I2:I58)</f>
        <v>222416.70472272648</v>
      </c>
      <c r="J62" s="190">
        <f>SUM(J2:J58)</f>
        <v>4355337.052040785</v>
      </c>
      <c r="K62" s="190">
        <f>SUM(K2:K58)</f>
        <v>429001515093.28094</v>
      </c>
      <c r="L62" s="213">
        <f>SUM(L2:L58)/57</f>
        <v>0.17042462999309893</v>
      </c>
      <c r="M62" s="213">
        <f>SUM(M2:M58)/57</f>
        <v>0.08423095999667572</v>
      </c>
    </row>
    <row r="63" spans="1:9" ht="15.75">
      <c r="A63" s="1"/>
      <c r="B63" s="1"/>
      <c r="C63" s="1"/>
      <c r="D63" s="1"/>
      <c r="E63" s="1"/>
      <c r="F63" s="1"/>
      <c r="G63" s="1"/>
      <c r="H63" s="1"/>
      <c r="I63" s="1"/>
    </row>
    <row r="64" spans="1:9" ht="16.5" thickBot="1">
      <c r="A64" s="1"/>
      <c r="B64" s="1"/>
      <c r="C64" s="1"/>
      <c r="D64" s="1"/>
      <c r="E64" s="1"/>
      <c r="F64" s="1"/>
      <c r="G64" s="1"/>
      <c r="H64" s="1"/>
      <c r="I64" s="1"/>
    </row>
    <row r="65" spans="1:9" ht="17.25" thickBot="1">
      <c r="A65" s="1"/>
      <c r="B65" s="62" t="s">
        <v>69</v>
      </c>
      <c r="C65" s="54">
        <v>57</v>
      </c>
      <c r="D65" s="55">
        <f>B62</f>
        <v>1653</v>
      </c>
      <c r="E65" s="1"/>
      <c r="F65" s="1"/>
      <c r="G65" s="220" t="s">
        <v>122</v>
      </c>
      <c r="H65" s="221">
        <f>SQRT(J62)/(SQRT(G62)+SQRT(H62))</f>
        <v>0.20137575506614766</v>
      </c>
      <c r="I65" s="1"/>
    </row>
    <row r="66" spans="1:9" ht="16.5" thickBot="1">
      <c r="A66" s="1"/>
      <c r="B66" s="63"/>
      <c r="C66" s="56">
        <f>B62</f>
        <v>1653</v>
      </c>
      <c r="D66" s="57">
        <f>D62</f>
        <v>63365</v>
      </c>
      <c r="E66" s="1"/>
      <c r="F66" s="1"/>
      <c r="G66" s="1"/>
      <c r="H66" s="1"/>
      <c r="I66" s="1"/>
    </row>
    <row r="67" spans="1:9" ht="16.5" thickBot="1">
      <c r="A67" s="1"/>
      <c r="B67" s="63"/>
      <c r="C67" s="1"/>
      <c r="D67" s="1"/>
      <c r="E67" s="1"/>
      <c r="F67" s="1"/>
      <c r="G67" s="1"/>
      <c r="H67" s="1"/>
      <c r="I67" s="1"/>
    </row>
    <row r="68" spans="1:9" ht="16.5" thickBot="1">
      <c r="A68" s="1"/>
      <c r="B68" s="62" t="s">
        <v>71</v>
      </c>
      <c r="C68" s="35">
        <f>C65*D66-D65^2</f>
        <v>879396</v>
      </c>
      <c r="D68" s="1"/>
      <c r="E68" s="1"/>
      <c r="F68" s="1"/>
      <c r="G68" s="1"/>
      <c r="H68" s="1"/>
      <c r="I68" s="1"/>
    </row>
    <row r="69" spans="1:9" ht="16.5" thickBot="1">
      <c r="A69" s="1"/>
      <c r="B69" s="63"/>
      <c r="C69" s="1"/>
      <c r="D69" s="1"/>
      <c r="E69" s="1"/>
      <c r="F69" s="1"/>
      <c r="G69" s="1"/>
      <c r="H69" s="1"/>
      <c r="I69" s="1"/>
    </row>
    <row r="70" spans="1:9" ht="16.5" thickBot="1">
      <c r="A70" s="1"/>
      <c r="B70" s="62" t="s">
        <v>70</v>
      </c>
      <c r="C70" s="54">
        <f>D66/C68</f>
        <v>0.07205513784461152</v>
      </c>
      <c r="D70" s="55">
        <f>-D65/C68</f>
        <v>-0.0018796992481203006</v>
      </c>
      <c r="E70" s="1"/>
      <c r="F70" s="1"/>
      <c r="G70" s="1"/>
      <c r="H70" s="1"/>
      <c r="I70" s="1"/>
    </row>
    <row r="71" spans="1:9" ht="16.5" thickBot="1">
      <c r="A71" s="1"/>
      <c r="B71" s="63"/>
      <c r="C71" s="56">
        <f>D70</f>
        <v>-0.0018796992481203006</v>
      </c>
      <c r="D71" s="57">
        <f>C65/C68</f>
        <v>6.481721545242416E-05</v>
      </c>
      <c r="E71" s="1"/>
      <c r="F71" s="1"/>
      <c r="G71" s="1"/>
      <c r="H71" s="1"/>
      <c r="I71" s="1"/>
    </row>
    <row r="72" spans="1:9" ht="16.5" thickBot="1">
      <c r="A72" s="1"/>
      <c r="B72" s="63"/>
      <c r="C72" s="1"/>
      <c r="D72" s="1"/>
      <c r="E72" s="1"/>
      <c r="F72" s="1"/>
      <c r="G72" s="1"/>
      <c r="H72" s="1"/>
      <c r="I72" s="1"/>
    </row>
    <row r="73" spans="1:9" ht="16.5" thickBot="1">
      <c r="A73" s="1"/>
      <c r="B73" s="62" t="s">
        <v>75</v>
      </c>
      <c r="C73" s="58">
        <f>C62</f>
        <v>741.2093261486806</v>
      </c>
      <c r="D73" s="1"/>
      <c r="E73" s="1"/>
      <c r="F73" s="1"/>
      <c r="G73" s="1"/>
      <c r="H73" s="1"/>
      <c r="I73" s="1"/>
    </row>
    <row r="74" spans="1:9" ht="16.5" thickBot="1">
      <c r="A74" s="1"/>
      <c r="B74" s="63"/>
      <c r="C74" s="59">
        <f>E62</f>
        <v>21807.551587749873</v>
      </c>
      <c r="D74" s="1"/>
      <c r="E74" s="1"/>
      <c r="F74" s="1"/>
      <c r="G74" s="1"/>
      <c r="H74" s="1"/>
      <c r="I74" s="1"/>
    </row>
    <row r="75" spans="1:9" ht="16.5" thickBot="1">
      <c r="A75" s="1"/>
      <c r="B75" s="63"/>
      <c r="C75" s="1"/>
      <c r="D75" s="1"/>
      <c r="E75" s="1"/>
      <c r="F75" s="1"/>
      <c r="G75" s="1"/>
      <c r="H75" s="1"/>
      <c r="I75" s="1"/>
    </row>
    <row r="76" spans="1:9" ht="15.75">
      <c r="A76" s="1"/>
      <c r="B76" s="64" t="s">
        <v>73</v>
      </c>
      <c r="C76" s="60">
        <f>C70*C73+D70*C74</f>
        <v>12.416301844516695</v>
      </c>
      <c r="D76" s="1"/>
      <c r="E76" s="1"/>
      <c r="F76" s="1"/>
      <c r="G76" s="1"/>
      <c r="H76" s="1"/>
      <c r="I76" s="1"/>
    </row>
    <row r="77" spans="1:9" ht="16.5" thickBot="1">
      <c r="A77" s="1"/>
      <c r="B77" s="65" t="s">
        <v>74</v>
      </c>
      <c r="C77" s="61">
        <f>C71*C73+D71*C74</f>
        <v>0.02025415669160857</v>
      </c>
      <c r="D77" s="1"/>
      <c r="E77" s="1"/>
      <c r="F77" s="1"/>
      <c r="G77" s="1"/>
      <c r="H77" s="1"/>
      <c r="I77" s="1"/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40">
      <selection activeCell="I76" sqref="I76"/>
    </sheetView>
  </sheetViews>
  <sheetFormatPr defaultColWidth="9.140625" defaultRowHeight="12.75"/>
  <cols>
    <col min="3" max="3" width="11.57421875" style="0" customWidth="1"/>
    <col min="4" max="4" width="13.421875" style="0" customWidth="1"/>
    <col min="5" max="5" width="12.140625" style="0" customWidth="1"/>
    <col min="6" max="6" width="11.00390625" style="0" customWidth="1"/>
    <col min="7" max="7" width="11.7109375" style="0" customWidth="1"/>
  </cols>
  <sheetData>
    <row r="1" spans="1:9" ht="16.5" thickBot="1">
      <c r="A1" s="144" t="s">
        <v>91</v>
      </c>
      <c r="B1" s="119" t="s">
        <v>60</v>
      </c>
      <c r="C1" s="120" t="s">
        <v>83</v>
      </c>
      <c r="D1" s="121" t="s">
        <v>82</v>
      </c>
      <c r="E1" s="167" t="s">
        <v>111</v>
      </c>
      <c r="F1" s="167" t="s">
        <v>112</v>
      </c>
      <c r="G1" s="180" t="s">
        <v>113</v>
      </c>
      <c r="H1" s="167" t="s">
        <v>119</v>
      </c>
      <c r="I1" s="210" t="s">
        <v>120</v>
      </c>
    </row>
    <row r="2" spans="1:9" ht="15.75">
      <c r="A2" s="145" t="s">
        <v>0</v>
      </c>
      <c r="B2" s="112">
        <v>1</v>
      </c>
      <c r="C2" s="148">
        <v>179342.9</v>
      </c>
      <c r="D2" s="122">
        <f>1/($D$67+$D$66*$D$65^B2)</f>
        <v>128744.92473962366</v>
      </c>
      <c r="E2" s="173">
        <f>C2-D2</f>
        <v>50597.97526037633</v>
      </c>
      <c r="F2" s="191">
        <f aca="true" t="shared" si="0" ref="F2:F33">ABS(E2)</f>
        <v>50597.97526037633</v>
      </c>
      <c r="G2" s="181">
        <f>E2*E2</f>
        <v>2560155100.4496555</v>
      </c>
      <c r="H2" s="215">
        <f aca="true" t="shared" si="1" ref="H2:H57">F2/C2</f>
        <v>0.2821297930410199</v>
      </c>
      <c r="I2" s="181">
        <f>F2/ABS(C2+D2)</f>
        <v>0.16423231039116376</v>
      </c>
    </row>
    <row r="3" spans="1:9" ht="15.75">
      <c r="A3" s="146" t="s">
        <v>1</v>
      </c>
      <c r="B3" s="113">
        <v>2</v>
      </c>
      <c r="C3" s="149">
        <v>179879.6</v>
      </c>
      <c r="D3" s="123">
        <f aca="true" t="shared" si="2" ref="D3:D61">1/($D$67+$D$66*$D$65^B3)</f>
        <v>145011.05308788244</v>
      </c>
      <c r="E3" s="174">
        <f aca="true" t="shared" si="3" ref="E3:E57">C3-D3</f>
        <v>34868.54691211757</v>
      </c>
      <c r="F3" s="192">
        <f t="shared" si="0"/>
        <v>34868.54691211757</v>
      </c>
      <c r="G3" s="177">
        <f aca="true" t="shared" si="4" ref="G3:G61">E3*E3</f>
        <v>1215815563.7625437</v>
      </c>
      <c r="H3" s="215">
        <f t="shared" si="1"/>
        <v>0.19384380948210675</v>
      </c>
      <c r="I3" s="177">
        <f aca="true" t="shared" si="5" ref="I3:I57">F3/ABS(C3+D3)</f>
        <v>0.10732394601295495</v>
      </c>
    </row>
    <row r="4" spans="1:9" ht="15.75">
      <c r="A4" s="146" t="s">
        <v>2</v>
      </c>
      <c r="B4" s="113">
        <f>B3+1</f>
        <v>3</v>
      </c>
      <c r="C4" s="149">
        <v>184157.9</v>
      </c>
      <c r="D4" s="123">
        <f t="shared" si="2"/>
        <v>162598.28370064596</v>
      </c>
      <c r="E4" s="174">
        <f t="shared" si="3"/>
        <v>21559.616299354035</v>
      </c>
      <c r="F4" s="192">
        <f t="shared" si="0"/>
        <v>21559.616299354035</v>
      </c>
      <c r="G4" s="177">
        <f t="shared" si="4"/>
        <v>464817054.97537214</v>
      </c>
      <c r="H4" s="215">
        <f t="shared" si="1"/>
        <v>0.11707136266950283</v>
      </c>
      <c r="I4" s="177">
        <f t="shared" si="5"/>
        <v>0.06217514585973878</v>
      </c>
    </row>
    <row r="5" spans="1:9" ht="16.5" thickBot="1">
      <c r="A5" s="147" t="s">
        <v>3</v>
      </c>
      <c r="B5" s="113">
        <f>B4+1</f>
        <v>4</v>
      </c>
      <c r="C5" s="150">
        <v>204782.7</v>
      </c>
      <c r="D5" s="123">
        <f t="shared" si="2"/>
        <v>181436.91899253786</v>
      </c>
      <c r="E5" s="175">
        <f t="shared" si="3"/>
        <v>23345.781007462152</v>
      </c>
      <c r="F5" s="193">
        <f t="shared" si="0"/>
        <v>23345.781007462152</v>
      </c>
      <c r="G5" s="182">
        <f t="shared" si="4"/>
        <v>545025490.8483806</v>
      </c>
      <c r="H5" s="216">
        <f t="shared" si="1"/>
        <v>0.1140027014365088</v>
      </c>
      <c r="I5" s="177">
        <f t="shared" si="5"/>
        <v>0.060446906007416513</v>
      </c>
    </row>
    <row r="6" spans="1:9" ht="15.75">
      <c r="A6" s="145" t="s">
        <v>4</v>
      </c>
      <c r="B6" s="112">
        <f aca="true" t="shared" si="6" ref="B6:B61">B5+1</f>
        <v>5</v>
      </c>
      <c r="C6" s="148">
        <v>215145.3</v>
      </c>
      <c r="D6" s="122">
        <f>1/($D$67+$D$66*$D$65^B6)</f>
        <v>201414.946194623</v>
      </c>
      <c r="E6" s="173">
        <f>C6-D6</f>
        <v>13730.353805377003</v>
      </c>
      <c r="F6" s="194">
        <f t="shared" si="0"/>
        <v>13730.353805377003</v>
      </c>
      <c r="G6" s="181">
        <f>E6*E6</f>
        <v>188522615.62083074</v>
      </c>
      <c r="H6" s="214">
        <f>F6/C6</f>
        <v>0.06381898096485028</v>
      </c>
      <c r="I6" s="181">
        <f>F6/ABS(C6+D6)</f>
        <v>0.03296126774171817</v>
      </c>
    </row>
    <row r="7" spans="1:9" ht="15.75">
      <c r="A7" s="146" t="s">
        <v>5</v>
      </c>
      <c r="B7" s="113">
        <f t="shared" si="6"/>
        <v>6</v>
      </c>
      <c r="C7" s="149">
        <v>220120.4</v>
      </c>
      <c r="D7" s="123">
        <f t="shared" si="2"/>
        <v>222377.55409032136</v>
      </c>
      <c r="E7" s="174">
        <f t="shared" si="3"/>
        <v>-2257.154090321361</v>
      </c>
      <c r="F7" s="194">
        <f t="shared" si="0"/>
        <v>2257.154090321361</v>
      </c>
      <c r="G7" s="177">
        <f t="shared" si="4"/>
        <v>5094744.58745445</v>
      </c>
      <c r="H7" s="215">
        <f t="shared" si="1"/>
        <v>0.010254179486868827</v>
      </c>
      <c r="I7" s="177">
        <f t="shared" si="5"/>
        <v>0.005100936782773549</v>
      </c>
    </row>
    <row r="8" spans="1:9" ht="15.75">
      <c r="A8" s="146" t="s">
        <v>6</v>
      </c>
      <c r="B8" s="113">
        <f t="shared" si="6"/>
        <v>7</v>
      </c>
      <c r="C8" s="149">
        <v>224857.6</v>
      </c>
      <c r="D8" s="123">
        <f t="shared" si="2"/>
        <v>244129.67526206555</v>
      </c>
      <c r="E8" s="174">
        <f t="shared" si="3"/>
        <v>-19272.07526206554</v>
      </c>
      <c r="F8" s="194">
        <f t="shared" si="0"/>
        <v>19272.07526206554</v>
      </c>
      <c r="G8" s="177">
        <f t="shared" si="4"/>
        <v>371412884.90671855</v>
      </c>
      <c r="H8" s="215">
        <f t="shared" si="1"/>
        <v>0.0857079114162276</v>
      </c>
      <c r="I8" s="177">
        <f t="shared" si="5"/>
        <v>0.041092959827740506</v>
      </c>
    </row>
    <row r="9" spans="1:9" ht="16.5" thickBot="1">
      <c r="A9" s="147" t="s">
        <v>7</v>
      </c>
      <c r="B9" s="114">
        <f t="shared" si="6"/>
        <v>8</v>
      </c>
      <c r="C9" s="150">
        <v>244498.9</v>
      </c>
      <c r="D9" s="123">
        <f t="shared" si="2"/>
        <v>266441.77300489496</v>
      </c>
      <c r="E9" s="175">
        <f t="shared" si="3"/>
        <v>-21942.873004894966</v>
      </c>
      <c r="F9" s="194">
        <f t="shared" si="0"/>
        <v>21942.873004894966</v>
      </c>
      <c r="G9" s="182">
        <f t="shared" si="4"/>
        <v>481489675.7089482</v>
      </c>
      <c r="H9" s="216">
        <f t="shared" si="1"/>
        <v>0.0897463056271213</v>
      </c>
      <c r="I9" s="182">
        <f t="shared" si="5"/>
        <v>0.04294602908757813</v>
      </c>
    </row>
    <row r="10" spans="1:9" ht="15.75">
      <c r="A10" s="145" t="s">
        <v>8</v>
      </c>
      <c r="B10" s="113">
        <f t="shared" si="6"/>
        <v>9</v>
      </c>
      <c r="C10" s="148">
        <v>257013.4</v>
      </c>
      <c r="D10" s="122">
        <f>1/($D$67+$D$66*$D$65^B10)</f>
        <v>289058.6832463421</v>
      </c>
      <c r="E10" s="173">
        <f>C10-D10</f>
        <v>-32045.283246342122</v>
      </c>
      <c r="F10" s="195">
        <f t="shared" si="0"/>
        <v>32045.283246342122</v>
      </c>
      <c r="G10" s="184">
        <f>E10*E10</f>
        <v>1026900178.3382951</v>
      </c>
      <c r="H10" s="214">
        <f>F10/C10</f>
        <v>0.12468331708129662</v>
      </c>
      <c r="I10" s="181">
        <f>F10/ABS(C10+D10)</f>
        <v>0.05868324755925303</v>
      </c>
    </row>
    <row r="11" spans="1:9" ht="15.75">
      <c r="A11" s="146" t="s">
        <v>9</v>
      </c>
      <c r="B11" s="113">
        <f t="shared" si="6"/>
        <v>10</v>
      </c>
      <c r="C11" s="149">
        <v>268251.6</v>
      </c>
      <c r="D11" s="123">
        <f t="shared" si="2"/>
        <v>311710.88110655616</v>
      </c>
      <c r="E11" s="174">
        <f t="shared" si="3"/>
        <v>-43459.281106556184</v>
      </c>
      <c r="F11" s="196">
        <f t="shared" si="0"/>
        <v>43459.281106556184</v>
      </c>
      <c r="G11" s="184">
        <f t="shared" si="4"/>
        <v>1888709114.2986712</v>
      </c>
      <c r="H11" s="215">
        <f t="shared" si="1"/>
        <v>0.1620094012731189</v>
      </c>
      <c r="I11" s="177">
        <f t="shared" si="5"/>
        <v>0.07493464236451433</v>
      </c>
    </row>
    <row r="12" spans="1:9" ht="15.75">
      <c r="A12" s="146" t="s">
        <v>10</v>
      </c>
      <c r="B12" s="113">
        <f t="shared" si="6"/>
        <v>11</v>
      </c>
      <c r="C12" s="149">
        <v>280707.7</v>
      </c>
      <c r="D12" s="123">
        <f t="shared" si="2"/>
        <v>334127.1604743667</v>
      </c>
      <c r="E12" s="174">
        <f t="shared" si="3"/>
        <v>-53419.46047436667</v>
      </c>
      <c r="F12" s="196">
        <f t="shared" si="0"/>
        <v>53419.46047436667</v>
      </c>
      <c r="G12" s="184">
        <f t="shared" si="4"/>
        <v>2853638757.372423</v>
      </c>
      <c r="H12" s="215">
        <f t="shared" si="1"/>
        <v>0.19030279708881043</v>
      </c>
      <c r="I12" s="177">
        <f t="shared" si="5"/>
        <v>0.08688424145818875</v>
      </c>
    </row>
    <row r="13" spans="1:9" ht="16.5" thickBot="1">
      <c r="A13" s="147" t="s">
        <v>11</v>
      </c>
      <c r="B13" s="113">
        <f t="shared" si="6"/>
        <v>12</v>
      </c>
      <c r="C13" s="150">
        <v>306236.9</v>
      </c>
      <c r="D13" s="123">
        <f t="shared" si="2"/>
        <v>356047.4814903451</v>
      </c>
      <c r="E13" s="175">
        <f t="shared" si="3"/>
        <v>-49810.58149034507</v>
      </c>
      <c r="F13" s="197">
        <f t="shared" si="0"/>
        <v>49810.58149034507</v>
      </c>
      <c r="G13" s="184">
        <f t="shared" si="4"/>
        <v>2481094028.4063067</v>
      </c>
      <c r="H13" s="216">
        <f t="shared" si="1"/>
        <v>0.16265375430049436</v>
      </c>
      <c r="I13" s="177">
        <f t="shared" si="5"/>
        <v>0.07521026145634874</v>
      </c>
    </row>
    <row r="14" spans="1:9" ht="15.75">
      <c r="A14" s="145" t="s">
        <v>12</v>
      </c>
      <c r="B14" s="112">
        <f t="shared" si="6"/>
        <v>13</v>
      </c>
      <c r="C14" s="148">
        <v>320848.6</v>
      </c>
      <c r="D14" s="122">
        <f>1/($D$67+$D$66*$D$65^B14)</f>
        <v>377234.71256552427</v>
      </c>
      <c r="E14" s="173">
        <f>C14-D14</f>
        <v>-56386.112565524294</v>
      </c>
      <c r="F14" s="194">
        <f t="shared" si="0"/>
        <v>56386.112565524294</v>
      </c>
      <c r="G14" s="181">
        <f>E14*E14</f>
        <v>3179393690.2519765</v>
      </c>
      <c r="H14" s="214">
        <f>F14/C14</f>
        <v>0.17574055977032252</v>
      </c>
      <c r="I14" s="181">
        <f>F14/ABS(C14+D14)</f>
        <v>0.08077275527228954</v>
      </c>
    </row>
    <row r="15" spans="1:9" ht="15.75">
      <c r="A15" s="146" t="s">
        <v>13</v>
      </c>
      <c r="B15" s="113">
        <f t="shared" si="6"/>
        <v>14</v>
      </c>
      <c r="C15" s="149">
        <v>329595.1</v>
      </c>
      <c r="D15" s="123">
        <f t="shared" si="2"/>
        <v>397484.1776318265</v>
      </c>
      <c r="E15" s="174">
        <f t="shared" si="3"/>
        <v>-67889.07763182651</v>
      </c>
      <c r="F15" s="194">
        <f t="shared" si="0"/>
        <v>67889.07763182651</v>
      </c>
      <c r="G15" s="177">
        <f t="shared" si="4"/>
        <v>4608926861.700167</v>
      </c>
      <c r="H15" s="215">
        <f t="shared" si="1"/>
        <v>0.20597720546156942</v>
      </c>
      <c r="I15" s="177">
        <f t="shared" si="5"/>
        <v>0.09337231815070891</v>
      </c>
    </row>
    <row r="16" spans="1:9" ht="15.75">
      <c r="A16" s="146" t="s">
        <v>14</v>
      </c>
      <c r="B16" s="113">
        <f t="shared" si="6"/>
        <v>15</v>
      </c>
      <c r="C16" s="149">
        <v>336112.3</v>
      </c>
      <c r="D16" s="123">
        <f t="shared" si="2"/>
        <v>416630.270015039</v>
      </c>
      <c r="E16" s="174">
        <f t="shared" si="3"/>
        <v>-80517.97001503903</v>
      </c>
      <c r="F16" s="194">
        <f t="shared" si="0"/>
        <v>80517.97001503903</v>
      </c>
      <c r="G16" s="177">
        <f t="shared" si="4"/>
        <v>6483143495.342724</v>
      </c>
      <c r="H16" s="215">
        <f t="shared" si="1"/>
        <v>0.23955674938120095</v>
      </c>
      <c r="I16" s="177">
        <f t="shared" si="5"/>
        <v>0.10696614383511</v>
      </c>
    </row>
    <row r="17" spans="1:9" ht="16.5" thickBot="1">
      <c r="A17" s="147" t="s">
        <v>15</v>
      </c>
      <c r="B17" s="114">
        <f t="shared" si="6"/>
        <v>16</v>
      </c>
      <c r="C17" s="150">
        <v>365625.2</v>
      </c>
      <c r="D17" s="123">
        <f t="shared" si="2"/>
        <v>434549.82877684274</v>
      </c>
      <c r="E17" s="175">
        <f t="shared" si="3"/>
        <v>-68924.62877684273</v>
      </c>
      <c r="F17" s="194">
        <f t="shared" si="0"/>
        <v>68924.62877684273</v>
      </c>
      <c r="G17" s="182">
        <f t="shared" si="4"/>
        <v>4750604452.025577</v>
      </c>
      <c r="H17" s="216">
        <f t="shared" si="1"/>
        <v>0.1885117020841089</v>
      </c>
      <c r="I17" s="182">
        <f t="shared" si="5"/>
        <v>0.08613694041690073</v>
      </c>
    </row>
    <row r="18" spans="1:9" ht="15.75">
      <c r="A18" s="145" t="s">
        <v>16</v>
      </c>
      <c r="B18" s="113">
        <f t="shared" si="6"/>
        <v>17</v>
      </c>
      <c r="C18" s="148">
        <v>414840.1</v>
      </c>
      <c r="D18" s="122">
        <f>1/($D$67+$D$66*$D$65^B18)</f>
        <v>451162.3983332317</v>
      </c>
      <c r="E18" s="173">
        <f>C18-D18</f>
        <v>-36322.29833323171</v>
      </c>
      <c r="F18" s="195">
        <f t="shared" si="0"/>
        <v>36322.29833323171</v>
      </c>
      <c r="G18" s="184">
        <f>E18*E18</f>
        <v>1319309356.208287</v>
      </c>
      <c r="H18" s="214">
        <f>F18/C18</f>
        <v>0.08755734639257803</v>
      </c>
      <c r="I18" s="181">
        <f>F18/ABS(C18+D18)</f>
        <v>0.04194248677473809</v>
      </c>
    </row>
    <row r="19" spans="1:9" ht="15.75">
      <c r="A19" s="146" t="s">
        <v>17</v>
      </c>
      <c r="B19" s="113">
        <f t="shared" si="6"/>
        <v>18</v>
      </c>
      <c r="C19" s="149">
        <v>441183</v>
      </c>
      <c r="D19" s="123">
        <f t="shared" si="2"/>
        <v>466427.83069204167</v>
      </c>
      <c r="E19" s="174">
        <f t="shared" si="3"/>
        <v>-25244.830692041665</v>
      </c>
      <c r="F19" s="196">
        <f t="shared" si="0"/>
        <v>25244.830692041665</v>
      </c>
      <c r="G19" s="184">
        <f t="shared" si="4"/>
        <v>637301476.6698489</v>
      </c>
      <c r="H19" s="215">
        <f t="shared" si="1"/>
        <v>0.0572207693679078</v>
      </c>
      <c r="I19" s="177">
        <f t="shared" si="5"/>
        <v>0.027814598326016893</v>
      </c>
    </row>
    <row r="20" spans="1:9" ht="15.75">
      <c r="A20" s="146" t="s">
        <v>18</v>
      </c>
      <c r="B20" s="113">
        <f t="shared" si="6"/>
        <v>19</v>
      </c>
      <c r="C20" s="149">
        <v>443649.1</v>
      </c>
      <c r="D20" s="123">
        <f t="shared" si="2"/>
        <v>480341.8982175094</v>
      </c>
      <c r="E20" s="174">
        <f t="shared" si="3"/>
        <v>-36692.79821750941</v>
      </c>
      <c r="F20" s="196">
        <f t="shared" si="0"/>
        <v>36692.79821750941</v>
      </c>
      <c r="G20" s="184">
        <f t="shared" si="4"/>
        <v>1346361441.0308616</v>
      </c>
      <c r="H20" s="215">
        <f t="shared" si="1"/>
        <v>0.08270680187902874</v>
      </c>
      <c r="I20" s="177">
        <f t="shared" si="5"/>
        <v>0.039711207455802346</v>
      </c>
    </row>
    <row r="21" spans="1:9" ht="16.5" thickBot="1">
      <c r="A21" s="147" t="s">
        <v>19</v>
      </c>
      <c r="B21" s="113">
        <f t="shared" si="6"/>
        <v>20</v>
      </c>
      <c r="C21" s="150">
        <v>473921.5</v>
      </c>
      <c r="D21" s="123">
        <f t="shared" si="2"/>
        <v>492930.6567669443</v>
      </c>
      <c r="E21" s="175">
        <f t="shared" si="3"/>
        <v>-19009.156766944274</v>
      </c>
      <c r="F21" s="197">
        <f t="shared" si="0"/>
        <v>19009.156766944274</v>
      </c>
      <c r="G21" s="184">
        <f t="shared" si="4"/>
        <v>361348040.9902633</v>
      </c>
      <c r="H21" s="216">
        <f t="shared" si="1"/>
        <v>0.04011034900704921</v>
      </c>
      <c r="I21" s="177">
        <f t="shared" si="5"/>
        <v>0.019660872279076223</v>
      </c>
    </row>
    <row r="22" spans="1:9" ht="15.75">
      <c r="A22" s="145" t="s">
        <v>20</v>
      </c>
      <c r="B22" s="112">
        <f t="shared" si="6"/>
        <v>21</v>
      </c>
      <c r="C22" s="148">
        <v>493387.1</v>
      </c>
      <c r="D22" s="122">
        <f>1/($D$67+$D$66*$D$65^B22)</f>
        <v>504244.2567284343</v>
      </c>
      <c r="E22" s="173">
        <f>C22-D22</f>
        <v>-10857.156728434318</v>
      </c>
      <c r="F22" s="194">
        <f t="shared" si="0"/>
        <v>10857.156728434318</v>
      </c>
      <c r="G22" s="181">
        <f>E22*E22</f>
        <v>117877852.22578658</v>
      </c>
      <c r="H22" s="214">
        <f>F22/C22</f>
        <v>0.022005351839223843</v>
      </c>
      <c r="I22" s="181">
        <f>F22/ABS(C22+D22)</f>
        <v>0.0108829345180554</v>
      </c>
    </row>
    <row r="23" spans="1:9" ht="15.75">
      <c r="A23" s="146" t="s">
        <v>21</v>
      </c>
      <c r="B23" s="113">
        <f t="shared" si="6"/>
        <v>22</v>
      </c>
      <c r="C23" s="149">
        <v>512073.8</v>
      </c>
      <c r="D23" s="123">
        <f t="shared" si="2"/>
        <v>514350.78085345845</v>
      </c>
      <c r="E23" s="174">
        <f t="shared" si="3"/>
        <v>-2276.980853458459</v>
      </c>
      <c r="F23" s="194">
        <f t="shared" si="0"/>
        <v>2276.980853458459</v>
      </c>
      <c r="G23" s="177">
        <f t="shared" si="4"/>
        <v>5184641.807016413</v>
      </c>
      <c r="H23" s="215">
        <f t="shared" si="1"/>
        <v>0.004446587295539157</v>
      </c>
      <c r="I23" s="177">
        <f t="shared" si="5"/>
        <v>0.002218361578563502</v>
      </c>
    </row>
    <row r="24" spans="1:9" ht="15.75">
      <c r="A24" s="146" t="s">
        <v>22</v>
      </c>
      <c r="B24" s="113">
        <f t="shared" si="6"/>
        <v>23</v>
      </c>
      <c r="C24" s="149">
        <v>527451.8</v>
      </c>
      <c r="D24" s="123">
        <f t="shared" si="2"/>
        <v>523330.5331026272</v>
      </c>
      <c r="E24" s="174">
        <f t="shared" si="3"/>
        <v>4121.266897372843</v>
      </c>
      <c r="F24" s="194">
        <f t="shared" si="0"/>
        <v>4121.266897372843</v>
      </c>
      <c r="G24" s="177">
        <f t="shared" si="4"/>
        <v>16984840.83938118</v>
      </c>
      <c r="H24" s="215">
        <f t="shared" si="1"/>
        <v>0.007813542199254685</v>
      </c>
      <c r="I24" s="177">
        <f t="shared" si="5"/>
        <v>0.003922093822422812</v>
      </c>
    </row>
    <row r="25" spans="1:9" ht="16.5" thickBot="1">
      <c r="A25" s="147" t="s">
        <v>23</v>
      </c>
      <c r="B25" s="114">
        <f t="shared" si="6"/>
        <v>24</v>
      </c>
      <c r="C25" s="150">
        <v>549745.5</v>
      </c>
      <c r="D25" s="123">
        <f t="shared" si="2"/>
        <v>531271.0453977385</v>
      </c>
      <c r="E25" s="175">
        <f t="shared" si="3"/>
        <v>18474.45460226154</v>
      </c>
      <c r="F25" s="194">
        <f t="shared" si="0"/>
        <v>18474.45460226154</v>
      </c>
      <c r="G25" s="182">
        <f t="shared" si="4"/>
        <v>341305472.8510226</v>
      </c>
      <c r="H25" s="216">
        <f t="shared" si="1"/>
        <v>0.03360546762504021</v>
      </c>
      <c r="I25" s="182">
        <f t="shared" si="5"/>
        <v>0.017089890696783214</v>
      </c>
    </row>
    <row r="26" spans="1:9" ht="15.75">
      <c r="A26" s="145" t="s">
        <v>24</v>
      </c>
      <c r="B26" s="112">
        <f t="shared" si="6"/>
        <v>25</v>
      </c>
      <c r="C26" s="148">
        <v>559644.4</v>
      </c>
      <c r="D26" s="122">
        <f>1/($D$67+$D$66*$D$65^B26)</f>
        <v>538262.9315015675</v>
      </c>
      <c r="E26" s="173">
        <f>C26-D26</f>
        <v>21381.468498432543</v>
      </c>
      <c r="F26" s="195">
        <f t="shared" si="0"/>
        <v>21381.468498432543</v>
      </c>
      <c r="G26" s="184">
        <f>E26*E26</f>
        <v>457167195.1494632</v>
      </c>
      <c r="H26" s="214">
        <f>F26/C26</f>
        <v>0.03820545421062471</v>
      </c>
      <c r="I26" s="181">
        <f>F26/ABS(C26+D26)</f>
        <v>0.019474747899888685</v>
      </c>
    </row>
    <row r="27" spans="1:9" ht="15.75">
      <c r="A27" s="146" t="s">
        <v>25</v>
      </c>
      <c r="B27" s="113">
        <f t="shared" si="6"/>
        <v>26</v>
      </c>
      <c r="C27" s="149">
        <v>554565.3</v>
      </c>
      <c r="D27" s="123">
        <f t="shared" si="2"/>
        <v>544396.6103688014</v>
      </c>
      <c r="E27" s="174">
        <f t="shared" si="3"/>
        <v>10168.68963119865</v>
      </c>
      <c r="F27" s="196">
        <f t="shared" si="0"/>
        <v>10168.68963119865</v>
      </c>
      <c r="G27" s="184">
        <f t="shared" si="4"/>
        <v>103402248.81564692</v>
      </c>
      <c r="H27" s="215">
        <f t="shared" si="1"/>
        <v>0.018336325102199232</v>
      </c>
      <c r="I27" s="177">
        <f t="shared" si="5"/>
        <v>0.009252995518094099</v>
      </c>
    </row>
    <row r="28" spans="1:9" ht="15.75">
      <c r="A28" s="146" t="s">
        <v>26</v>
      </c>
      <c r="B28" s="113">
        <f t="shared" si="6"/>
        <v>27</v>
      </c>
      <c r="C28" s="149">
        <v>542409.4</v>
      </c>
      <c r="D28" s="123">
        <f t="shared" si="2"/>
        <v>549759.8475529186</v>
      </c>
      <c r="E28" s="174">
        <f t="shared" si="3"/>
        <v>-7350.447552918573</v>
      </c>
      <c r="F28" s="196">
        <f t="shared" si="0"/>
        <v>7350.447552918573</v>
      </c>
      <c r="G28" s="184">
        <f t="shared" si="4"/>
        <v>54029079.228206635</v>
      </c>
      <c r="H28" s="215">
        <f t="shared" si="1"/>
        <v>0.013551475237926505</v>
      </c>
      <c r="I28" s="177">
        <f t="shared" si="5"/>
        <v>0.006730135983399791</v>
      </c>
    </row>
    <row r="29" spans="1:9" ht="16.5" thickBot="1">
      <c r="A29" s="147" t="s">
        <v>27</v>
      </c>
      <c r="B29" s="114">
        <f t="shared" si="6"/>
        <v>28</v>
      </c>
      <c r="C29" s="150">
        <v>536933.7</v>
      </c>
      <c r="D29" s="123">
        <f t="shared" si="2"/>
        <v>554436.0192833614</v>
      </c>
      <c r="E29" s="175">
        <f t="shared" si="3"/>
        <v>-17502.31928336143</v>
      </c>
      <c r="F29" s="197">
        <f t="shared" si="0"/>
        <v>17502.31928336143</v>
      </c>
      <c r="G29" s="184">
        <f t="shared" si="4"/>
        <v>306331180.2967254</v>
      </c>
      <c r="H29" s="216">
        <f t="shared" si="1"/>
        <v>0.03259679786044614</v>
      </c>
      <c r="I29" s="177">
        <f t="shared" si="5"/>
        <v>0.016037021161677618</v>
      </c>
    </row>
    <row r="30" spans="1:9" ht="15.75">
      <c r="A30" s="145" t="s">
        <v>28</v>
      </c>
      <c r="B30" s="112">
        <f t="shared" si="6"/>
        <v>29</v>
      </c>
      <c r="C30" s="148">
        <v>548175</v>
      </c>
      <c r="D30" s="122">
        <f>1/($D$67+$D$66*$D$65^B30)</f>
        <v>558502.9835470249</v>
      </c>
      <c r="E30" s="173">
        <f>C30-D30</f>
        <v>-10327.983547024895</v>
      </c>
      <c r="F30" s="194">
        <f t="shared" si="0"/>
        <v>10327.983547024895</v>
      </c>
      <c r="G30" s="181">
        <f>E30*E30</f>
        <v>106667244.14761692</v>
      </c>
      <c r="H30" s="214">
        <f>F30/C30</f>
        <v>0.018840668667897832</v>
      </c>
      <c r="I30" s="181">
        <f>F30/ABS(C30+D30)</f>
        <v>0.009332419819108147</v>
      </c>
    </row>
    <row r="31" spans="1:9" ht="15.75">
      <c r="A31" s="146" t="s">
        <v>29</v>
      </c>
      <c r="B31" s="113">
        <f t="shared" si="6"/>
        <v>30</v>
      </c>
      <c r="C31" s="149">
        <v>543395.4</v>
      </c>
      <c r="D31" s="123">
        <f t="shared" si="2"/>
        <v>562032.4391755176</v>
      </c>
      <c r="E31" s="174">
        <f t="shared" si="3"/>
        <v>-18637.039175517624</v>
      </c>
      <c r="F31" s="194">
        <f t="shared" si="0"/>
        <v>18637.039175517624</v>
      </c>
      <c r="G31" s="177">
        <f t="shared" si="4"/>
        <v>347339229.22977865</v>
      </c>
      <c r="H31" s="215">
        <f t="shared" si="1"/>
        <v>0.03429738119887953</v>
      </c>
      <c r="I31" s="177">
        <f t="shared" si="5"/>
        <v>0.01685957103216981</v>
      </c>
    </row>
    <row r="32" spans="1:9" ht="15.75">
      <c r="A32" s="146" t="s">
        <v>30</v>
      </c>
      <c r="B32" s="113">
        <f t="shared" si="6"/>
        <v>31</v>
      </c>
      <c r="C32" s="149">
        <v>547678.9</v>
      </c>
      <c r="D32" s="123">
        <f t="shared" si="2"/>
        <v>565089.6614479215</v>
      </c>
      <c r="E32" s="174">
        <f t="shared" si="3"/>
        <v>-17410.76144792151</v>
      </c>
      <c r="F32" s="194">
        <f t="shared" si="0"/>
        <v>17410.76144792151</v>
      </c>
      <c r="G32" s="177">
        <f t="shared" si="4"/>
        <v>303134614.19642997</v>
      </c>
      <c r="H32" s="215">
        <f t="shared" si="1"/>
        <v>0.03179008986455661</v>
      </c>
      <c r="I32" s="177">
        <f t="shared" si="5"/>
        <v>0.015646345566473256</v>
      </c>
    </row>
    <row r="33" spans="1:9" ht="16.5" thickBot="1">
      <c r="A33" s="147" t="s">
        <v>31</v>
      </c>
      <c r="B33" s="114">
        <f t="shared" si="6"/>
        <v>32</v>
      </c>
      <c r="C33" s="150">
        <v>549152.9</v>
      </c>
      <c r="D33" s="123">
        <f t="shared" si="2"/>
        <v>567733.5161853028</v>
      </c>
      <c r="E33" s="175">
        <f t="shared" si="3"/>
        <v>-18580.61618530273</v>
      </c>
      <c r="F33" s="194">
        <f t="shared" si="0"/>
        <v>18580.61618530273</v>
      </c>
      <c r="G33" s="182">
        <f t="shared" si="4"/>
        <v>345239297.82553375</v>
      </c>
      <c r="H33" s="216">
        <f t="shared" si="1"/>
        <v>0.03383505064855841</v>
      </c>
      <c r="I33" s="182">
        <f t="shared" si="5"/>
        <v>0.01663608395271236</v>
      </c>
    </row>
    <row r="34" spans="1:9" ht="15.75">
      <c r="A34" s="145" t="s">
        <v>32</v>
      </c>
      <c r="B34" s="113">
        <f t="shared" si="6"/>
        <v>33</v>
      </c>
      <c r="C34" s="148">
        <v>568758.9</v>
      </c>
      <c r="D34" s="122">
        <f>1/($D$67+$D$66*$D$65^B34)</f>
        <v>570016.6702017955</v>
      </c>
      <c r="E34" s="173">
        <f>C34-D34</f>
        <v>-1257.7702017955016</v>
      </c>
      <c r="F34" s="195">
        <f aca="true" t="shared" si="7" ref="F34:F61">ABS(E34)</f>
        <v>1257.7702017955016</v>
      </c>
      <c r="G34" s="184">
        <f>E34*E34</f>
        <v>1581985.880524697</v>
      </c>
      <c r="H34" s="214">
        <f>F34/C34</f>
        <v>0.0022114294858427736</v>
      </c>
      <c r="I34" s="181">
        <f>F34/ABS(C34+D34)</f>
        <v>0.0011044934881880367</v>
      </c>
    </row>
    <row r="35" spans="1:9" ht="15.75">
      <c r="A35" s="146" t="s">
        <v>33</v>
      </c>
      <c r="B35" s="113">
        <f t="shared" si="6"/>
        <v>34</v>
      </c>
      <c r="C35" s="149">
        <v>583195.2</v>
      </c>
      <c r="D35" s="123">
        <f t="shared" si="2"/>
        <v>571985.9319586925</v>
      </c>
      <c r="E35" s="174">
        <f t="shared" si="3"/>
        <v>11209.268041307456</v>
      </c>
      <c r="F35" s="196">
        <f t="shared" si="7"/>
        <v>11209.268041307456</v>
      </c>
      <c r="G35" s="184">
        <f t="shared" si="4"/>
        <v>125647690.0218767</v>
      </c>
      <c r="H35" s="215">
        <f t="shared" si="1"/>
        <v>0.019220439470879487</v>
      </c>
      <c r="I35" s="177">
        <f t="shared" si="5"/>
        <v>0.00970347223582274</v>
      </c>
    </row>
    <row r="36" spans="1:9" ht="15.75">
      <c r="A36" s="146" t="s">
        <v>34</v>
      </c>
      <c r="B36" s="113">
        <f t="shared" si="6"/>
        <v>35</v>
      </c>
      <c r="C36" s="149">
        <v>589675.9</v>
      </c>
      <c r="D36" s="123">
        <f t="shared" si="2"/>
        <v>573682.6709720761</v>
      </c>
      <c r="E36" s="174">
        <f t="shared" si="3"/>
        <v>15993.229027923895</v>
      </c>
      <c r="F36" s="196">
        <f t="shared" si="7"/>
        <v>15993.229027923895</v>
      </c>
      <c r="G36" s="184">
        <f t="shared" si="4"/>
        <v>255783374.7396275</v>
      </c>
      <c r="H36" s="215">
        <f t="shared" si="1"/>
        <v>0.027122066592723044</v>
      </c>
      <c r="I36" s="177">
        <f t="shared" si="5"/>
        <v>0.013747463101217636</v>
      </c>
    </row>
    <row r="37" spans="1:9" ht="16.5" thickBot="1">
      <c r="A37" s="147" t="s">
        <v>35</v>
      </c>
      <c r="B37" s="113">
        <f t="shared" si="6"/>
        <v>36</v>
      </c>
      <c r="C37" s="150">
        <v>595970.9</v>
      </c>
      <c r="D37" s="123">
        <f t="shared" si="2"/>
        <v>575143.2772744615</v>
      </c>
      <c r="E37" s="175">
        <f t="shared" si="3"/>
        <v>20827.62272553856</v>
      </c>
      <c r="F37" s="197">
        <f t="shared" si="7"/>
        <v>20827.62272553856</v>
      </c>
      <c r="G37" s="184">
        <f t="shared" si="4"/>
        <v>433789868.3973703</v>
      </c>
      <c r="H37" s="216">
        <f t="shared" si="1"/>
        <v>0.034947382037509814</v>
      </c>
      <c r="I37" s="177">
        <f t="shared" si="5"/>
        <v>0.017784451020831094</v>
      </c>
    </row>
    <row r="38" spans="1:9" ht="15.75">
      <c r="A38" s="145" t="s">
        <v>36</v>
      </c>
      <c r="B38" s="112">
        <f t="shared" si="6"/>
        <v>37</v>
      </c>
      <c r="C38" s="148">
        <v>596536.5</v>
      </c>
      <c r="D38" s="122">
        <f>1/($D$67+$D$66*$D$65^B38)</f>
        <v>576399.6328121567</v>
      </c>
      <c r="E38" s="173">
        <f>C38-D38</f>
        <v>20136.86718784331</v>
      </c>
      <c r="F38" s="194">
        <f t="shared" si="7"/>
        <v>20136.86718784331</v>
      </c>
      <c r="G38" s="181">
        <f>E38*E38</f>
        <v>405493420.1408405</v>
      </c>
      <c r="H38" s="214">
        <f>F38/C38</f>
        <v>0.033756303575461534</v>
      </c>
      <c r="I38" s="181">
        <f>F38/ABS(C38+D38)</f>
        <v>0.017167914453760105</v>
      </c>
    </row>
    <row r="39" spans="1:9" ht="15.75">
      <c r="A39" s="146" t="s">
        <v>37</v>
      </c>
      <c r="B39" s="113">
        <f t="shared" si="6"/>
        <v>38</v>
      </c>
      <c r="C39" s="149">
        <v>594155.3</v>
      </c>
      <c r="D39" s="123">
        <f t="shared" si="2"/>
        <v>577479.5751387757</v>
      </c>
      <c r="E39" s="174">
        <f t="shared" si="3"/>
        <v>16675.7248612243</v>
      </c>
      <c r="F39" s="194">
        <f t="shared" si="7"/>
        <v>16675.7248612243</v>
      </c>
      <c r="G39" s="177">
        <f t="shared" si="4"/>
        <v>278079799.64725417</v>
      </c>
      <c r="H39" s="215">
        <f t="shared" si="1"/>
        <v>0.02806627301182754</v>
      </c>
      <c r="I39" s="177">
        <f t="shared" si="5"/>
        <v>0.014232868289490887</v>
      </c>
    </row>
    <row r="40" spans="1:9" ht="15.75">
      <c r="A40" s="146" t="s">
        <v>38</v>
      </c>
      <c r="B40" s="113">
        <f t="shared" si="6"/>
        <v>39</v>
      </c>
      <c r="C40" s="149">
        <v>580665.6</v>
      </c>
      <c r="D40" s="123">
        <f t="shared" si="2"/>
        <v>578407.3403582294</v>
      </c>
      <c r="E40" s="174">
        <f t="shared" si="3"/>
        <v>2258.2596417706227</v>
      </c>
      <c r="F40" s="194">
        <f t="shared" si="7"/>
        <v>2258.2596417706227</v>
      </c>
      <c r="G40" s="177">
        <f t="shared" si="4"/>
        <v>5099736.609649981</v>
      </c>
      <c r="H40" s="215">
        <f t="shared" si="1"/>
        <v>0.003889088042705858</v>
      </c>
      <c r="I40" s="177">
        <f t="shared" si="5"/>
        <v>0.00194833263993953</v>
      </c>
    </row>
    <row r="41" spans="1:9" ht="16.5" thickBot="1">
      <c r="A41" s="147" t="s">
        <v>39</v>
      </c>
      <c r="B41" s="114">
        <f t="shared" si="6"/>
        <v>40</v>
      </c>
      <c r="C41" s="150">
        <v>567335.8</v>
      </c>
      <c r="D41" s="123">
        <f t="shared" si="2"/>
        <v>579203.9772577366</v>
      </c>
      <c r="E41" s="175">
        <f t="shared" si="3"/>
        <v>-11868.177257736563</v>
      </c>
      <c r="F41" s="194">
        <f t="shared" si="7"/>
        <v>11868.177257736563</v>
      </c>
      <c r="G41" s="182">
        <f t="shared" si="4"/>
        <v>140853631.42105535</v>
      </c>
      <c r="H41" s="216">
        <f t="shared" si="1"/>
        <v>0.020919140406328248</v>
      </c>
      <c r="I41" s="182">
        <f t="shared" si="5"/>
        <v>0.010351300053559897</v>
      </c>
    </row>
    <row r="42" spans="1:9" ht="15.75">
      <c r="A42" s="145" t="s">
        <v>40</v>
      </c>
      <c r="B42" s="113">
        <f t="shared" si="6"/>
        <v>41</v>
      </c>
      <c r="C42" s="148">
        <v>560701.5</v>
      </c>
      <c r="D42" s="122">
        <f>1/($D$67+$D$66*$D$65^B42)</f>
        <v>579887.7282430507</v>
      </c>
      <c r="E42" s="173">
        <f>C42-D42</f>
        <v>-19186.228243050748</v>
      </c>
      <c r="F42" s="195">
        <f t="shared" si="7"/>
        <v>19186.228243050748</v>
      </c>
      <c r="G42" s="184">
        <f>E42*E42</f>
        <v>368111354.19443816</v>
      </c>
      <c r="H42" s="214">
        <f>F42/C42</f>
        <v>0.03421825738481304</v>
      </c>
      <c r="I42" s="181">
        <f>F42/ABS(C42+D42)</f>
        <v>0.016821330386054035</v>
      </c>
    </row>
    <row r="43" spans="1:9" ht="15.75">
      <c r="A43" s="146" t="s">
        <v>41</v>
      </c>
      <c r="B43" s="113">
        <f t="shared" si="6"/>
        <v>42</v>
      </c>
      <c r="C43" s="149">
        <v>553728.3</v>
      </c>
      <c r="D43" s="123">
        <f t="shared" si="2"/>
        <v>580474.3753141402</v>
      </c>
      <c r="E43" s="174">
        <f t="shared" si="3"/>
        <v>-26746.07531414018</v>
      </c>
      <c r="F43" s="196">
        <f t="shared" si="7"/>
        <v>26746.07531414018</v>
      </c>
      <c r="G43" s="184">
        <f t="shared" si="4"/>
        <v>715352544.7096587</v>
      </c>
      <c r="H43" s="215">
        <f t="shared" si="1"/>
        <v>0.04830180309393646</v>
      </c>
      <c r="I43" s="177">
        <f t="shared" si="5"/>
        <v>0.02358138972537013</v>
      </c>
    </row>
    <row r="44" spans="1:9" ht="15.75">
      <c r="A44" s="146" t="s">
        <v>42</v>
      </c>
      <c r="B44" s="113">
        <f t="shared" si="6"/>
        <v>43</v>
      </c>
      <c r="C44" s="149">
        <v>548450.7</v>
      </c>
      <c r="D44" s="123">
        <f t="shared" si="2"/>
        <v>580977.5511356869</v>
      </c>
      <c r="E44" s="174">
        <f t="shared" si="3"/>
        <v>-32526.85113568697</v>
      </c>
      <c r="F44" s="196">
        <f t="shared" si="7"/>
        <v>32526.85113568697</v>
      </c>
      <c r="G44" s="184">
        <f t="shared" si="4"/>
        <v>1057996044.8031408</v>
      </c>
      <c r="H44" s="215">
        <f t="shared" si="1"/>
        <v>0.059306791176831346</v>
      </c>
      <c r="I44" s="177">
        <f t="shared" si="5"/>
        <v>0.028799395714583797</v>
      </c>
    </row>
    <row r="45" spans="1:9" ht="16.5" thickBot="1">
      <c r="A45" s="147" t="s">
        <v>43</v>
      </c>
      <c r="B45" s="113">
        <f t="shared" si="6"/>
        <v>44</v>
      </c>
      <c r="C45" s="149">
        <v>558026.2</v>
      </c>
      <c r="D45" s="123">
        <f t="shared" si="2"/>
        <v>581409.0164597532</v>
      </c>
      <c r="E45" s="175">
        <f t="shared" si="3"/>
        <v>-23382.8164597532</v>
      </c>
      <c r="F45" s="197">
        <f t="shared" si="7"/>
        <v>23382.8164597532</v>
      </c>
      <c r="G45" s="184">
        <f t="shared" si="4"/>
        <v>546756105.5905052</v>
      </c>
      <c r="H45" s="216">
        <f t="shared" si="1"/>
        <v>0.04190272152051858</v>
      </c>
      <c r="I45" s="177">
        <f t="shared" si="5"/>
        <v>0.020521409310486346</v>
      </c>
    </row>
    <row r="46" spans="1:9" ht="15.75">
      <c r="A46" s="145" t="s">
        <v>44</v>
      </c>
      <c r="B46" s="112">
        <f t="shared" si="6"/>
        <v>45</v>
      </c>
      <c r="C46" s="148">
        <v>557442.5</v>
      </c>
      <c r="D46" s="122">
        <f>1/($D$67+$D$66*$D$65^B46)</f>
        <v>581778.9059069171</v>
      </c>
      <c r="E46" s="173">
        <f>C46-D46</f>
        <v>-24336.40590691706</v>
      </c>
      <c r="F46" s="194">
        <f t="shared" si="7"/>
        <v>24336.40590691706</v>
      </c>
      <c r="G46" s="181">
        <f>E46*E46</f>
        <v>592260652.4662277</v>
      </c>
      <c r="H46" s="214">
        <f>F46/C46</f>
        <v>0.04365724878694585</v>
      </c>
      <c r="I46" s="181">
        <f>F46/ABS(C46+D46)</f>
        <v>0.021362314455058203</v>
      </c>
    </row>
    <row r="47" spans="1:9" ht="15.75">
      <c r="A47" s="146" t="s">
        <v>45</v>
      </c>
      <c r="B47" s="113">
        <f t="shared" si="6"/>
        <v>46</v>
      </c>
      <c r="C47" s="149">
        <v>563668.2</v>
      </c>
      <c r="D47" s="123">
        <f t="shared" si="2"/>
        <v>582095.9445323526</v>
      </c>
      <c r="E47" s="174">
        <f t="shared" si="3"/>
        <v>-18427.744532352663</v>
      </c>
      <c r="F47" s="194">
        <f t="shared" si="7"/>
        <v>18427.744532352663</v>
      </c>
      <c r="G47" s="177">
        <f t="shared" si="4"/>
        <v>339581768.5496535</v>
      </c>
      <c r="H47" s="215">
        <f t="shared" si="1"/>
        <v>0.03269253885947915</v>
      </c>
      <c r="I47" s="177">
        <f t="shared" si="5"/>
        <v>0.016083366389401204</v>
      </c>
    </row>
    <row r="48" spans="1:9" ht="15.75">
      <c r="A48" s="146" t="s">
        <v>46</v>
      </c>
      <c r="B48" s="113">
        <f t="shared" si="6"/>
        <v>47</v>
      </c>
      <c r="C48" s="149">
        <v>569176.8</v>
      </c>
      <c r="D48" s="123">
        <f t="shared" si="2"/>
        <v>582367.6377912859</v>
      </c>
      <c r="E48" s="174">
        <f t="shared" si="3"/>
        <v>-13190.837791285827</v>
      </c>
      <c r="F48" s="194">
        <f t="shared" si="7"/>
        <v>13190.837791285827</v>
      </c>
      <c r="G48" s="177">
        <f t="shared" si="4"/>
        <v>173998201.63601434</v>
      </c>
      <c r="H48" s="215">
        <f t="shared" si="1"/>
        <v>0.02317529068522439</v>
      </c>
      <c r="I48" s="177">
        <f t="shared" si="5"/>
        <v>0.01145490990915335</v>
      </c>
    </row>
    <row r="49" spans="1:9" ht="16.5" thickBot="1">
      <c r="A49" s="147" t="s">
        <v>47</v>
      </c>
      <c r="B49" s="114">
        <f t="shared" si="6"/>
        <v>48</v>
      </c>
      <c r="C49" s="149">
        <v>587564.8</v>
      </c>
      <c r="D49" s="123">
        <f t="shared" si="2"/>
        <v>582600.4375469475</v>
      </c>
      <c r="E49" s="175">
        <f t="shared" si="3"/>
        <v>4964.362453052541</v>
      </c>
      <c r="F49" s="194">
        <f t="shared" si="7"/>
        <v>4964.362453052541</v>
      </c>
      <c r="G49" s="182">
        <f t="shared" si="4"/>
        <v>24644894.565277845</v>
      </c>
      <c r="H49" s="216">
        <f t="shared" si="1"/>
        <v>0.008449046731615884</v>
      </c>
      <c r="I49" s="182">
        <f t="shared" si="5"/>
        <v>0.004242445676697321</v>
      </c>
    </row>
    <row r="50" spans="1:9" ht="15.75">
      <c r="A50" s="145" t="s">
        <v>48</v>
      </c>
      <c r="B50" s="115">
        <f t="shared" si="6"/>
        <v>49</v>
      </c>
      <c r="C50" s="105">
        <v>584631.3</v>
      </c>
      <c r="D50" s="122">
        <f>1/($D$67+$D$66*$D$65^B50)</f>
        <v>582799.8866877359</v>
      </c>
      <c r="E50" s="173">
        <f>C50-D50</f>
        <v>1831.413312264136</v>
      </c>
      <c r="F50" s="195">
        <f t="shared" si="7"/>
        <v>1831.413312264136</v>
      </c>
      <c r="G50" s="184">
        <f>E50*E50</f>
        <v>3354074.720338294</v>
      </c>
      <c r="H50" s="214">
        <f>F50/C50</f>
        <v>0.0031325953849274508</v>
      </c>
      <c r="I50" s="181">
        <f>F50/ABS(C50+D50)</f>
        <v>0.0015687548295332647</v>
      </c>
    </row>
    <row r="51" spans="1:9" ht="15.75">
      <c r="A51" s="146" t="s">
        <v>49</v>
      </c>
      <c r="B51" s="116">
        <f t="shared" si="6"/>
        <v>50</v>
      </c>
      <c r="C51" s="106">
        <v>589489.7</v>
      </c>
      <c r="D51" s="123">
        <f t="shared" si="2"/>
        <v>582970.7447782807</v>
      </c>
      <c r="E51" s="174">
        <f t="shared" si="3"/>
        <v>6518.955221719225</v>
      </c>
      <c r="F51" s="196">
        <f t="shared" si="7"/>
        <v>6518.955221719225</v>
      </c>
      <c r="G51" s="184">
        <f t="shared" si="4"/>
        <v>42496777.18278035</v>
      </c>
      <c r="H51" s="215">
        <f t="shared" si="1"/>
        <v>0.011058641434649708</v>
      </c>
      <c r="I51" s="177">
        <f t="shared" si="5"/>
        <v>0.005560064094914518</v>
      </c>
    </row>
    <row r="52" spans="1:9" ht="15.75">
      <c r="A52" s="146" t="s">
        <v>50</v>
      </c>
      <c r="B52" s="116">
        <f t="shared" si="6"/>
        <v>51</v>
      </c>
      <c r="C52" s="106">
        <v>582149.8</v>
      </c>
      <c r="D52" s="123">
        <f t="shared" si="2"/>
        <v>583117.0969896953</v>
      </c>
      <c r="E52" s="174">
        <f t="shared" si="3"/>
        <v>-967.2969896952854</v>
      </c>
      <c r="F52" s="196">
        <f t="shared" si="7"/>
        <v>967.2969896952854</v>
      </c>
      <c r="G52" s="184">
        <f t="shared" si="4"/>
        <v>935663.4662735611</v>
      </c>
      <c r="H52" s="215">
        <f t="shared" si="1"/>
        <v>0.001661594644016515</v>
      </c>
      <c r="I52" s="177">
        <f t="shared" si="5"/>
        <v>0.0008301076707783963</v>
      </c>
    </row>
    <row r="53" spans="1:9" ht="16.5" thickBot="1">
      <c r="A53" s="147" t="s">
        <v>51</v>
      </c>
      <c r="B53" s="117">
        <f t="shared" si="6"/>
        <v>52</v>
      </c>
      <c r="C53" s="106">
        <v>599177.5</v>
      </c>
      <c r="D53" s="123">
        <f t="shared" si="2"/>
        <v>583242.4483572923</v>
      </c>
      <c r="E53" s="175">
        <f t="shared" si="3"/>
        <v>15935.051642707665</v>
      </c>
      <c r="F53" s="197">
        <f t="shared" si="7"/>
        <v>15935.051642707665</v>
      </c>
      <c r="G53" s="184">
        <f t="shared" si="4"/>
        <v>253925870.85576028</v>
      </c>
      <c r="H53" s="216">
        <f t="shared" si="1"/>
        <v>0.02659487654778036</v>
      </c>
      <c r="I53" s="177">
        <f t="shared" si="5"/>
        <v>0.013476643103700888</v>
      </c>
    </row>
    <row r="54" spans="1:9" ht="15.75">
      <c r="A54" s="145" t="s">
        <v>52</v>
      </c>
      <c r="B54" s="115">
        <f t="shared" si="6"/>
        <v>53</v>
      </c>
      <c r="C54" s="105">
        <v>597108</v>
      </c>
      <c r="D54" s="122">
        <f>1/($D$67+$D$66*$D$65^B54)</f>
        <v>583349.805212857</v>
      </c>
      <c r="E54" s="173">
        <f>C54-D54</f>
        <v>13758.194787143031</v>
      </c>
      <c r="F54" s="194">
        <f t="shared" si="7"/>
        <v>13758.194787143031</v>
      </c>
      <c r="G54" s="181">
        <f>E54*E54</f>
        <v>189287923.8009697</v>
      </c>
      <c r="H54" s="214">
        <f>F54/C54</f>
        <v>0.023041384116680788</v>
      </c>
      <c r="I54" s="181">
        <f>F54/ABS(C54+D54)</f>
        <v>0.011654965324798027</v>
      </c>
    </row>
    <row r="55" spans="1:9" ht="15.75">
      <c r="A55" s="146" t="s">
        <v>53</v>
      </c>
      <c r="B55" s="116">
        <f t="shared" si="6"/>
        <v>54</v>
      </c>
      <c r="C55" s="106">
        <v>604796.4</v>
      </c>
      <c r="D55" s="123">
        <f t="shared" si="2"/>
        <v>583441.7454420947</v>
      </c>
      <c r="E55" s="174">
        <f t="shared" si="3"/>
        <v>21354.654557905276</v>
      </c>
      <c r="F55" s="194">
        <f t="shared" si="7"/>
        <v>21354.654557905276</v>
      </c>
      <c r="G55" s="177">
        <f t="shared" si="4"/>
        <v>456021271.2874646</v>
      </c>
      <c r="H55" s="215">
        <f t="shared" si="1"/>
        <v>0.035308832125828256</v>
      </c>
      <c r="I55" s="177">
        <f t="shared" si="5"/>
        <v>0.017971695858964437</v>
      </c>
    </row>
    <row r="56" spans="1:9" ht="15.75">
      <c r="A56" s="146" t="s">
        <v>54</v>
      </c>
      <c r="B56" s="116">
        <f t="shared" si="6"/>
        <v>55</v>
      </c>
      <c r="C56" s="106">
        <v>606284.6</v>
      </c>
      <c r="D56" s="123">
        <f t="shared" si="2"/>
        <v>583520.4790316162</v>
      </c>
      <c r="E56" s="174">
        <f t="shared" si="3"/>
        <v>22764.120968383737</v>
      </c>
      <c r="F56" s="194">
        <f t="shared" si="7"/>
        <v>22764.120968383737</v>
      </c>
      <c r="G56" s="177">
        <f t="shared" si="4"/>
        <v>518205203.46320814</v>
      </c>
      <c r="H56" s="215">
        <f t="shared" si="1"/>
        <v>0.03754692263069809</v>
      </c>
      <c r="I56" s="177">
        <f t="shared" si="5"/>
        <v>0.01913264732985632</v>
      </c>
    </row>
    <row r="57" spans="1:9" ht="16.5" thickBot="1">
      <c r="A57" s="147" t="s">
        <v>55</v>
      </c>
      <c r="B57" s="117">
        <f t="shared" si="6"/>
        <v>56</v>
      </c>
      <c r="C57" s="106">
        <v>630641.9</v>
      </c>
      <c r="D57" s="123">
        <f t="shared" si="2"/>
        <v>583587.9001969709</v>
      </c>
      <c r="E57" s="175">
        <f t="shared" si="3"/>
        <v>47053.99980302912</v>
      </c>
      <c r="F57" s="194">
        <f t="shared" si="7"/>
        <v>47053.99980302912</v>
      </c>
      <c r="G57" s="182">
        <f t="shared" si="4"/>
        <v>2214078897.4634643</v>
      </c>
      <c r="H57" s="216">
        <f t="shared" si="1"/>
        <v>0.07461286635573867</v>
      </c>
      <c r="I57" s="182">
        <f t="shared" si="5"/>
        <v>0.03875213719462006</v>
      </c>
    </row>
    <row r="58" spans="1:9" ht="15.75">
      <c r="A58" s="145" t="s">
        <v>56</v>
      </c>
      <c r="B58" s="116">
        <f t="shared" si="6"/>
        <v>57</v>
      </c>
      <c r="C58" s="105">
        <v>636801.4</v>
      </c>
      <c r="D58" s="122">
        <f>1/($D$67+$D$66*$D$65^B58)</f>
        <v>583645.6322253337</v>
      </c>
      <c r="E58" s="173">
        <f>C58-D58</f>
        <v>53155.76777466631</v>
      </c>
      <c r="F58" s="195">
        <f t="shared" si="7"/>
        <v>53155.76777466631</v>
      </c>
      <c r="G58" s="184">
        <f>E58*E58</f>
        <v>2825535647.7142534</v>
      </c>
      <c r="H58" s="214">
        <f>F58/C58</f>
        <v>0.08347306990007608</v>
      </c>
      <c r="I58" s="181">
        <f>F58/ABS(C58+D58)</f>
        <v>0.04355434227878236</v>
      </c>
    </row>
    <row r="59" spans="1:9" ht="15.75">
      <c r="A59" s="146" t="s">
        <v>57</v>
      </c>
      <c r="B59" s="116">
        <f t="shared" si="6"/>
        <v>58</v>
      </c>
      <c r="C59" s="106"/>
      <c r="D59" s="123">
        <f t="shared" si="2"/>
        <v>583695.0660239246</v>
      </c>
      <c r="E59" s="177"/>
      <c r="F59" s="196">
        <f t="shared" si="7"/>
        <v>0</v>
      </c>
      <c r="G59" s="184">
        <f t="shared" si="4"/>
        <v>0</v>
      </c>
      <c r="H59" s="215"/>
      <c r="I59" s="177"/>
    </row>
    <row r="60" spans="1:9" ht="15.75">
      <c r="A60" s="146" t="s">
        <v>58</v>
      </c>
      <c r="B60" s="116">
        <f t="shared" si="6"/>
        <v>59</v>
      </c>
      <c r="C60" s="106"/>
      <c r="D60" s="123">
        <f t="shared" si="2"/>
        <v>583737.3932377876</v>
      </c>
      <c r="E60" s="177"/>
      <c r="F60" s="196">
        <f t="shared" si="7"/>
        <v>0</v>
      </c>
      <c r="G60" s="184">
        <f t="shared" si="4"/>
        <v>0</v>
      </c>
      <c r="H60" s="215"/>
      <c r="I60" s="177"/>
    </row>
    <row r="61" spans="1:9" ht="16.5" thickBot="1">
      <c r="A61" s="147" t="s">
        <v>59</v>
      </c>
      <c r="B61" s="117">
        <f t="shared" si="6"/>
        <v>60</v>
      </c>
      <c r="C61" s="107"/>
      <c r="D61" s="124">
        <f t="shared" si="2"/>
        <v>583773.6346874516</v>
      </c>
      <c r="E61" s="177"/>
      <c r="F61" s="197">
        <f t="shared" si="7"/>
        <v>0</v>
      </c>
      <c r="G61" s="185">
        <f t="shared" si="4"/>
        <v>0</v>
      </c>
      <c r="H61" s="216"/>
      <c r="I61" s="182"/>
    </row>
    <row r="62" spans="1:9" ht="16.5" thickBot="1">
      <c r="A62" s="118"/>
      <c r="B62" s="118"/>
      <c r="C62" s="39">
        <f>SUM(C2:C58)</f>
        <v>26961516.7</v>
      </c>
      <c r="D62" s="39">
        <f>SUM(D2:D58)</f>
        <v>27376858.145359762</v>
      </c>
      <c r="E62" s="39">
        <f>SUM(E2:E58)</f>
        <v>-415341.44535977324</v>
      </c>
      <c r="F62" s="190">
        <f>SUM(F2:F58)</f>
        <v>1360712.7352006366</v>
      </c>
      <c r="G62" s="190">
        <f>SUM(G2:G58)</f>
        <v>51242599323.43551</v>
      </c>
      <c r="H62" s="213">
        <f>SUM(H2:H58)/57</f>
        <v>0.06528415075376982</v>
      </c>
      <c r="I62" s="213">
        <f>SUM(I2:I58)/57</f>
        <v>0.03217298303763058</v>
      </c>
    </row>
    <row r="63" spans="1:4" ht="15.75">
      <c r="A63" s="118"/>
      <c r="B63" s="118"/>
      <c r="C63" s="118"/>
      <c r="D63" s="118"/>
    </row>
    <row r="64" spans="1:4" ht="16.5" thickBot="1">
      <c r="A64" s="118"/>
      <c r="B64" s="118"/>
      <c r="C64" s="118"/>
      <c r="D64" s="118"/>
    </row>
    <row r="65" spans="1:7" ht="17.25" thickBot="1">
      <c r="A65" s="108" t="s">
        <v>63</v>
      </c>
      <c r="B65" s="109" t="s">
        <v>64</v>
      </c>
      <c r="C65" s="109" t="s">
        <v>77</v>
      </c>
      <c r="D65" s="110">
        <v>0.85610577</v>
      </c>
      <c r="F65" s="220" t="s">
        <v>122</v>
      </c>
      <c r="G65" s="221">
        <f>SQRT(F62)/(SQRT(C62)+SQRT(D62))</f>
        <v>0.11189690541258523</v>
      </c>
    </row>
    <row r="66" spans="1:4" ht="16.5" thickBot="1">
      <c r="A66" s="108" t="s">
        <v>63</v>
      </c>
      <c r="B66" s="109" t="s">
        <v>65</v>
      </c>
      <c r="C66" s="109" t="s">
        <v>78</v>
      </c>
      <c r="D66" s="111">
        <v>7.07265E-06</v>
      </c>
    </row>
    <row r="67" spans="1:4" ht="16.5" thickBot="1">
      <c r="A67" s="108" t="s">
        <v>63</v>
      </c>
      <c r="B67" s="109" t="s">
        <v>66</v>
      </c>
      <c r="C67" s="109" t="s">
        <v>79</v>
      </c>
      <c r="D67" s="111">
        <v>1.71236E-06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40">
      <selection activeCell="G65" sqref="G65"/>
    </sheetView>
  </sheetViews>
  <sheetFormatPr defaultColWidth="9.140625" defaultRowHeight="12.75"/>
  <cols>
    <col min="3" max="3" width="12.140625" style="0" customWidth="1"/>
    <col min="4" max="4" width="12.28125" style="0" customWidth="1"/>
    <col min="5" max="5" width="10.57421875" style="0" customWidth="1"/>
    <col min="6" max="6" width="11.8515625" style="0" customWidth="1"/>
    <col min="7" max="7" width="10.8515625" style="0" customWidth="1"/>
  </cols>
  <sheetData>
    <row r="1" spans="1:9" ht="16.5" thickBot="1">
      <c r="A1" s="151" t="s">
        <v>91</v>
      </c>
      <c r="B1" s="119" t="s">
        <v>60</v>
      </c>
      <c r="C1" s="120" t="s">
        <v>83</v>
      </c>
      <c r="D1" s="121" t="s">
        <v>82</v>
      </c>
      <c r="E1" s="167" t="s">
        <v>111</v>
      </c>
      <c r="F1" s="167" t="s">
        <v>112</v>
      </c>
      <c r="G1" s="180" t="s">
        <v>113</v>
      </c>
      <c r="H1" s="167" t="s">
        <v>119</v>
      </c>
      <c r="I1" s="210" t="s">
        <v>120</v>
      </c>
    </row>
    <row r="2" spans="1:9" ht="15.75">
      <c r="A2" s="152" t="s">
        <v>0</v>
      </c>
      <c r="B2" s="112">
        <v>1</v>
      </c>
      <c r="C2" s="148">
        <v>179342.9</v>
      </c>
      <c r="D2" s="122">
        <f>$D$66+$D$65*$D$64^B2</f>
        <v>-100128.79627399996</v>
      </c>
      <c r="E2" s="173">
        <f>C2-D2</f>
        <v>279471.696274</v>
      </c>
      <c r="F2" s="191">
        <f aca="true" t="shared" si="0" ref="F2:F33">ABS(E2)</f>
        <v>279471.696274</v>
      </c>
      <c r="G2" s="181">
        <f>E2*E2</f>
        <v>78104429018.26689</v>
      </c>
      <c r="H2" s="215">
        <f aca="true" t="shared" si="1" ref="H2:H57">F2/C2</f>
        <v>1.5583092292697396</v>
      </c>
      <c r="I2" s="181">
        <f>F2/ABS(C2+D2)</f>
        <v>3.528054767124386</v>
      </c>
    </row>
    <row r="3" spans="1:9" ht="15.75">
      <c r="A3" s="153" t="s">
        <v>1</v>
      </c>
      <c r="B3" s="113">
        <v>2</v>
      </c>
      <c r="C3" s="149">
        <v>179879.6</v>
      </c>
      <c r="D3" s="123">
        <f aca="true" t="shared" si="2" ref="D3:D16">$D$66+$D$65*$D$64^B3</f>
        <v>-27791.255947186262</v>
      </c>
      <c r="E3" s="174">
        <f aca="true" t="shared" si="3" ref="E3:E57">C3-D3</f>
        <v>207670.85594718627</v>
      </c>
      <c r="F3" s="192">
        <f t="shared" si="0"/>
        <v>207670.85594718627</v>
      </c>
      <c r="G3" s="177">
        <f aca="true" t="shared" si="4" ref="G3:G61">E3*E3</f>
        <v>43127184409.83699</v>
      </c>
      <c r="H3" s="215">
        <f t="shared" si="1"/>
        <v>1.154499209177618</v>
      </c>
      <c r="I3" s="177">
        <f aca="true" t="shared" si="5" ref="I3:I57">F3/ABS(C3+D3)</f>
        <v>1.3654620098636296</v>
      </c>
    </row>
    <row r="4" spans="1:9" ht="15.75">
      <c r="A4" s="153" t="s">
        <v>2</v>
      </c>
      <c r="B4" s="113">
        <f>B3+1</f>
        <v>3</v>
      </c>
      <c r="C4" s="149">
        <v>184157.9</v>
      </c>
      <c r="D4" s="123">
        <f t="shared" si="2"/>
        <v>36936.15812462568</v>
      </c>
      <c r="E4" s="174">
        <f t="shared" si="3"/>
        <v>147221.7418753743</v>
      </c>
      <c r="F4" s="192">
        <f t="shared" si="0"/>
        <v>147221.7418753743</v>
      </c>
      <c r="G4" s="177">
        <f t="shared" si="4"/>
        <v>21674241280.819344</v>
      </c>
      <c r="H4" s="215">
        <f t="shared" si="1"/>
        <v>0.7994321279476705</v>
      </c>
      <c r="I4" s="177">
        <f t="shared" si="5"/>
        <v>0.6658783285455314</v>
      </c>
    </row>
    <row r="5" spans="1:9" ht="16.5" thickBot="1">
      <c r="A5" s="154" t="s">
        <v>3</v>
      </c>
      <c r="B5" s="113">
        <f>B4+1</f>
        <v>4</v>
      </c>
      <c r="C5" s="150">
        <v>204782.7</v>
      </c>
      <c r="D5" s="123">
        <f t="shared" si="2"/>
        <v>94854.0540538407</v>
      </c>
      <c r="E5" s="175">
        <f t="shared" si="3"/>
        <v>109928.64594615932</v>
      </c>
      <c r="F5" s="193">
        <f t="shared" si="0"/>
        <v>109928.64594615932</v>
      </c>
      <c r="G5" s="182">
        <f t="shared" si="4"/>
        <v>12084307199.55605</v>
      </c>
      <c r="H5" s="216">
        <f t="shared" si="1"/>
        <v>0.5368063119890465</v>
      </c>
      <c r="I5" s="177">
        <f t="shared" si="5"/>
        <v>0.36687303696530704</v>
      </c>
    </row>
    <row r="6" spans="1:9" ht="15.75">
      <c r="A6" s="152" t="s">
        <v>4</v>
      </c>
      <c r="B6" s="112">
        <f aca="true" t="shared" si="6" ref="B6:B61">B5+1</f>
        <v>5</v>
      </c>
      <c r="C6" s="148">
        <v>215145.3</v>
      </c>
      <c r="D6" s="122">
        <f t="shared" si="2"/>
        <v>146678.8135776145</v>
      </c>
      <c r="E6" s="173">
        <f>C6-D6</f>
        <v>68466.4864223855</v>
      </c>
      <c r="F6" s="194">
        <f t="shared" si="0"/>
        <v>68466.4864223855</v>
      </c>
      <c r="G6" s="181">
        <f>E6*E6</f>
        <v>4687659763.026697</v>
      </c>
      <c r="H6" s="214">
        <f>F6/C6</f>
        <v>0.31823370727775835</v>
      </c>
      <c r="I6" s="181">
        <f>F6/ABS(C6+D6)</f>
        <v>0.1892258803466918</v>
      </c>
    </row>
    <row r="7" spans="1:9" ht="15.75">
      <c r="A7" s="153" t="s">
        <v>5</v>
      </c>
      <c r="B7" s="113">
        <f t="shared" si="6"/>
        <v>6</v>
      </c>
      <c r="C7" s="149">
        <v>220120.4</v>
      </c>
      <c r="D7" s="123">
        <f t="shared" si="2"/>
        <v>193051.45292520872</v>
      </c>
      <c r="E7" s="174">
        <f t="shared" si="3"/>
        <v>27068.94707479127</v>
      </c>
      <c r="F7" s="194">
        <f t="shared" si="0"/>
        <v>27068.94707479127</v>
      </c>
      <c r="G7" s="177">
        <f t="shared" si="4"/>
        <v>732727895.7378509</v>
      </c>
      <c r="H7" s="215">
        <f t="shared" si="1"/>
        <v>0.1229733685509897</v>
      </c>
      <c r="I7" s="177">
        <f t="shared" si="5"/>
        <v>0.06551498337349523</v>
      </c>
    </row>
    <row r="8" spans="1:9" ht="15.75">
      <c r="A8" s="153" t="s">
        <v>6</v>
      </c>
      <c r="B8" s="113">
        <f t="shared" si="6"/>
        <v>7</v>
      </c>
      <c r="C8" s="149">
        <v>224857.6</v>
      </c>
      <c r="D8" s="123">
        <f t="shared" si="2"/>
        <v>234545.55149551807</v>
      </c>
      <c r="E8" s="174">
        <f t="shared" si="3"/>
        <v>-9687.951495518064</v>
      </c>
      <c r="F8" s="194">
        <f t="shared" si="0"/>
        <v>9687.951495518064</v>
      </c>
      <c r="G8" s="177">
        <f t="shared" si="4"/>
        <v>93856404.1795107</v>
      </c>
      <c r="H8" s="215">
        <f t="shared" si="1"/>
        <v>0.04308483011256041</v>
      </c>
      <c r="I8" s="177">
        <f t="shared" si="5"/>
        <v>0.02108812589548067</v>
      </c>
    </row>
    <row r="9" spans="1:9" ht="16.5" thickBot="1">
      <c r="A9" s="154" t="s">
        <v>7</v>
      </c>
      <c r="B9" s="114">
        <f t="shared" si="6"/>
        <v>8</v>
      </c>
      <c r="C9" s="150">
        <v>244498.9</v>
      </c>
      <c r="D9" s="123">
        <f t="shared" si="2"/>
        <v>271674.3464139351</v>
      </c>
      <c r="E9" s="175">
        <f t="shared" si="3"/>
        <v>-27175.446413935133</v>
      </c>
      <c r="F9" s="194">
        <f t="shared" si="0"/>
        <v>27175.446413935133</v>
      </c>
      <c r="G9" s="182">
        <f t="shared" si="4"/>
        <v>738504887.7966598</v>
      </c>
      <c r="H9" s="216">
        <f t="shared" si="1"/>
        <v>0.1111475201480871</v>
      </c>
      <c r="I9" s="182">
        <f t="shared" si="5"/>
        <v>0.05264791734700313</v>
      </c>
    </row>
    <row r="10" spans="1:9" ht="15.75">
      <c r="A10" s="152" t="s">
        <v>8</v>
      </c>
      <c r="B10" s="113">
        <f t="shared" si="6"/>
        <v>9</v>
      </c>
      <c r="C10" s="148">
        <v>257013.4</v>
      </c>
      <c r="D10" s="122">
        <f t="shared" si="2"/>
        <v>304897.0807205499</v>
      </c>
      <c r="E10" s="173">
        <f>C10-D10</f>
        <v>-47883.68072054992</v>
      </c>
      <c r="F10" s="195">
        <f t="shared" si="0"/>
        <v>47883.68072054992</v>
      </c>
      <c r="G10" s="184">
        <f>E10*E10</f>
        <v>2292846879.347564</v>
      </c>
      <c r="H10" s="214">
        <f>F10/C10</f>
        <v>0.18630810969603112</v>
      </c>
      <c r="I10" s="181">
        <f>F10/ABS(C10+D10)</f>
        <v>0.08521585263750134</v>
      </c>
    </row>
    <row r="11" spans="1:9" ht="15.75">
      <c r="A11" s="153" t="s">
        <v>9</v>
      </c>
      <c r="B11" s="113">
        <f t="shared" si="6"/>
        <v>10</v>
      </c>
      <c r="C11" s="149">
        <v>268251.6</v>
      </c>
      <c r="D11" s="123">
        <f t="shared" si="2"/>
        <v>334624.68370990595</v>
      </c>
      <c r="E11" s="174">
        <f t="shared" si="3"/>
        <v>-66373.08370990597</v>
      </c>
      <c r="F11" s="196">
        <f t="shared" si="0"/>
        <v>66373.08370990597</v>
      </c>
      <c r="G11" s="184">
        <f t="shared" si="4"/>
        <v>4405386241.162186</v>
      </c>
      <c r="H11" s="215">
        <f t="shared" si="1"/>
        <v>0.24742847278415478</v>
      </c>
      <c r="I11" s="177">
        <f t="shared" si="5"/>
        <v>0.11009403670926886</v>
      </c>
    </row>
    <row r="12" spans="1:9" ht="15.75">
      <c r="A12" s="153" t="s">
        <v>10</v>
      </c>
      <c r="B12" s="113">
        <f t="shared" si="6"/>
        <v>11</v>
      </c>
      <c r="C12" s="149">
        <v>280707.7</v>
      </c>
      <c r="D12" s="123">
        <f t="shared" si="2"/>
        <v>361224.8536819727</v>
      </c>
      <c r="E12" s="174">
        <f t="shared" si="3"/>
        <v>-80517.1536819727</v>
      </c>
      <c r="F12" s="196">
        <f t="shared" si="0"/>
        <v>80517.1536819727</v>
      </c>
      <c r="G12" s="184">
        <f t="shared" si="4"/>
        <v>6483012037.046411</v>
      </c>
      <c r="H12" s="215">
        <f t="shared" si="1"/>
        <v>0.2868362844409779</v>
      </c>
      <c r="I12" s="177">
        <f t="shared" si="5"/>
        <v>0.1254293044030022</v>
      </c>
    </row>
    <row r="13" spans="1:9" ht="16.5" thickBot="1">
      <c r="A13" s="154" t="s">
        <v>11</v>
      </c>
      <c r="B13" s="113">
        <f t="shared" si="6"/>
        <v>12</v>
      </c>
      <c r="C13" s="150">
        <v>306236.9</v>
      </c>
      <c r="D13" s="123">
        <f t="shared" si="2"/>
        <v>385026.60597246815</v>
      </c>
      <c r="E13" s="175">
        <f t="shared" si="3"/>
        <v>-78789.70597246813</v>
      </c>
      <c r="F13" s="197">
        <f t="shared" si="0"/>
        <v>78789.70597246813</v>
      </c>
      <c r="G13" s="184">
        <f t="shared" si="4"/>
        <v>6207817767.227981</v>
      </c>
      <c r="H13" s="216">
        <f t="shared" si="1"/>
        <v>0.2572835147314648</v>
      </c>
      <c r="I13" s="177">
        <f t="shared" si="5"/>
        <v>0.11397926447979764</v>
      </c>
    </row>
    <row r="14" spans="1:9" ht="15.75">
      <c r="A14" s="152" t="s">
        <v>12</v>
      </c>
      <c r="B14" s="112">
        <f t="shared" si="6"/>
        <v>13</v>
      </c>
      <c r="C14" s="148">
        <v>320848.6</v>
      </c>
      <c r="D14" s="122">
        <f t="shared" si="2"/>
        <v>406324.3425167466</v>
      </c>
      <c r="E14" s="173">
        <f>C14-D14</f>
        <v>-85475.74251674663</v>
      </c>
      <c r="F14" s="194">
        <f t="shared" si="0"/>
        <v>85475.74251674663</v>
      </c>
      <c r="G14" s="181">
        <f>E14*E14</f>
        <v>7306102558.789167</v>
      </c>
      <c r="H14" s="214">
        <f>F14/C14</f>
        <v>0.2664052220166977</v>
      </c>
      <c r="I14" s="181">
        <f>F14/ABS(C14+D14)</f>
        <v>0.11754527364689198</v>
      </c>
    </row>
    <row r="15" spans="1:9" ht="15.75">
      <c r="A15" s="153" t="s">
        <v>13</v>
      </c>
      <c r="B15" s="113">
        <f t="shared" si="6"/>
        <v>14</v>
      </c>
      <c r="C15" s="149">
        <v>329595.1</v>
      </c>
      <c r="D15" s="123">
        <f t="shared" si="2"/>
        <v>425381.49328335735</v>
      </c>
      <c r="E15" s="174">
        <f t="shared" si="3"/>
        <v>-95786.39328335738</v>
      </c>
      <c r="F15" s="194">
        <f t="shared" si="0"/>
        <v>95786.39328335738</v>
      </c>
      <c r="G15" s="177">
        <f t="shared" si="4"/>
        <v>9175033138.23401</v>
      </c>
      <c r="H15" s="215">
        <f t="shared" si="1"/>
        <v>0.29061837777126354</v>
      </c>
      <c r="I15" s="177">
        <f t="shared" si="5"/>
        <v>0.12687332843894789</v>
      </c>
    </row>
    <row r="16" spans="1:9" ht="15.75">
      <c r="A16" s="153" t="s">
        <v>14</v>
      </c>
      <c r="B16" s="113">
        <f t="shared" si="6"/>
        <v>15</v>
      </c>
      <c r="C16" s="149">
        <v>336112.3</v>
      </c>
      <c r="D16" s="123">
        <f t="shared" si="2"/>
        <v>442433.7746178683</v>
      </c>
      <c r="E16" s="174">
        <f t="shared" si="3"/>
        <v>-106321.47461786831</v>
      </c>
      <c r="F16" s="194">
        <f t="shared" si="0"/>
        <v>106321.47461786831</v>
      </c>
      <c r="G16" s="177">
        <f t="shared" si="4"/>
        <v>11304255964.918016</v>
      </c>
      <c r="H16" s="215">
        <f t="shared" si="1"/>
        <v>0.31632723532542045</v>
      </c>
      <c r="I16" s="177">
        <f t="shared" si="5"/>
        <v>0.13656413934146902</v>
      </c>
    </row>
    <row r="17" spans="1:9" ht="16.5" thickBot="1">
      <c r="A17" s="154" t="s">
        <v>15</v>
      </c>
      <c r="B17" s="114">
        <f t="shared" si="6"/>
        <v>16</v>
      </c>
      <c r="C17" s="150">
        <v>365625.2</v>
      </c>
      <c r="D17" s="123">
        <f aca="true" t="shared" si="7" ref="D17:D61">$D$66+$D$65*$D$64^B17</f>
        <v>457692.1047991447</v>
      </c>
      <c r="E17" s="175">
        <f t="shared" si="3"/>
        <v>-92066.90479914472</v>
      </c>
      <c r="F17" s="194">
        <f t="shared" si="0"/>
        <v>92066.90479914472</v>
      </c>
      <c r="G17" s="182">
        <f t="shared" si="4"/>
        <v>8476314959.294776</v>
      </c>
      <c r="H17" s="216">
        <f t="shared" si="1"/>
        <v>0.25180678136831025</v>
      </c>
      <c r="I17" s="182">
        <f t="shared" si="5"/>
        <v>0.1118243285577548</v>
      </c>
    </row>
    <row r="18" spans="1:9" ht="15.75">
      <c r="A18" s="152" t="s">
        <v>16</v>
      </c>
      <c r="B18" s="113">
        <f t="shared" si="6"/>
        <v>17</v>
      </c>
      <c r="C18" s="148">
        <v>414840.1</v>
      </c>
      <c r="D18" s="122">
        <f t="shared" si="7"/>
        <v>471345.2128703603</v>
      </c>
      <c r="E18" s="173">
        <f>C18-D18</f>
        <v>-56505.11287036032</v>
      </c>
      <c r="F18" s="195">
        <f t="shared" si="0"/>
        <v>56505.11287036032</v>
      </c>
      <c r="G18" s="184">
        <f>E18*E18</f>
        <v>3192827780.4921594</v>
      </c>
      <c r="H18" s="214">
        <f>F18/C18</f>
        <v>0.1362093801210643</v>
      </c>
      <c r="I18" s="181">
        <f>F18/ABS(C18+D18)</f>
        <v>0.06376218613614784</v>
      </c>
    </row>
    <row r="19" spans="1:9" ht="15.75">
      <c r="A19" s="153" t="s">
        <v>17</v>
      </c>
      <c r="B19" s="113">
        <f t="shared" si="6"/>
        <v>18</v>
      </c>
      <c r="C19" s="149">
        <v>441183</v>
      </c>
      <c r="D19" s="123">
        <f t="shared" si="7"/>
        <v>483561.9730131598</v>
      </c>
      <c r="E19" s="174">
        <f t="shared" si="3"/>
        <v>-42378.97301315982</v>
      </c>
      <c r="F19" s="196">
        <f t="shared" si="0"/>
        <v>42378.97301315982</v>
      </c>
      <c r="G19" s="184">
        <f t="shared" si="4"/>
        <v>1795977353.6501281</v>
      </c>
      <c r="H19" s="215">
        <f t="shared" si="1"/>
        <v>0.0960575838442547</v>
      </c>
      <c r="I19" s="177">
        <f t="shared" si="5"/>
        <v>0.04582774089063011</v>
      </c>
    </row>
    <row r="20" spans="1:9" ht="15.75">
      <c r="A20" s="153" t="s">
        <v>18</v>
      </c>
      <c r="B20" s="113">
        <f t="shared" si="6"/>
        <v>19</v>
      </c>
      <c r="C20" s="149">
        <v>443649.1</v>
      </c>
      <c r="D20" s="123">
        <f t="shared" si="7"/>
        <v>494493.4933386564</v>
      </c>
      <c r="E20" s="174">
        <f t="shared" si="3"/>
        <v>-50844.3933386564</v>
      </c>
      <c r="F20" s="196">
        <f t="shared" si="0"/>
        <v>50844.3933386564</v>
      </c>
      <c r="G20" s="184">
        <f t="shared" si="4"/>
        <v>2585152333.9760075</v>
      </c>
      <c r="H20" s="215">
        <f t="shared" si="1"/>
        <v>0.11460497347713859</v>
      </c>
      <c r="I20" s="177">
        <f t="shared" si="5"/>
        <v>0.05419687124290101</v>
      </c>
    </row>
    <row r="21" spans="1:9" ht="16.5" thickBot="1">
      <c r="A21" s="154" t="s">
        <v>19</v>
      </c>
      <c r="B21" s="113">
        <f t="shared" si="6"/>
        <v>20</v>
      </c>
      <c r="C21" s="150">
        <v>473921.5</v>
      </c>
      <c r="D21" s="123">
        <f t="shared" si="7"/>
        <v>504274.98493134975</v>
      </c>
      <c r="E21" s="175">
        <f t="shared" si="3"/>
        <v>-30353.484931349754</v>
      </c>
      <c r="F21" s="197">
        <f t="shared" si="0"/>
        <v>30353.484931349754</v>
      </c>
      <c r="G21" s="184">
        <f t="shared" si="4"/>
        <v>921334047.4776766</v>
      </c>
      <c r="H21" s="216">
        <f t="shared" si="1"/>
        <v>0.06404749506268391</v>
      </c>
      <c r="I21" s="177">
        <f t="shared" si="5"/>
        <v>0.03103004907391379</v>
      </c>
    </row>
    <row r="22" spans="1:9" ht="15.75">
      <c r="A22" s="152" t="s">
        <v>20</v>
      </c>
      <c r="B22" s="112">
        <f t="shared" si="6"/>
        <v>21</v>
      </c>
      <c r="C22" s="148">
        <v>493387.1</v>
      </c>
      <c r="D22" s="122">
        <f t="shared" si="7"/>
        <v>513027.4342640169</v>
      </c>
      <c r="E22" s="173">
        <f>C22-D22</f>
        <v>-19640.334264016943</v>
      </c>
      <c r="F22" s="194">
        <f t="shared" si="0"/>
        <v>19640.334264016943</v>
      </c>
      <c r="G22" s="181">
        <f>E22*E22</f>
        <v>385742730.00231797</v>
      </c>
      <c r="H22" s="214">
        <f>F22/C22</f>
        <v>0.039807149931599235</v>
      </c>
      <c r="I22" s="181">
        <f>F22/ABS(C22+D22)</f>
        <v>0.019515153642310785</v>
      </c>
    </row>
    <row r="23" spans="1:9" ht="15.75">
      <c r="A23" s="153" t="s">
        <v>21</v>
      </c>
      <c r="B23" s="113">
        <f t="shared" si="6"/>
        <v>22</v>
      </c>
      <c r="C23" s="149">
        <v>512073.8</v>
      </c>
      <c r="D23" s="123">
        <f t="shared" si="7"/>
        <v>520859.0996695396</v>
      </c>
      <c r="E23" s="174">
        <f t="shared" si="3"/>
        <v>-8785.299669539614</v>
      </c>
      <c r="F23" s="194">
        <f t="shared" si="0"/>
        <v>8785.299669539614</v>
      </c>
      <c r="G23" s="177">
        <f t="shared" si="4"/>
        <v>77181490.28361285</v>
      </c>
      <c r="H23" s="215">
        <f t="shared" si="1"/>
        <v>0.017156315495031407</v>
      </c>
      <c r="I23" s="177">
        <f t="shared" si="5"/>
        <v>0.008505198810445718</v>
      </c>
    </row>
    <row r="24" spans="1:9" ht="15.75">
      <c r="A24" s="153" t="s">
        <v>22</v>
      </c>
      <c r="B24" s="113">
        <f t="shared" si="6"/>
        <v>23</v>
      </c>
      <c r="C24" s="149">
        <v>527451.8</v>
      </c>
      <c r="D24" s="123">
        <f t="shared" si="7"/>
        <v>527866.850379405</v>
      </c>
      <c r="E24" s="174">
        <f t="shared" si="3"/>
        <v>-415.05037940491457</v>
      </c>
      <c r="F24" s="194">
        <f t="shared" si="0"/>
        <v>415.05037940491457</v>
      </c>
      <c r="G24" s="177">
        <f t="shared" si="4"/>
        <v>172266.81744416352</v>
      </c>
      <c r="H24" s="215">
        <f t="shared" si="1"/>
        <v>0.0007868972660723018</v>
      </c>
      <c r="I24" s="177">
        <f t="shared" si="5"/>
        <v>0.0003932938920919259</v>
      </c>
    </row>
    <row r="25" spans="1:9" ht="16.5" thickBot="1">
      <c r="A25" s="154" t="s">
        <v>23</v>
      </c>
      <c r="B25" s="114">
        <f t="shared" si="6"/>
        <v>24</v>
      </c>
      <c r="C25" s="150">
        <v>549745.5</v>
      </c>
      <c r="D25" s="123">
        <f t="shared" si="7"/>
        <v>534137.3646913405</v>
      </c>
      <c r="E25" s="175">
        <f t="shared" si="3"/>
        <v>15608.135308659519</v>
      </c>
      <c r="F25" s="194">
        <f t="shared" si="0"/>
        <v>15608.135308659519</v>
      </c>
      <c r="G25" s="182">
        <f t="shared" si="4"/>
        <v>243613887.813424</v>
      </c>
      <c r="H25" s="216">
        <f t="shared" si="1"/>
        <v>0.02839156538554571</v>
      </c>
      <c r="I25" s="182">
        <f t="shared" si="5"/>
        <v>0.014400204871865266</v>
      </c>
    </row>
    <row r="26" spans="1:9" ht="15.75">
      <c r="A26" s="152" t="s">
        <v>24</v>
      </c>
      <c r="B26" s="112">
        <f t="shared" si="6"/>
        <v>25</v>
      </c>
      <c r="C26" s="148">
        <v>559644.4</v>
      </c>
      <c r="D26" s="122">
        <f t="shared" si="7"/>
        <v>539748.2020861174</v>
      </c>
      <c r="E26" s="173">
        <f>C26-D26</f>
        <v>19896.197913882672</v>
      </c>
      <c r="F26" s="195">
        <f t="shared" si="0"/>
        <v>19896.197913882672</v>
      </c>
      <c r="G26" s="184">
        <f>E26*E26</f>
        <v>395858691.4283892</v>
      </c>
      <c r="H26" s="214">
        <f>F26/C26</f>
        <v>0.03555150004875001</v>
      </c>
      <c r="I26" s="181">
        <f>F26/ABS(C26+D26)</f>
        <v>0.01809744569513136</v>
      </c>
    </row>
    <row r="27" spans="1:9" ht="15.75">
      <c r="A27" s="153" t="s">
        <v>25</v>
      </c>
      <c r="B27" s="113">
        <f t="shared" si="6"/>
        <v>26</v>
      </c>
      <c r="C27" s="149">
        <v>554565.3</v>
      </c>
      <c r="D27" s="123">
        <f t="shared" si="7"/>
        <v>544768.7625544516</v>
      </c>
      <c r="E27" s="174">
        <f t="shared" si="3"/>
        <v>9796.537445548456</v>
      </c>
      <c r="F27" s="196">
        <f t="shared" si="0"/>
        <v>9796.537445548456</v>
      </c>
      <c r="G27" s="184">
        <f t="shared" si="4"/>
        <v>95972145.92203307</v>
      </c>
      <c r="H27" s="215">
        <f t="shared" si="1"/>
        <v>0.01766525501243669</v>
      </c>
      <c r="I27" s="177">
        <f t="shared" si="5"/>
        <v>0.008911338035669408</v>
      </c>
    </row>
    <row r="28" spans="1:9" ht="15.75">
      <c r="A28" s="153" t="s">
        <v>26</v>
      </c>
      <c r="B28" s="113">
        <f t="shared" si="6"/>
        <v>27</v>
      </c>
      <c r="C28" s="149">
        <v>542409.4</v>
      </c>
      <c r="D28" s="123">
        <f t="shared" si="7"/>
        <v>549261.1449998356</v>
      </c>
      <c r="E28" s="174">
        <f t="shared" si="3"/>
        <v>-6851.744999835617</v>
      </c>
      <c r="F28" s="196">
        <f t="shared" si="0"/>
        <v>6851.744999835617</v>
      </c>
      <c r="G28" s="184">
        <f t="shared" si="4"/>
        <v>46946409.542772375</v>
      </c>
      <c r="H28" s="215">
        <f t="shared" si="1"/>
        <v>0.012632054311440061</v>
      </c>
      <c r="I28" s="177">
        <f t="shared" si="5"/>
        <v>0.006276385335501242</v>
      </c>
    </row>
    <row r="29" spans="1:9" ht="16.5" thickBot="1">
      <c r="A29" s="154" t="s">
        <v>27</v>
      </c>
      <c r="B29" s="114">
        <f t="shared" si="6"/>
        <v>28</v>
      </c>
      <c r="C29" s="150">
        <v>536933.7</v>
      </c>
      <c r="D29" s="123">
        <f t="shared" si="7"/>
        <v>553280.915334818</v>
      </c>
      <c r="E29" s="175">
        <f t="shared" si="3"/>
        <v>-16347.215334818</v>
      </c>
      <c r="F29" s="197">
        <f t="shared" si="0"/>
        <v>16347.215334818</v>
      </c>
      <c r="G29" s="184">
        <f t="shared" si="4"/>
        <v>267231449.20290878</v>
      </c>
      <c r="H29" s="216">
        <f t="shared" si="1"/>
        <v>0.03044550069183216</v>
      </c>
      <c r="I29" s="177">
        <f t="shared" si="5"/>
        <v>0.014994492923576864</v>
      </c>
    </row>
    <row r="30" spans="1:9" ht="15.75">
      <c r="A30" s="152" t="s">
        <v>28</v>
      </c>
      <c r="B30" s="112">
        <f t="shared" si="6"/>
        <v>29</v>
      </c>
      <c r="C30" s="148">
        <v>548175</v>
      </c>
      <c r="D30" s="122">
        <f t="shared" si="7"/>
        <v>556877.7937712491</v>
      </c>
      <c r="E30" s="173">
        <f>C30-D30</f>
        <v>-8702.793771249126</v>
      </c>
      <c r="F30" s="194">
        <f t="shared" si="0"/>
        <v>8702.793771249126</v>
      </c>
      <c r="G30" s="181">
        <f>E30*E30</f>
        <v>75738619.42489257</v>
      </c>
      <c r="H30" s="214">
        <f>F30/C30</f>
        <v>0.0158759406599154</v>
      </c>
      <c r="I30" s="181">
        <f>F30/ABS(C30+D30)</f>
        <v>0.007875455200243258</v>
      </c>
    </row>
    <row r="31" spans="1:9" ht="15.75">
      <c r="A31" s="153" t="s">
        <v>29</v>
      </c>
      <c r="B31" s="113">
        <f t="shared" si="6"/>
        <v>30</v>
      </c>
      <c r="C31" s="149">
        <v>543395.4</v>
      </c>
      <c r="D31" s="123">
        <f t="shared" si="7"/>
        <v>560096.2698055324</v>
      </c>
      <c r="E31" s="174">
        <f t="shared" si="3"/>
        <v>-16700.86980553239</v>
      </c>
      <c r="F31" s="194">
        <f t="shared" si="0"/>
        <v>16700.86980553239</v>
      </c>
      <c r="G31" s="177">
        <f t="shared" si="4"/>
        <v>278919052.26134354</v>
      </c>
      <c r="H31" s="215">
        <f t="shared" si="1"/>
        <v>0.03073428631440824</v>
      </c>
      <c r="I31" s="177">
        <f t="shared" si="5"/>
        <v>0.015134568082852474</v>
      </c>
    </row>
    <row r="32" spans="1:9" ht="15.75">
      <c r="A32" s="153" t="s">
        <v>30</v>
      </c>
      <c r="B32" s="113">
        <f t="shared" si="6"/>
        <v>31</v>
      </c>
      <c r="C32" s="149">
        <v>547678.9</v>
      </c>
      <c r="D32" s="123">
        <f t="shared" si="7"/>
        <v>562976.1525055809</v>
      </c>
      <c r="E32" s="174">
        <f t="shared" si="3"/>
        <v>-15297.252505580895</v>
      </c>
      <c r="F32" s="194">
        <f t="shared" si="0"/>
        <v>15297.252505580895</v>
      </c>
      <c r="G32" s="177">
        <f t="shared" si="4"/>
        <v>234005934.21950096</v>
      </c>
      <c r="H32" s="215">
        <f t="shared" si="1"/>
        <v>0.02793106052758449</v>
      </c>
      <c r="I32" s="177">
        <f t="shared" si="5"/>
        <v>0.013773180494763946</v>
      </c>
    </row>
    <row r="33" spans="1:9" ht="16.5" thickBot="1">
      <c r="A33" s="154" t="s">
        <v>31</v>
      </c>
      <c r="B33" s="114">
        <f t="shared" si="6"/>
        <v>32</v>
      </c>
      <c r="C33" s="150">
        <v>549152.9</v>
      </c>
      <c r="D33" s="123">
        <f t="shared" si="7"/>
        <v>565553.0629059364</v>
      </c>
      <c r="E33" s="175">
        <f t="shared" si="3"/>
        <v>-16400.162905936362</v>
      </c>
      <c r="F33" s="194">
        <f t="shared" si="0"/>
        <v>16400.162905936362</v>
      </c>
      <c r="G33" s="182">
        <f t="shared" si="4"/>
        <v>268965343.341251</v>
      </c>
      <c r="H33" s="216">
        <f t="shared" si="1"/>
        <v>0.02986447473178483</v>
      </c>
      <c r="I33" s="182">
        <f t="shared" si="5"/>
        <v>0.01471254613475166</v>
      </c>
    </row>
    <row r="34" spans="1:9" ht="15.75">
      <c r="A34" s="152" t="s">
        <v>32</v>
      </c>
      <c r="B34" s="113">
        <f t="shared" si="6"/>
        <v>33</v>
      </c>
      <c r="C34" s="148">
        <v>568758.9</v>
      </c>
      <c r="D34" s="122">
        <f t="shared" si="7"/>
        <v>567858.8746014431</v>
      </c>
      <c r="E34" s="173">
        <f>C34-D34</f>
        <v>900.025398556958</v>
      </c>
      <c r="F34" s="195">
        <f aca="true" t="shared" si="8" ref="F34:F61">ABS(E34)</f>
        <v>900.025398556958</v>
      </c>
      <c r="G34" s="184">
        <f>E34*E34</f>
        <v>810045.7180476111</v>
      </c>
      <c r="H34" s="214">
        <f>F34/C34</f>
        <v>0.0015824374766829283</v>
      </c>
      <c r="I34" s="181">
        <f>F34/ABS(C34+D34)</f>
        <v>0.0007918452611499528</v>
      </c>
    </row>
    <row r="35" spans="1:9" ht="15.75">
      <c r="A35" s="153" t="s">
        <v>33</v>
      </c>
      <c r="B35" s="113">
        <f t="shared" si="6"/>
        <v>34</v>
      </c>
      <c r="C35" s="149">
        <v>583195.2</v>
      </c>
      <c r="D35" s="123">
        <f t="shared" si="7"/>
        <v>569922.1079891475</v>
      </c>
      <c r="E35" s="174">
        <f t="shared" si="3"/>
        <v>13273.092010852415</v>
      </c>
      <c r="F35" s="196">
        <f t="shared" si="8"/>
        <v>13273.092010852415</v>
      </c>
      <c r="G35" s="184">
        <f t="shared" si="4"/>
        <v>176174971.5285542</v>
      </c>
      <c r="H35" s="215">
        <f t="shared" si="1"/>
        <v>0.022759261411706436</v>
      </c>
      <c r="I35" s="177">
        <f t="shared" si="5"/>
        <v>0.01151061727969253</v>
      </c>
    </row>
    <row r="36" spans="1:9" ht="15.75">
      <c r="A36" s="153" t="s">
        <v>34</v>
      </c>
      <c r="B36" s="113">
        <f t="shared" si="6"/>
        <v>35</v>
      </c>
      <c r="C36" s="149">
        <v>589675.9</v>
      </c>
      <c r="D36" s="123">
        <f t="shared" si="7"/>
        <v>571768.2830347653</v>
      </c>
      <c r="E36" s="174">
        <f t="shared" si="3"/>
        <v>17907.616965234745</v>
      </c>
      <c r="F36" s="196">
        <f t="shared" si="8"/>
        <v>17907.616965234745</v>
      </c>
      <c r="G36" s="184">
        <f t="shared" si="4"/>
        <v>320682745.3735633</v>
      </c>
      <c r="H36" s="215">
        <f t="shared" si="1"/>
        <v>0.030368575288959147</v>
      </c>
      <c r="I36" s="177">
        <f t="shared" si="5"/>
        <v>0.015418405143192938</v>
      </c>
    </row>
    <row r="37" spans="1:9" ht="16.5" thickBot="1">
      <c r="A37" s="154" t="s">
        <v>35</v>
      </c>
      <c r="B37" s="113">
        <f t="shared" si="6"/>
        <v>36</v>
      </c>
      <c r="C37" s="150">
        <v>595970.9</v>
      </c>
      <c r="D37" s="123">
        <f t="shared" si="7"/>
        <v>573420.2349270588</v>
      </c>
      <c r="E37" s="175">
        <f t="shared" si="3"/>
        <v>22550.66507294122</v>
      </c>
      <c r="F37" s="197">
        <f t="shared" si="8"/>
        <v>22550.66507294122</v>
      </c>
      <c r="G37" s="184">
        <f t="shared" si="4"/>
        <v>508532495.2319711</v>
      </c>
      <c r="H37" s="216">
        <f t="shared" si="1"/>
        <v>0.037838533849456776</v>
      </c>
      <c r="I37" s="177">
        <f t="shared" si="5"/>
        <v>0.019284108113533652</v>
      </c>
    </row>
    <row r="38" spans="1:9" ht="15.75">
      <c r="A38" s="152" t="s">
        <v>36</v>
      </c>
      <c r="B38" s="112">
        <f t="shared" si="6"/>
        <v>37</v>
      </c>
      <c r="C38" s="148">
        <v>596536.5</v>
      </c>
      <c r="D38" s="122">
        <f t="shared" si="7"/>
        <v>574898.3965244275</v>
      </c>
      <c r="E38" s="173">
        <f>C38-D38</f>
        <v>21638.10347557254</v>
      </c>
      <c r="F38" s="194">
        <f t="shared" si="8"/>
        <v>21638.10347557254</v>
      </c>
      <c r="G38" s="181">
        <f>E38*E38</f>
        <v>468207522.0195845</v>
      </c>
      <c r="H38" s="214">
        <f>F38/C38</f>
        <v>0.03627289105624307</v>
      </c>
      <c r="I38" s="181">
        <f>F38/ABS(C38+D38)</f>
        <v>0.018471452011350704</v>
      </c>
    </row>
    <row r="39" spans="1:9" ht="15.75">
      <c r="A39" s="153" t="s">
        <v>37</v>
      </c>
      <c r="B39" s="113">
        <f t="shared" si="6"/>
        <v>38</v>
      </c>
      <c r="C39" s="149">
        <v>594155.3</v>
      </c>
      <c r="D39" s="123">
        <f t="shared" si="7"/>
        <v>576221.0510872682</v>
      </c>
      <c r="E39" s="174">
        <f t="shared" si="3"/>
        <v>17934.248912731884</v>
      </c>
      <c r="F39" s="194">
        <f t="shared" si="8"/>
        <v>17934.248912731884</v>
      </c>
      <c r="G39" s="177">
        <f t="shared" si="4"/>
        <v>321637284.0638248</v>
      </c>
      <c r="H39" s="215">
        <f t="shared" si="1"/>
        <v>0.030184446579424408</v>
      </c>
      <c r="I39" s="177">
        <f t="shared" si="5"/>
        <v>0.015323488804324473</v>
      </c>
    </row>
    <row r="40" spans="1:9" ht="15.75">
      <c r="A40" s="153" t="s">
        <v>38</v>
      </c>
      <c r="B40" s="113">
        <f t="shared" si="6"/>
        <v>39</v>
      </c>
      <c r="C40" s="149">
        <v>580665.6</v>
      </c>
      <c r="D40" s="123">
        <f t="shared" si="7"/>
        <v>577404.5584221343</v>
      </c>
      <c r="E40" s="174">
        <f t="shared" si="3"/>
        <v>3261.041577865719</v>
      </c>
      <c r="F40" s="194">
        <f t="shared" si="8"/>
        <v>3261.041577865719</v>
      </c>
      <c r="G40" s="177">
        <f t="shared" si="4"/>
        <v>10634392.172568938</v>
      </c>
      <c r="H40" s="215">
        <f t="shared" si="1"/>
        <v>0.0056160405883622505</v>
      </c>
      <c r="I40" s="177">
        <f t="shared" si="5"/>
        <v>0.0028159274756797757</v>
      </c>
    </row>
    <row r="41" spans="1:9" ht="16.5" thickBot="1">
      <c r="A41" s="154" t="s">
        <v>39</v>
      </c>
      <c r="B41" s="114">
        <f t="shared" si="6"/>
        <v>40</v>
      </c>
      <c r="C41" s="150">
        <v>567335.8</v>
      </c>
      <c r="D41" s="123">
        <f t="shared" si="7"/>
        <v>578463.5572348505</v>
      </c>
      <c r="E41" s="175">
        <f t="shared" si="3"/>
        <v>-11127.757234850433</v>
      </c>
      <c r="F41" s="194">
        <f t="shared" si="8"/>
        <v>11127.757234850433</v>
      </c>
      <c r="G41" s="182">
        <f t="shared" si="4"/>
        <v>123826981.07776615</v>
      </c>
      <c r="H41" s="216">
        <f t="shared" si="1"/>
        <v>0.019614057908650277</v>
      </c>
      <c r="I41" s="182">
        <f t="shared" si="5"/>
        <v>0.0097117851957126</v>
      </c>
    </row>
    <row r="42" spans="1:9" ht="15.75">
      <c r="A42" s="152" t="s">
        <v>40</v>
      </c>
      <c r="B42" s="113">
        <f t="shared" si="6"/>
        <v>41</v>
      </c>
      <c r="C42" s="148">
        <v>560701.5</v>
      </c>
      <c r="D42" s="122">
        <f t="shared" si="7"/>
        <v>579411.1461954725</v>
      </c>
      <c r="E42" s="173">
        <f>C42-D42</f>
        <v>-18709.64619547245</v>
      </c>
      <c r="F42" s="195">
        <f t="shared" si="8"/>
        <v>18709.64619547245</v>
      </c>
      <c r="G42" s="184">
        <f>E42*E42</f>
        <v>350050860.75975674</v>
      </c>
      <c r="H42" s="214">
        <f>F42/C42</f>
        <v>0.03336828275913735</v>
      </c>
      <c r="I42" s="181">
        <f>F42/ABS(C42+D42)</f>
        <v>0.016410348800099776</v>
      </c>
    </row>
    <row r="43" spans="1:9" ht="15.75">
      <c r="A43" s="153" t="s">
        <v>41</v>
      </c>
      <c r="B43" s="113">
        <f t="shared" si="6"/>
        <v>42</v>
      </c>
      <c r="C43" s="149">
        <v>553728.3</v>
      </c>
      <c r="D43" s="123">
        <f t="shared" si="7"/>
        <v>580259.0459546702</v>
      </c>
      <c r="E43" s="174">
        <f t="shared" si="3"/>
        <v>-26530.74595467013</v>
      </c>
      <c r="F43" s="196">
        <f t="shared" si="8"/>
        <v>26530.74595467013</v>
      </c>
      <c r="G43" s="184">
        <f t="shared" si="4"/>
        <v>703880480.9112453</v>
      </c>
      <c r="H43" s="215">
        <f t="shared" si="1"/>
        <v>0.047912931223977766</v>
      </c>
      <c r="I43" s="177">
        <f t="shared" si="5"/>
        <v>0.023395980607115757</v>
      </c>
    </row>
    <row r="44" spans="1:9" ht="15.75">
      <c r="A44" s="153" t="s">
        <v>42</v>
      </c>
      <c r="B44" s="113">
        <f t="shared" si="6"/>
        <v>43</v>
      </c>
      <c r="C44" s="149">
        <v>548450.7</v>
      </c>
      <c r="D44" s="123">
        <f t="shared" si="7"/>
        <v>581017.7441155011</v>
      </c>
      <c r="E44" s="174">
        <f t="shared" si="3"/>
        <v>-32567.044115501107</v>
      </c>
      <c r="F44" s="196">
        <f t="shared" si="8"/>
        <v>32567.044115501107</v>
      </c>
      <c r="G44" s="184">
        <f t="shared" si="4"/>
        <v>1060612362.4209952</v>
      </c>
      <c r="H44" s="215">
        <f t="shared" si="1"/>
        <v>0.059380075757950734</v>
      </c>
      <c r="I44" s="177">
        <f t="shared" si="5"/>
        <v>0.02883395661487888</v>
      </c>
    </row>
    <row r="45" spans="1:9" ht="16.5" thickBot="1">
      <c r="A45" s="154" t="s">
        <v>43</v>
      </c>
      <c r="B45" s="113">
        <f t="shared" si="6"/>
        <v>44</v>
      </c>
      <c r="C45" s="149">
        <v>558026.2</v>
      </c>
      <c r="D45" s="123">
        <f t="shared" si="7"/>
        <v>581696.624953718</v>
      </c>
      <c r="E45" s="175">
        <f t="shared" si="3"/>
        <v>-23670.424953718088</v>
      </c>
      <c r="F45" s="197">
        <f t="shared" si="8"/>
        <v>23670.424953718088</v>
      </c>
      <c r="G45" s="184">
        <f t="shared" si="4"/>
        <v>560289017.4896</v>
      </c>
      <c r="H45" s="216">
        <f t="shared" si="1"/>
        <v>0.0424181247291222</v>
      </c>
      <c r="I45" s="177">
        <f t="shared" si="5"/>
        <v>0.02076858025079852</v>
      </c>
    </row>
    <row r="46" spans="1:9" ht="15.75">
      <c r="A46" s="152" t="s">
        <v>44</v>
      </c>
      <c r="B46" s="112">
        <f t="shared" si="6"/>
        <v>45</v>
      </c>
      <c r="C46" s="148">
        <v>557442.5</v>
      </c>
      <c r="D46" s="122">
        <f t="shared" si="7"/>
        <v>582304.085491112</v>
      </c>
      <c r="E46" s="173">
        <f>C46-D46</f>
        <v>-24861.585491111968</v>
      </c>
      <c r="F46" s="194">
        <f t="shared" si="8"/>
        <v>24861.585491111968</v>
      </c>
      <c r="G46" s="181">
        <f>E46*E46</f>
        <v>618098433.1318691</v>
      </c>
      <c r="H46" s="214">
        <f>F46/C46</f>
        <v>0.044599372116607486</v>
      </c>
      <c r="I46" s="181">
        <f>F46/ABS(C46+D46)</f>
        <v>0.021813257269289572</v>
      </c>
    </row>
    <row r="47" spans="1:9" ht="15.75">
      <c r="A47" s="153" t="s">
        <v>45</v>
      </c>
      <c r="B47" s="113">
        <f t="shared" si="6"/>
        <v>46</v>
      </c>
      <c r="C47" s="149">
        <v>563668.2</v>
      </c>
      <c r="D47" s="123">
        <f t="shared" si="7"/>
        <v>582847.6393575906</v>
      </c>
      <c r="E47" s="174">
        <f t="shared" si="3"/>
        <v>-19179.43935759063</v>
      </c>
      <c r="F47" s="194">
        <f t="shared" si="8"/>
        <v>19179.43935759063</v>
      </c>
      <c r="G47" s="177">
        <f t="shared" si="4"/>
        <v>367850894.0714964</v>
      </c>
      <c r="H47" s="215">
        <f t="shared" si="1"/>
        <v>0.034026115643193335</v>
      </c>
      <c r="I47" s="177">
        <f t="shared" si="5"/>
        <v>0.016728455638551968</v>
      </c>
    </row>
    <row r="48" spans="1:9" ht="15.75">
      <c r="A48" s="153" t="s">
        <v>46</v>
      </c>
      <c r="B48" s="113">
        <f t="shared" si="6"/>
        <v>47</v>
      </c>
      <c r="C48" s="149">
        <v>569176.8</v>
      </c>
      <c r="D48" s="123">
        <f t="shared" si="7"/>
        <v>583334.0097266539</v>
      </c>
      <c r="E48" s="174">
        <f t="shared" si="3"/>
        <v>-14157.209726653877</v>
      </c>
      <c r="F48" s="194">
        <f t="shared" si="8"/>
        <v>14157.209726653877</v>
      </c>
      <c r="G48" s="177">
        <f t="shared" si="4"/>
        <v>200426587.24446315</v>
      </c>
      <c r="H48" s="215">
        <f t="shared" si="1"/>
        <v>0.024873132085942145</v>
      </c>
      <c r="I48" s="177">
        <f t="shared" si="5"/>
        <v>0.012283797780613965</v>
      </c>
    </row>
    <row r="49" spans="1:9" ht="16.5" thickBot="1">
      <c r="A49" s="154" t="s">
        <v>47</v>
      </c>
      <c r="B49" s="114">
        <f t="shared" si="6"/>
        <v>48</v>
      </c>
      <c r="C49" s="149">
        <v>587564.8</v>
      </c>
      <c r="D49" s="123">
        <f t="shared" si="7"/>
        <v>583769.2124737808</v>
      </c>
      <c r="E49" s="175">
        <f t="shared" si="3"/>
        <v>3795.5875262191985</v>
      </c>
      <c r="F49" s="194">
        <f t="shared" si="8"/>
        <v>3795.5875262191985</v>
      </c>
      <c r="G49" s="182">
        <f t="shared" si="4"/>
        <v>14406484.669190776</v>
      </c>
      <c r="H49" s="216">
        <f t="shared" si="1"/>
        <v>0.00645986200367891</v>
      </c>
      <c r="I49" s="182">
        <f t="shared" si="5"/>
        <v>0.0032403972614123665</v>
      </c>
    </row>
    <row r="50" spans="1:9" ht="15.75">
      <c r="A50" s="152" t="s">
        <v>48</v>
      </c>
      <c r="B50" s="115">
        <f t="shared" si="6"/>
        <v>49</v>
      </c>
      <c r="C50" s="105">
        <v>584631.3</v>
      </c>
      <c r="D50" s="122">
        <f t="shared" si="7"/>
        <v>584158.6305863017</v>
      </c>
      <c r="E50" s="173">
        <f>C50-D50</f>
        <v>472.6694136983715</v>
      </c>
      <c r="F50" s="195">
        <f t="shared" si="8"/>
        <v>472.6694136983715</v>
      </c>
      <c r="G50" s="184">
        <f>E50*E50</f>
        <v>223416.37464596226</v>
      </c>
      <c r="H50" s="214">
        <f>F50/C50</f>
        <v>0.0008084914606836333</v>
      </c>
      <c r="I50" s="181">
        <f>F50/ABS(C50+D50)</f>
        <v>0.00040440921103869</v>
      </c>
    </row>
    <row r="51" spans="1:9" ht="15.75">
      <c r="A51" s="153" t="s">
        <v>49</v>
      </c>
      <c r="B51" s="116">
        <f t="shared" si="6"/>
        <v>50</v>
      </c>
      <c r="C51" s="106">
        <v>589489.7</v>
      </c>
      <c r="D51" s="123">
        <f t="shared" si="7"/>
        <v>584507.080745131</v>
      </c>
      <c r="E51" s="174">
        <f t="shared" si="3"/>
        <v>4982.619254868943</v>
      </c>
      <c r="F51" s="196">
        <f t="shared" si="8"/>
        <v>4982.619254868943</v>
      </c>
      <c r="G51" s="184">
        <f t="shared" si="4"/>
        <v>24826494.638990745</v>
      </c>
      <c r="H51" s="215">
        <f t="shared" si="1"/>
        <v>0.00845242801505937</v>
      </c>
      <c r="I51" s="177">
        <f t="shared" si="5"/>
        <v>0.004244150696653951</v>
      </c>
    </row>
    <row r="52" spans="1:9" ht="15.75">
      <c r="A52" s="153" t="s">
        <v>50</v>
      </c>
      <c r="B52" s="116">
        <f t="shared" si="6"/>
        <v>51</v>
      </c>
      <c r="C52" s="106">
        <v>582149.8</v>
      </c>
      <c r="D52" s="123">
        <f t="shared" si="7"/>
        <v>584818.8729019009</v>
      </c>
      <c r="E52" s="174">
        <f t="shared" si="3"/>
        <v>-2669.0729019008577</v>
      </c>
      <c r="F52" s="196">
        <f t="shared" si="8"/>
        <v>2669.0729019008577</v>
      </c>
      <c r="G52" s="184">
        <f t="shared" si="4"/>
        <v>7123950.155661466</v>
      </c>
      <c r="H52" s="215">
        <f t="shared" si="1"/>
        <v>0.004584855825598253</v>
      </c>
      <c r="I52" s="177">
        <f t="shared" si="5"/>
        <v>0.002287184706735678</v>
      </c>
    </row>
    <row r="53" spans="1:9" ht="16.5" thickBot="1">
      <c r="A53" s="154" t="s">
        <v>51</v>
      </c>
      <c r="B53" s="117">
        <f t="shared" si="6"/>
        <v>52</v>
      </c>
      <c r="C53" s="106">
        <v>599177.5</v>
      </c>
      <c r="D53" s="123">
        <f t="shared" si="7"/>
        <v>585097.8635884023</v>
      </c>
      <c r="E53" s="175">
        <f t="shared" si="3"/>
        <v>14079.63641159772</v>
      </c>
      <c r="F53" s="197">
        <f t="shared" si="8"/>
        <v>14079.63641159772</v>
      </c>
      <c r="G53" s="184">
        <f t="shared" si="4"/>
        <v>198236161.4827883</v>
      </c>
      <c r="H53" s="216">
        <f t="shared" si="1"/>
        <v>0.023498272901765704</v>
      </c>
      <c r="I53" s="177">
        <f t="shared" si="5"/>
        <v>0.011888819817154561</v>
      </c>
    </row>
    <row r="54" spans="1:9" ht="15.75">
      <c r="A54" s="152" t="s">
        <v>52</v>
      </c>
      <c r="B54" s="115">
        <f t="shared" si="6"/>
        <v>53</v>
      </c>
      <c r="C54" s="105">
        <v>597108</v>
      </c>
      <c r="D54" s="122">
        <f t="shared" si="7"/>
        <v>585347.5036177116</v>
      </c>
      <c r="E54" s="173">
        <f>C54-D54</f>
        <v>11760.496382288402</v>
      </c>
      <c r="F54" s="194">
        <f t="shared" si="8"/>
        <v>11760.496382288402</v>
      </c>
      <c r="G54" s="181">
        <f>E54*E54</f>
        <v>138309275.1578186</v>
      </c>
      <c r="H54" s="214">
        <f>F54/C54</f>
        <v>0.01969576087121325</v>
      </c>
      <c r="I54" s="181">
        <f>F54/ABS(C54+D54)</f>
        <v>0.00994582573831089</v>
      </c>
    </row>
    <row r="55" spans="1:9" ht="15.75">
      <c r="A55" s="153" t="s">
        <v>53</v>
      </c>
      <c r="B55" s="116">
        <f t="shared" si="6"/>
        <v>54</v>
      </c>
      <c r="C55" s="106">
        <v>604796.4</v>
      </c>
      <c r="D55" s="123">
        <f t="shared" si="7"/>
        <v>585570.8807670175</v>
      </c>
      <c r="E55" s="174">
        <f t="shared" si="3"/>
        <v>19225.519232982537</v>
      </c>
      <c r="F55" s="194">
        <f t="shared" si="8"/>
        <v>19225.519232982537</v>
      </c>
      <c r="G55" s="177">
        <f t="shared" si="4"/>
        <v>369620589.7777814</v>
      </c>
      <c r="H55" s="215">
        <f t="shared" si="1"/>
        <v>0.031788415461769505</v>
      </c>
      <c r="I55" s="177">
        <f t="shared" si="5"/>
        <v>0.016150913708409813</v>
      </c>
    </row>
    <row r="56" spans="1:9" ht="15.75">
      <c r="A56" s="153" t="s">
        <v>54</v>
      </c>
      <c r="B56" s="116">
        <f t="shared" si="6"/>
        <v>55</v>
      </c>
      <c r="C56" s="106">
        <v>606284.6</v>
      </c>
      <c r="D56" s="123">
        <f t="shared" si="7"/>
        <v>585770.7579700849</v>
      </c>
      <c r="E56" s="174">
        <f t="shared" si="3"/>
        <v>20513.842029915075</v>
      </c>
      <c r="F56" s="194">
        <f t="shared" si="8"/>
        <v>20513.842029915075</v>
      </c>
      <c r="G56" s="177">
        <f t="shared" si="4"/>
        <v>420817714.82831025</v>
      </c>
      <c r="H56" s="215">
        <f t="shared" si="1"/>
        <v>0.033835334148212035</v>
      </c>
      <c r="I56" s="177">
        <f t="shared" si="5"/>
        <v>0.01720879982020925</v>
      </c>
    </row>
    <row r="57" spans="1:9" ht="16.5" thickBot="1">
      <c r="A57" s="154" t="s">
        <v>55</v>
      </c>
      <c r="B57" s="117">
        <f t="shared" si="6"/>
        <v>56</v>
      </c>
      <c r="C57" s="106">
        <v>630641.9</v>
      </c>
      <c r="D57" s="123">
        <f t="shared" si="7"/>
        <v>585949.6074917581</v>
      </c>
      <c r="E57" s="175">
        <f t="shared" si="3"/>
        <v>44692.29250824195</v>
      </c>
      <c r="F57" s="194">
        <f t="shared" si="8"/>
        <v>44692.29250824195</v>
      </c>
      <c r="G57" s="182">
        <f t="shared" si="4"/>
        <v>1997401009.6422598</v>
      </c>
      <c r="H57" s="216">
        <f t="shared" si="1"/>
        <v>0.07086794028154798</v>
      </c>
      <c r="I57" s="182">
        <f t="shared" si="5"/>
        <v>0.036735660435756184</v>
      </c>
    </row>
    <row r="58" spans="1:9" ht="15.75">
      <c r="A58" s="152" t="s">
        <v>56</v>
      </c>
      <c r="B58" s="116">
        <f t="shared" si="6"/>
        <v>57</v>
      </c>
      <c r="C58" s="105">
        <v>636801.4</v>
      </c>
      <c r="D58" s="122">
        <f t="shared" si="7"/>
        <v>586109.6415072026</v>
      </c>
      <c r="E58" s="173">
        <f>C58-D58</f>
        <v>50691.75849279738</v>
      </c>
      <c r="F58" s="195">
        <f t="shared" si="8"/>
        <v>50691.75849279738</v>
      </c>
      <c r="G58" s="184">
        <f>E58*E58</f>
        <v>2569654379.0920954</v>
      </c>
      <c r="H58" s="214">
        <f>F58/C58</f>
        <v>0.0796037170973515</v>
      </c>
      <c r="I58" s="181">
        <f>F58/ABS(C58+D58)</f>
        <v>0.0414517137978583</v>
      </c>
    </row>
    <row r="59" spans="1:9" ht="15.75">
      <c r="A59" s="153" t="s">
        <v>57</v>
      </c>
      <c r="B59" s="116">
        <f t="shared" si="6"/>
        <v>58</v>
      </c>
      <c r="C59" s="106"/>
      <c r="D59" s="123">
        <f t="shared" si="7"/>
        <v>586252.8394641205</v>
      </c>
      <c r="E59" s="177"/>
      <c r="F59" s="196">
        <f t="shared" si="8"/>
        <v>0</v>
      </c>
      <c r="G59" s="184">
        <f t="shared" si="4"/>
        <v>0</v>
      </c>
      <c r="H59" s="215"/>
      <c r="I59" s="177"/>
    </row>
    <row r="60" spans="1:9" ht="15.75">
      <c r="A60" s="153" t="s">
        <v>58</v>
      </c>
      <c r="B60" s="116">
        <f t="shared" si="6"/>
        <v>59</v>
      </c>
      <c r="C60" s="106"/>
      <c r="D60" s="123">
        <f t="shared" si="7"/>
        <v>586380.9725663766</v>
      </c>
      <c r="E60" s="177"/>
      <c r="F60" s="196">
        <f t="shared" si="8"/>
        <v>0</v>
      </c>
      <c r="G60" s="184">
        <f t="shared" si="4"/>
        <v>0</v>
      </c>
      <c r="H60" s="215"/>
      <c r="I60" s="177"/>
    </row>
    <row r="61" spans="1:9" ht="16.5" thickBot="1">
      <c r="A61" s="154" t="s">
        <v>59</v>
      </c>
      <c r="B61" s="117">
        <f t="shared" si="6"/>
        <v>60</v>
      </c>
      <c r="C61" s="107"/>
      <c r="D61" s="124">
        <f t="shared" si="7"/>
        <v>586495.6256818761</v>
      </c>
      <c r="E61" s="177"/>
      <c r="F61" s="197">
        <f t="shared" si="8"/>
        <v>0</v>
      </c>
      <c r="G61" s="185">
        <f t="shared" si="4"/>
        <v>0</v>
      </c>
      <c r="H61" s="216"/>
      <c r="I61" s="182"/>
    </row>
    <row r="62" spans="1:9" ht="16.5" thickBot="1">
      <c r="A62" s="118"/>
      <c r="B62" s="118"/>
      <c r="C62" s="39">
        <f>SUM(C2:C58)</f>
        <v>26961516.7</v>
      </c>
      <c r="D62" s="39">
        <f>SUM(D2:D58)</f>
        <v>26961481.39205802</v>
      </c>
      <c r="E62" s="178">
        <f>SUM(E2:E58)</f>
        <v>35.30794197577052</v>
      </c>
      <c r="F62" s="190">
        <f>SUM(F2:F58)</f>
        <v>2305581.6098067304</v>
      </c>
      <c r="G62" s="190">
        <f>SUM(G2:G58)</f>
        <v>239291654490.1308</v>
      </c>
      <c r="H62" s="213">
        <f>SUM(H2:H58)/57</f>
        <v>0.14378370336897597</v>
      </c>
      <c r="I62" s="213">
        <f>SUM(I2:I58)/57</f>
        <v>0.1385402906943593</v>
      </c>
    </row>
    <row r="63" spans="1:4" ht="16.5" thickBot="1">
      <c r="A63" s="118"/>
      <c r="B63" s="118"/>
      <c r="C63" s="118"/>
      <c r="D63" s="118"/>
    </row>
    <row r="64" spans="1:4" ht="16.5" thickBot="1">
      <c r="A64" s="108" t="s">
        <v>63</v>
      </c>
      <c r="B64" s="109" t="s">
        <v>64</v>
      </c>
      <c r="C64" s="109" t="s">
        <v>77</v>
      </c>
      <c r="D64" s="110">
        <v>0.894797</v>
      </c>
    </row>
    <row r="65" spans="1:7" ht="17.25" thickBot="1">
      <c r="A65" s="108" t="s">
        <v>63</v>
      </c>
      <c r="B65" s="109" t="s">
        <v>65</v>
      </c>
      <c r="C65" s="109" t="s">
        <v>78</v>
      </c>
      <c r="D65" s="110">
        <v>-768442</v>
      </c>
      <c r="F65" s="220" t="s">
        <v>122</v>
      </c>
      <c r="G65" s="221">
        <f>SQRT(F62)/(SQRT(C62)+SQRT(D62))</f>
        <v>0.14621375697311478</v>
      </c>
    </row>
    <row r="66" spans="1:4" ht="16.5" thickBot="1">
      <c r="A66" s="108" t="s">
        <v>63</v>
      </c>
      <c r="B66" s="109" t="s">
        <v>66</v>
      </c>
      <c r="C66" s="109" t="s">
        <v>79</v>
      </c>
      <c r="D66" s="110">
        <v>587470.8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3" sqref="A3"/>
    </sheetView>
  </sheetViews>
  <sheetFormatPr defaultColWidth="9.140625" defaultRowHeight="12.75"/>
  <cols>
    <col min="3" max="3" width="13.421875" style="0" customWidth="1"/>
  </cols>
  <sheetData>
    <row r="1" spans="1:9" ht="16.5" thickBot="1">
      <c r="A1" s="17" t="s">
        <v>67</v>
      </c>
      <c r="B1" s="21" t="s">
        <v>60</v>
      </c>
      <c r="C1" s="22" t="s">
        <v>61</v>
      </c>
      <c r="D1" s="17" t="s">
        <v>67</v>
      </c>
      <c r="E1" s="21" t="s">
        <v>60</v>
      </c>
      <c r="F1" s="22" t="s">
        <v>61</v>
      </c>
      <c r="G1" s="17" t="s">
        <v>67</v>
      </c>
      <c r="H1" s="21" t="s">
        <v>60</v>
      </c>
      <c r="I1" s="22" t="s">
        <v>61</v>
      </c>
    </row>
    <row r="2" spans="1:9" ht="15.75">
      <c r="A2" s="2" t="s">
        <v>0</v>
      </c>
      <c r="B2" s="23">
        <v>1</v>
      </c>
      <c r="C2" s="24">
        <v>179342.9</v>
      </c>
      <c r="D2" s="18" t="s">
        <v>19</v>
      </c>
      <c r="E2" s="25">
        <v>20</v>
      </c>
      <c r="F2" s="26">
        <v>473921.5</v>
      </c>
      <c r="G2" s="2" t="s">
        <v>38</v>
      </c>
      <c r="H2" s="23">
        <v>39</v>
      </c>
      <c r="I2" s="24">
        <v>580665.6</v>
      </c>
    </row>
    <row r="3" spans="1:9" ht="15.75">
      <c r="A3" s="3" t="s">
        <v>1</v>
      </c>
      <c r="B3" s="27">
        <v>2</v>
      </c>
      <c r="C3" s="28">
        <v>179879.6</v>
      </c>
      <c r="D3" s="19" t="s">
        <v>20</v>
      </c>
      <c r="E3" s="29">
        <f aca="true" t="shared" si="0" ref="E3:E20">E2+1</f>
        <v>21</v>
      </c>
      <c r="F3" s="30">
        <v>493387.1</v>
      </c>
      <c r="G3" s="3" t="s">
        <v>39</v>
      </c>
      <c r="H3" s="27">
        <f aca="true" t="shared" si="1" ref="H3:H20">H2+1</f>
        <v>40</v>
      </c>
      <c r="I3" s="28">
        <v>567335.8</v>
      </c>
    </row>
    <row r="4" spans="1:9" ht="15.75">
      <c r="A4" s="3" t="s">
        <v>2</v>
      </c>
      <c r="B4" s="27">
        <f>B3+1</f>
        <v>3</v>
      </c>
      <c r="C4" s="28">
        <v>184157.9</v>
      </c>
      <c r="D4" s="19" t="s">
        <v>21</v>
      </c>
      <c r="E4" s="29">
        <f t="shared" si="0"/>
        <v>22</v>
      </c>
      <c r="F4" s="30">
        <v>512073.8</v>
      </c>
      <c r="G4" s="3" t="s">
        <v>40</v>
      </c>
      <c r="H4" s="27">
        <f t="shared" si="1"/>
        <v>41</v>
      </c>
      <c r="I4" s="28">
        <v>560701.5</v>
      </c>
    </row>
    <row r="5" spans="1:9" ht="15.75">
      <c r="A5" s="3" t="s">
        <v>3</v>
      </c>
      <c r="B5" s="27">
        <f>B4+1</f>
        <v>4</v>
      </c>
      <c r="C5" s="28">
        <v>204782.7</v>
      </c>
      <c r="D5" s="19" t="s">
        <v>22</v>
      </c>
      <c r="E5" s="29">
        <f t="shared" si="0"/>
        <v>23</v>
      </c>
      <c r="F5" s="30">
        <v>527451.8</v>
      </c>
      <c r="G5" s="3" t="s">
        <v>41</v>
      </c>
      <c r="H5" s="27">
        <f t="shared" si="1"/>
        <v>42</v>
      </c>
      <c r="I5" s="28">
        <v>553728.3</v>
      </c>
    </row>
    <row r="6" spans="1:9" ht="15.75">
      <c r="A6" s="3" t="s">
        <v>4</v>
      </c>
      <c r="B6" s="27">
        <f aca="true" t="shared" si="2" ref="B6:B20">B5+1</f>
        <v>5</v>
      </c>
      <c r="C6" s="28">
        <v>215145.3</v>
      </c>
      <c r="D6" s="19" t="s">
        <v>23</v>
      </c>
      <c r="E6" s="29">
        <f t="shared" si="0"/>
        <v>24</v>
      </c>
      <c r="F6" s="30">
        <v>549745.5</v>
      </c>
      <c r="G6" s="3" t="s">
        <v>42</v>
      </c>
      <c r="H6" s="27">
        <f t="shared" si="1"/>
        <v>43</v>
      </c>
      <c r="I6" s="28">
        <v>548450.7</v>
      </c>
    </row>
    <row r="7" spans="1:9" ht="15.75">
      <c r="A7" s="3" t="s">
        <v>5</v>
      </c>
      <c r="B7" s="27">
        <f t="shared" si="2"/>
        <v>6</v>
      </c>
      <c r="C7" s="28">
        <v>220120.4</v>
      </c>
      <c r="D7" s="19" t="s">
        <v>24</v>
      </c>
      <c r="E7" s="29">
        <f t="shared" si="0"/>
        <v>25</v>
      </c>
      <c r="F7" s="30">
        <v>559644.4</v>
      </c>
      <c r="G7" s="3" t="s">
        <v>43</v>
      </c>
      <c r="H7" s="27">
        <f t="shared" si="1"/>
        <v>44</v>
      </c>
      <c r="I7" s="28">
        <v>558026.2</v>
      </c>
    </row>
    <row r="8" spans="1:9" ht="15.75">
      <c r="A8" s="3" t="s">
        <v>6</v>
      </c>
      <c r="B8" s="27">
        <f t="shared" si="2"/>
        <v>7</v>
      </c>
      <c r="C8" s="28">
        <v>224857.6</v>
      </c>
      <c r="D8" s="19" t="s">
        <v>25</v>
      </c>
      <c r="E8" s="29">
        <f t="shared" si="0"/>
        <v>26</v>
      </c>
      <c r="F8" s="30">
        <v>554565.3</v>
      </c>
      <c r="G8" s="3" t="s">
        <v>44</v>
      </c>
      <c r="H8" s="27">
        <f t="shared" si="1"/>
        <v>45</v>
      </c>
      <c r="I8" s="28">
        <v>557442.5</v>
      </c>
    </row>
    <row r="9" spans="1:9" ht="15.75">
      <c r="A9" s="3" t="s">
        <v>7</v>
      </c>
      <c r="B9" s="27">
        <f t="shared" si="2"/>
        <v>8</v>
      </c>
      <c r="C9" s="28">
        <v>244498.9</v>
      </c>
      <c r="D9" s="19" t="s">
        <v>26</v>
      </c>
      <c r="E9" s="29">
        <f t="shared" si="0"/>
        <v>27</v>
      </c>
      <c r="F9" s="30">
        <v>542409.4</v>
      </c>
      <c r="G9" s="3" t="s">
        <v>45</v>
      </c>
      <c r="H9" s="27">
        <f t="shared" si="1"/>
        <v>46</v>
      </c>
      <c r="I9" s="28">
        <v>563668.2</v>
      </c>
    </row>
    <row r="10" spans="1:9" ht="15.75">
      <c r="A10" s="3" t="s">
        <v>8</v>
      </c>
      <c r="B10" s="27">
        <f t="shared" si="2"/>
        <v>9</v>
      </c>
      <c r="C10" s="28">
        <v>257013.4</v>
      </c>
      <c r="D10" s="19" t="s">
        <v>27</v>
      </c>
      <c r="E10" s="29">
        <f t="shared" si="0"/>
        <v>28</v>
      </c>
      <c r="F10" s="30">
        <v>536933.7</v>
      </c>
      <c r="G10" s="3" t="s">
        <v>46</v>
      </c>
      <c r="H10" s="27">
        <f t="shared" si="1"/>
        <v>47</v>
      </c>
      <c r="I10" s="28">
        <v>569176.8</v>
      </c>
    </row>
    <row r="11" spans="1:9" ht="15.75">
      <c r="A11" s="3" t="s">
        <v>9</v>
      </c>
      <c r="B11" s="27">
        <f t="shared" si="2"/>
        <v>10</v>
      </c>
      <c r="C11" s="28">
        <v>268251.6</v>
      </c>
      <c r="D11" s="19" t="s">
        <v>28</v>
      </c>
      <c r="E11" s="29">
        <f t="shared" si="0"/>
        <v>29</v>
      </c>
      <c r="F11" s="30">
        <v>548175</v>
      </c>
      <c r="G11" s="3" t="s">
        <v>47</v>
      </c>
      <c r="H11" s="27">
        <f t="shared" si="1"/>
        <v>48</v>
      </c>
      <c r="I11" s="28">
        <v>587564.8</v>
      </c>
    </row>
    <row r="12" spans="1:9" ht="15.75">
      <c r="A12" s="3" t="s">
        <v>10</v>
      </c>
      <c r="B12" s="27">
        <f t="shared" si="2"/>
        <v>11</v>
      </c>
      <c r="C12" s="28">
        <v>280707.7</v>
      </c>
      <c r="D12" s="19" t="s">
        <v>29</v>
      </c>
      <c r="E12" s="29">
        <f t="shared" si="0"/>
        <v>30</v>
      </c>
      <c r="F12" s="30">
        <v>543395.4</v>
      </c>
      <c r="G12" s="3" t="s">
        <v>48</v>
      </c>
      <c r="H12" s="27">
        <f t="shared" si="1"/>
        <v>49</v>
      </c>
      <c r="I12" s="28">
        <v>584631.3</v>
      </c>
    </row>
    <row r="13" spans="1:9" ht="15.75">
      <c r="A13" s="3" t="s">
        <v>11</v>
      </c>
      <c r="B13" s="27">
        <f t="shared" si="2"/>
        <v>12</v>
      </c>
      <c r="C13" s="28">
        <v>306236.9</v>
      </c>
      <c r="D13" s="19" t="s">
        <v>30</v>
      </c>
      <c r="E13" s="29">
        <f t="shared" si="0"/>
        <v>31</v>
      </c>
      <c r="F13" s="30">
        <v>547678.9</v>
      </c>
      <c r="G13" s="3" t="s">
        <v>49</v>
      </c>
      <c r="H13" s="27">
        <f t="shared" si="1"/>
        <v>50</v>
      </c>
      <c r="I13" s="28">
        <v>589489.7</v>
      </c>
    </row>
    <row r="14" spans="1:9" ht="15.75">
      <c r="A14" s="3" t="s">
        <v>12</v>
      </c>
      <c r="B14" s="27">
        <f t="shared" si="2"/>
        <v>13</v>
      </c>
      <c r="C14" s="28">
        <v>320848.6</v>
      </c>
      <c r="D14" s="19" t="s">
        <v>31</v>
      </c>
      <c r="E14" s="29">
        <f t="shared" si="0"/>
        <v>32</v>
      </c>
      <c r="F14" s="30">
        <v>549152.9</v>
      </c>
      <c r="G14" s="3" t="s">
        <v>50</v>
      </c>
      <c r="H14" s="27">
        <f t="shared" si="1"/>
        <v>51</v>
      </c>
      <c r="I14" s="28">
        <v>582149.8</v>
      </c>
    </row>
    <row r="15" spans="1:9" ht="15.75">
      <c r="A15" s="3" t="s">
        <v>13</v>
      </c>
      <c r="B15" s="27">
        <f t="shared" si="2"/>
        <v>14</v>
      </c>
      <c r="C15" s="28">
        <v>329595.1</v>
      </c>
      <c r="D15" s="19" t="s">
        <v>32</v>
      </c>
      <c r="E15" s="29">
        <f t="shared" si="0"/>
        <v>33</v>
      </c>
      <c r="F15" s="30">
        <v>568758.9</v>
      </c>
      <c r="G15" s="3" t="s">
        <v>51</v>
      </c>
      <c r="H15" s="27">
        <f t="shared" si="1"/>
        <v>52</v>
      </c>
      <c r="I15" s="28">
        <v>599177.5</v>
      </c>
    </row>
    <row r="16" spans="1:9" ht="15.75">
      <c r="A16" s="3" t="s">
        <v>14</v>
      </c>
      <c r="B16" s="27">
        <f t="shared" si="2"/>
        <v>15</v>
      </c>
      <c r="C16" s="28">
        <v>336112.3</v>
      </c>
      <c r="D16" s="19" t="s">
        <v>33</v>
      </c>
      <c r="E16" s="29">
        <f t="shared" si="0"/>
        <v>34</v>
      </c>
      <c r="F16" s="30">
        <v>583195.2</v>
      </c>
      <c r="G16" s="3" t="s">
        <v>52</v>
      </c>
      <c r="H16" s="27">
        <f t="shared" si="1"/>
        <v>53</v>
      </c>
      <c r="I16" s="28">
        <v>597108</v>
      </c>
    </row>
    <row r="17" spans="1:9" ht="15.75">
      <c r="A17" s="3" t="s">
        <v>15</v>
      </c>
      <c r="B17" s="27">
        <f t="shared" si="2"/>
        <v>16</v>
      </c>
      <c r="C17" s="28">
        <v>365625.2</v>
      </c>
      <c r="D17" s="19" t="s">
        <v>34</v>
      </c>
      <c r="E17" s="29">
        <f t="shared" si="0"/>
        <v>35</v>
      </c>
      <c r="F17" s="30">
        <v>589675.9</v>
      </c>
      <c r="G17" s="3" t="s">
        <v>53</v>
      </c>
      <c r="H17" s="27">
        <f t="shared" si="1"/>
        <v>54</v>
      </c>
      <c r="I17" s="28">
        <v>604796.4</v>
      </c>
    </row>
    <row r="18" spans="1:9" ht="15.75">
      <c r="A18" s="3" t="s">
        <v>16</v>
      </c>
      <c r="B18" s="27">
        <f t="shared" si="2"/>
        <v>17</v>
      </c>
      <c r="C18" s="28">
        <v>414840.1</v>
      </c>
      <c r="D18" s="19" t="s">
        <v>35</v>
      </c>
      <c r="E18" s="29">
        <f t="shared" si="0"/>
        <v>36</v>
      </c>
      <c r="F18" s="30">
        <v>595970.9</v>
      </c>
      <c r="G18" s="3" t="s">
        <v>54</v>
      </c>
      <c r="H18" s="27">
        <f t="shared" si="1"/>
        <v>55</v>
      </c>
      <c r="I18" s="28">
        <v>606284.6</v>
      </c>
    </row>
    <row r="19" spans="1:9" ht="15.75">
      <c r="A19" s="3" t="s">
        <v>17</v>
      </c>
      <c r="B19" s="27">
        <f t="shared" si="2"/>
        <v>18</v>
      </c>
      <c r="C19" s="28">
        <v>441183</v>
      </c>
      <c r="D19" s="19" t="s">
        <v>36</v>
      </c>
      <c r="E19" s="29">
        <f t="shared" si="0"/>
        <v>37</v>
      </c>
      <c r="F19" s="30">
        <v>596536.5</v>
      </c>
      <c r="G19" s="3" t="s">
        <v>55</v>
      </c>
      <c r="H19" s="27">
        <f t="shared" si="1"/>
        <v>56</v>
      </c>
      <c r="I19" s="28">
        <v>630641.9</v>
      </c>
    </row>
    <row r="20" spans="1:9" ht="16.5" thickBot="1">
      <c r="A20" s="4" t="s">
        <v>18</v>
      </c>
      <c r="B20" s="31">
        <f t="shared" si="2"/>
        <v>19</v>
      </c>
      <c r="C20" s="32">
        <v>443649.1</v>
      </c>
      <c r="D20" s="20" t="s">
        <v>37</v>
      </c>
      <c r="E20" s="33">
        <f t="shared" si="0"/>
        <v>38</v>
      </c>
      <c r="F20" s="34">
        <v>594155.3</v>
      </c>
      <c r="G20" s="4" t="s">
        <v>56</v>
      </c>
      <c r="H20" s="31">
        <f t="shared" si="1"/>
        <v>57</v>
      </c>
      <c r="I20" s="32">
        <v>636801.4</v>
      </c>
    </row>
    <row r="21" spans="1:9" ht="16.5" thickBot="1">
      <c r="A21" s="1"/>
      <c r="B21" s="1"/>
      <c r="C21" s="35">
        <f>SUM(C2:C20)</f>
        <v>5416848.3</v>
      </c>
      <c r="D21" s="1"/>
      <c r="E21" s="1"/>
      <c r="F21" s="35">
        <f>SUM(F2:F20)</f>
        <v>10466827.400000004</v>
      </c>
      <c r="G21" s="1"/>
      <c r="H21" s="1"/>
      <c r="I21" s="35">
        <f>SUM(I2:I20)</f>
        <v>11077841</v>
      </c>
    </row>
    <row r="23" ht="13.5" thickBot="1"/>
    <row r="24" spans="1:4" ht="16.5" thickBot="1">
      <c r="A24" s="37" t="s">
        <v>63</v>
      </c>
      <c r="B24" s="38" t="s">
        <v>64</v>
      </c>
      <c r="C24" s="36">
        <f>(I21-F21)/(F21-C21)</f>
        <v>0.12099329282372583</v>
      </c>
      <c r="D24" s="39">
        <f>C24^(1/19)</f>
        <v>0.8947965042505288</v>
      </c>
    </row>
    <row r="25" spans="1:4" ht="16.5" thickBot="1">
      <c r="A25" s="37" t="s">
        <v>63</v>
      </c>
      <c r="B25" s="38" t="s">
        <v>65</v>
      </c>
      <c r="C25" s="35">
        <f>(D24-1)/(D24*(C24-1)^2)</f>
        <v>-0.15216736294978436</v>
      </c>
      <c r="D25" s="39">
        <f>C25*(F21-C21)</f>
        <v>-768442.0025985261</v>
      </c>
    </row>
    <row r="26" spans="1:4" ht="16.5" thickBot="1">
      <c r="A26" s="37" t="s">
        <v>63</v>
      </c>
      <c r="B26" s="38" t="s">
        <v>66</v>
      </c>
      <c r="C26" s="35">
        <f>D24*D25*(C24-1)/(D24-1)</f>
        <v>-5745097.345414558</v>
      </c>
      <c r="D26" s="39">
        <f>(C21-C26)/19</f>
        <v>587470.8234428714</v>
      </c>
    </row>
    <row r="27" spans="1:4" ht="15.75">
      <c r="A27" s="1"/>
      <c r="B27" s="1"/>
      <c r="C27" s="1"/>
      <c r="D27" s="1"/>
    </row>
    <row r="28" spans="1:4" ht="15.75">
      <c r="A28" s="1"/>
      <c r="B28" s="1"/>
      <c r="C28" s="1"/>
      <c r="D28" s="1"/>
    </row>
    <row r="29" spans="1:4" ht="15.75">
      <c r="A29" s="1"/>
      <c r="B29" s="1"/>
      <c r="C29" s="1"/>
      <c r="D29" s="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E1">
      <selection activeCell="Q18" sqref="Q18"/>
    </sheetView>
  </sheetViews>
  <sheetFormatPr defaultColWidth="9.140625" defaultRowHeight="12.75"/>
  <cols>
    <col min="3" max="3" width="12.28125" style="0" customWidth="1"/>
    <col min="4" max="4" width="12.00390625" style="0" customWidth="1"/>
    <col min="5" max="6" width="11.28125" style="0" customWidth="1"/>
    <col min="7" max="7" width="13.8515625" style="0" customWidth="1"/>
  </cols>
  <sheetData>
    <row r="1" spans="1:9" ht="16.5" thickBot="1">
      <c r="A1" s="144" t="s">
        <v>91</v>
      </c>
      <c r="B1" s="119" t="s">
        <v>60</v>
      </c>
      <c r="C1" s="120" t="s">
        <v>83</v>
      </c>
      <c r="D1" s="121" t="s">
        <v>82</v>
      </c>
      <c r="E1" s="167" t="s">
        <v>111</v>
      </c>
      <c r="F1" s="167" t="s">
        <v>112</v>
      </c>
      <c r="G1" s="180" t="s">
        <v>113</v>
      </c>
      <c r="H1" s="167" t="s">
        <v>119</v>
      </c>
      <c r="I1" s="210" t="s">
        <v>120</v>
      </c>
    </row>
    <row r="2" spans="1:9" ht="15.75">
      <c r="A2" s="145" t="s">
        <v>0</v>
      </c>
      <c r="B2" s="112">
        <v>1</v>
      </c>
      <c r="C2" s="148">
        <v>179342.9</v>
      </c>
      <c r="D2" s="122">
        <f>EXP($D$66+$D$65*$D$64^B2)</f>
        <v>84034.87487276255</v>
      </c>
      <c r="E2" s="173">
        <f>C2-D2</f>
        <v>95308.02512723744</v>
      </c>
      <c r="F2" s="181">
        <f>ABS(E2)</f>
        <v>95308.02512723744</v>
      </c>
      <c r="G2" s="181">
        <f>E2*E2</f>
        <v>9083619653.654123</v>
      </c>
      <c r="H2" s="215">
        <f aca="true" t="shared" si="0" ref="H2:H57">F2/C2</f>
        <v>0.5314290397179785</v>
      </c>
      <c r="I2" s="181">
        <f>F2/ABS(C2+D2)</f>
        <v>0.36186813854464606</v>
      </c>
    </row>
    <row r="3" spans="1:9" ht="15.75">
      <c r="A3" s="146" t="s">
        <v>1</v>
      </c>
      <c r="B3" s="113">
        <v>2</v>
      </c>
      <c r="C3" s="149">
        <v>179879.6</v>
      </c>
      <c r="D3" s="123">
        <f aca="true" t="shared" si="1" ref="D3:D57">EXP($D$66+$D$65*$D$64^B3)</f>
        <v>106706.32247901754</v>
      </c>
      <c r="E3" s="174">
        <f aca="true" t="shared" si="2" ref="E3:E57">C3-D3</f>
        <v>73173.27752098246</v>
      </c>
      <c r="F3" s="177">
        <f aca="true" t="shared" si="3" ref="F3:F61">ABS(E3)</f>
        <v>73173.27752098246</v>
      </c>
      <c r="G3" s="177">
        <f aca="true" t="shared" si="4" ref="G3:G61">E3*E3</f>
        <v>5354328543.162717</v>
      </c>
      <c r="H3" s="215">
        <f t="shared" si="0"/>
        <v>0.4067903059656707</v>
      </c>
      <c r="I3" s="177">
        <f aca="true" t="shared" si="5" ref="I3:I57">F3/ABS(C3+D3)</f>
        <v>0.2553275362865734</v>
      </c>
    </row>
    <row r="4" spans="1:9" ht="15.75">
      <c r="A4" s="146" t="s">
        <v>2</v>
      </c>
      <c r="B4" s="113">
        <f>B3+1</f>
        <v>3</v>
      </c>
      <c r="C4" s="149">
        <v>184157.9</v>
      </c>
      <c r="D4" s="123">
        <f t="shared" si="1"/>
        <v>131570.51208911047</v>
      </c>
      <c r="E4" s="174">
        <f t="shared" si="2"/>
        <v>52587.38791088952</v>
      </c>
      <c r="F4" s="177">
        <f t="shared" si="3"/>
        <v>52587.38791088952</v>
      </c>
      <c r="G4" s="177">
        <f t="shared" si="4"/>
        <v>2765433367.290369</v>
      </c>
      <c r="H4" s="215">
        <f t="shared" si="0"/>
        <v>0.2855559707777376</v>
      </c>
      <c r="I4" s="177">
        <f t="shared" si="5"/>
        <v>0.16655893450617734</v>
      </c>
    </row>
    <row r="5" spans="1:9" ht="16.5" thickBot="1">
      <c r="A5" s="147" t="s">
        <v>3</v>
      </c>
      <c r="B5" s="113">
        <f>B4+1</f>
        <v>4</v>
      </c>
      <c r="C5" s="150">
        <v>204782.7</v>
      </c>
      <c r="D5" s="123">
        <f t="shared" si="1"/>
        <v>158101.1218773825</v>
      </c>
      <c r="E5" s="175">
        <f t="shared" si="2"/>
        <v>46681.5781226175</v>
      </c>
      <c r="F5" s="182">
        <f t="shared" si="3"/>
        <v>46681.5781226175</v>
      </c>
      <c r="G5" s="182">
        <f t="shared" si="4"/>
        <v>2179169736.018041</v>
      </c>
      <c r="H5" s="216">
        <f t="shared" si="0"/>
        <v>0.22795664928051784</v>
      </c>
      <c r="I5" s="177">
        <f t="shared" si="5"/>
        <v>0.1286405601691196</v>
      </c>
    </row>
    <row r="6" spans="1:9" ht="15.75">
      <c r="A6" s="145" t="s">
        <v>4</v>
      </c>
      <c r="B6" s="112">
        <f aca="true" t="shared" si="6" ref="B6:B61">B5+1</f>
        <v>5</v>
      </c>
      <c r="C6" s="148">
        <v>215145.3</v>
      </c>
      <c r="D6" s="122">
        <f>EXP($D$66+$D$65*$D$64^B6)</f>
        <v>185736.0861983809</v>
      </c>
      <c r="E6" s="173">
        <f>C6-D6</f>
        <v>29409.213801619102</v>
      </c>
      <c r="F6" s="183">
        <f>ABS(E6)</f>
        <v>29409.213801619102</v>
      </c>
      <c r="G6" s="181">
        <f>E6*E6</f>
        <v>864901856.4293435</v>
      </c>
      <c r="H6" s="214">
        <f>F6/C6</f>
        <v>0.1366946607786417</v>
      </c>
      <c r="I6" s="181">
        <f>F6/ABS(C6+D6)</f>
        <v>0.07336138522297368</v>
      </c>
    </row>
    <row r="7" spans="1:9" ht="15.75">
      <c r="A7" s="146" t="s">
        <v>5</v>
      </c>
      <c r="B7" s="113">
        <f t="shared" si="6"/>
        <v>6</v>
      </c>
      <c r="C7" s="149">
        <v>220120.4</v>
      </c>
      <c r="D7" s="123">
        <f t="shared" si="1"/>
        <v>213919.38669682702</v>
      </c>
      <c r="E7" s="174">
        <f t="shared" si="2"/>
        <v>6201.013303172978</v>
      </c>
      <c r="F7" s="183">
        <f t="shared" si="3"/>
        <v>6201.013303172978</v>
      </c>
      <c r="G7" s="177">
        <f t="shared" si="4"/>
        <v>38452565.98612825</v>
      </c>
      <c r="H7" s="215">
        <f t="shared" si="0"/>
        <v>0.028171006881565628</v>
      </c>
      <c r="I7" s="177">
        <f t="shared" si="5"/>
        <v>0.014286739357155595</v>
      </c>
    </row>
    <row r="8" spans="1:9" ht="15.75">
      <c r="A8" s="146" t="s">
        <v>6</v>
      </c>
      <c r="B8" s="113">
        <f t="shared" si="6"/>
        <v>7</v>
      </c>
      <c r="C8" s="149">
        <v>224857.6</v>
      </c>
      <c r="D8" s="123">
        <f t="shared" si="1"/>
        <v>242133.85263055688</v>
      </c>
      <c r="E8" s="174">
        <f t="shared" si="2"/>
        <v>-17276.252630556875</v>
      </c>
      <c r="F8" s="183">
        <f t="shared" si="3"/>
        <v>17276.252630556875</v>
      </c>
      <c r="G8" s="177">
        <f t="shared" si="4"/>
        <v>298468904.9548234</v>
      </c>
      <c r="H8" s="215">
        <f t="shared" si="0"/>
        <v>0.076831971125534</v>
      </c>
      <c r="I8" s="177">
        <f t="shared" si="5"/>
        <v>0.03699479408721501</v>
      </c>
    </row>
    <row r="9" spans="1:9" ht="16.5" thickBot="1">
      <c r="A9" s="147" t="s">
        <v>7</v>
      </c>
      <c r="B9" s="114">
        <f t="shared" si="6"/>
        <v>8</v>
      </c>
      <c r="C9" s="150">
        <v>244498.9</v>
      </c>
      <c r="D9" s="123">
        <f t="shared" si="1"/>
        <v>269923.749253503</v>
      </c>
      <c r="E9" s="175">
        <f t="shared" si="2"/>
        <v>-25424.849253502995</v>
      </c>
      <c r="F9" s="183">
        <f t="shared" si="3"/>
        <v>25424.849253502995</v>
      </c>
      <c r="G9" s="182">
        <f t="shared" si="4"/>
        <v>646422959.5633518</v>
      </c>
      <c r="H9" s="216">
        <f t="shared" si="0"/>
        <v>0.103987581349049</v>
      </c>
      <c r="I9" s="182">
        <f t="shared" si="5"/>
        <v>0.04942404711456212</v>
      </c>
    </row>
    <row r="10" spans="1:9" ht="15.75">
      <c r="A10" s="145" t="s">
        <v>8</v>
      </c>
      <c r="B10" s="113">
        <f t="shared" si="6"/>
        <v>9</v>
      </c>
      <c r="C10" s="148">
        <v>257013.4</v>
      </c>
      <c r="D10" s="122">
        <f>EXP($D$66+$D$65*$D$64^B10)</f>
        <v>296907.6216702973</v>
      </c>
      <c r="E10" s="173">
        <f>C10-D10</f>
        <v>-39894.221670297295</v>
      </c>
      <c r="F10" s="181">
        <f>ABS(E10)</f>
        <v>39894.221670297295</v>
      </c>
      <c r="G10" s="184">
        <f>E10*E10</f>
        <v>1591548922.6788182</v>
      </c>
      <c r="H10" s="214">
        <f>F10/C10</f>
        <v>0.15522234120982523</v>
      </c>
      <c r="I10" s="181">
        <f>F10/ABS(C10+D10)</f>
        <v>0.072021497848195</v>
      </c>
    </row>
    <row r="11" spans="1:9" ht="15.75">
      <c r="A11" s="146" t="s">
        <v>9</v>
      </c>
      <c r="B11" s="113">
        <f t="shared" si="6"/>
        <v>10</v>
      </c>
      <c r="C11" s="149">
        <v>268251.6</v>
      </c>
      <c r="D11" s="123">
        <f t="shared" si="1"/>
        <v>322782.88571725256</v>
      </c>
      <c r="E11" s="174">
        <f t="shared" si="2"/>
        <v>-54531.285717252584</v>
      </c>
      <c r="F11" s="177">
        <f t="shared" si="3"/>
        <v>54531.285717252584</v>
      </c>
      <c r="G11" s="184">
        <f t="shared" si="4"/>
        <v>2973661121.9766355</v>
      </c>
      <c r="H11" s="215">
        <f t="shared" si="0"/>
        <v>0.20328410237721822</v>
      </c>
      <c r="I11" s="177">
        <f t="shared" si="5"/>
        <v>0.09226413523244062</v>
      </c>
    </row>
    <row r="12" spans="1:9" ht="15.75">
      <c r="A12" s="146" t="s">
        <v>10</v>
      </c>
      <c r="B12" s="113">
        <f t="shared" si="6"/>
        <v>11</v>
      </c>
      <c r="C12" s="149">
        <v>280707.7</v>
      </c>
      <c r="D12" s="123">
        <f t="shared" si="1"/>
        <v>347324.1059893528</v>
      </c>
      <c r="E12" s="174">
        <f t="shared" si="2"/>
        <v>-66616.40598935279</v>
      </c>
      <c r="F12" s="177">
        <f t="shared" si="3"/>
        <v>66616.40598935279</v>
      </c>
      <c r="G12" s="184">
        <f t="shared" si="4"/>
        <v>4437745546.938278</v>
      </c>
      <c r="H12" s="215">
        <f t="shared" si="0"/>
        <v>0.23731591968924537</v>
      </c>
      <c r="I12" s="177">
        <f t="shared" si="5"/>
        <v>0.10607170744228543</v>
      </c>
    </row>
    <row r="13" spans="1:9" ht="16.5" thickBot="1">
      <c r="A13" s="147" t="s">
        <v>11</v>
      </c>
      <c r="B13" s="113">
        <f t="shared" si="6"/>
        <v>12</v>
      </c>
      <c r="C13" s="150">
        <v>306236.9</v>
      </c>
      <c r="D13" s="123">
        <f t="shared" si="1"/>
        <v>370376.9323000736</v>
      </c>
      <c r="E13" s="175">
        <f t="shared" si="2"/>
        <v>-64140.032300073595</v>
      </c>
      <c r="F13" s="182">
        <f t="shared" si="3"/>
        <v>64140.032300073595</v>
      </c>
      <c r="G13" s="184">
        <f t="shared" si="4"/>
        <v>4113943743.454484</v>
      </c>
      <c r="H13" s="216">
        <f t="shared" si="0"/>
        <v>0.20944579931443139</v>
      </c>
      <c r="I13" s="177">
        <f t="shared" si="5"/>
        <v>0.09479562674921478</v>
      </c>
    </row>
    <row r="14" spans="1:9" ht="15.75">
      <c r="A14" s="145" t="s">
        <v>12</v>
      </c>
      <c r="B14" s="112">
        <f t="shared" si="6"/>
        <v>13</v>
      </c>
      <c r="C14" s="148">
        <v>320848.6</v>
      </c>
      <c r="D14" s="122">
        <f>EXP($D$66+$D$65*$D$64^B14)</f>
        <v>391849.44271574495</v>
      </c>
      <c r="E14" s="173">
        <f>C14-D14</f>
        <v>-71000.84271574498</v>
      </c>
      <c r="F14" s="183">
        <f>ABS(E14)</f>
        <v>71000.84271574498</v>
      </c>
      <c r="G14" s="181">
        <f>E14*E14</f>
        <v>5041119666.345957</v>
      </c>
      <c r="H14" s="214">
        <f>F14/C14</f>
        <v>0.22129079795188442</v>
      </c>
      <c r="I14" s="181">
        <f>F14/ABS(C14+D14)</f>
        <v>0.09962261499301354</v>
      </c>
    </row>
    <row r="15" spans="1:9" ht="15.75">
      <c r="A15" s="146" t="s">
        <v>13</v>
      </c>
      <c r="B15" s="113">
        <f t="shared" si="6"/>
        <v>14</v>
      </c>
      <c r="C15" s="149">
        <v>329595.1</v>
      </c>
      <c r="D15" s="123">
        <f t="shared" si="1"/>
        <v>411702.2980389448</v>
      </c>
      <c r="E15" s="174">
        <f t="shared" si="2"/>
        <v>-82107.1980389448</v>
      </c>
      <c r="F15" s="183">
        <f t="shared" si="3"/>
        <v>82107.1980389448</v>
      </c>
      <c r="G15" s="177">
        <f t="shared" si="4"/>
        <v>6741591969.8065</v>
      </c>
      <c r="H15" s="215">
        <f t="shared" si="0"/>
        <v>0.249115348010164</v>
      </c>
      <c r="I15" s="177">
        <f t="shared" si="5"/>
        <v>0.11076148150007567</v>
      </c>
    </row>
    <row r="16" spans="1:9" ht="15.75">
      <c r="A16" s="146" t="s">
        <v>14</v>
      </c>
      <c r="B16" s="113">
        <f t="shared" si="6"/>
        <v>15</v>
      </c>
      <c r="C16" s="149">
        <v>336112.3</v>
      </c>
      <c r="D16" s="123">
        <f t="shared" si="1"/>
        <v>429938.7435015946</v>
      </c>
      <c r="E16" s="174">
        <f t="shared" si="2"/>
        <v>-93826.4435015946</v>
      </c>
      <c r="F16" s="183">
        <f t="shared" si="3"/>
        <v>93826.4435015946</v>
      </c>
      <c r="G16" s="177">
        <f t="shared" si="4"/>
        <v>8803401500.157923</v>
      </c>
      <c r="H16" s="215">
        <f t="shared" si="0"/>
        <v>0.2791520676321414</v>
      </c>
      <c r="I16" s="177">
        <f t="shared" si="5"/>
        <v>0.12248066796269469</v>
      </c>
    </row>
    <row r="17" spans="1:9" ht="16.5" thickBot="1">
      <c r="A17" s="147" t="s">
        <v>15</v>
      </c>
      <c r="B17" s="114">
        <f t="shared" si="6"/>
        <v>16</v>
      </c>
      <c r="C17" s="150">
        <v>365625.2</v>
      </c>
      <c r="D17" s="123">
        <f t="shared" si="1"/>
        <v>446595.1552096206</v>
      </c>
      <c r="E17" s="175">
        <f t="shared" si="2"/>
        <v>-80969.95520962059</v>
      </c>
      <c r="F17" s="183">
        <f t="shared" si="3"/>
        <v>80969.95520962059</v>
      </c>
      <c r="G17" s="182">
        <f t="shared" si="4"/>
        <v>6556133646.6479645</v>
      </c>
      <c r="H17" s="216">
        <f t="shared" si="0"/>
        <v>0.22145616661439252</v>
      </c>
      <c r="I17" s="182">
        <f t="shared" si="5"/>
        <v>0.09968964049013962</v>
      </c>
    </row>
    <row r="18" spans="1:9" ht="15.75">
      <c r="A18" s="145" t="s">
        <v>16</v>
      </c>
      <c r="B18" s="113">
        <f t="shared" si="6"/>
        <v>17</v>
      </c>
      <c r="C18" s="148">
        <v>414840.1</v>
      </c>
      <c r="D18" s="122">
        <f>EXP($D$66+$D$65*$D$64^B18)</f>
        <v>461732.5490445697</v>
      </c>
      <c r="E18" s="173">
        <f>C18-D18</f>
        <v>-46892.449044569745</v>
      </c>
      <c r="F18" s="181">
        <f>ABS(E18)</f>
        <v>46892.449044569745</v>
      </c>
      <c r="G18" s="184">
        <f>E18*E18</f>
        <v>2198901777.39757</v>
      </c>
      <c r="H18" s="214">
        <f>F18/C18</f>
        <v>0.11303740656838562</v>
      </c>
      <c r="I18" s="181">
        <f>F18/ABS(C18+D18)</f>
        <v>0.05349522266714653</v>
      </c>
    </row>
    <row r="19" spans="1:9" ht="15.75">
      <c r="A19" s="146" t="s">
        <v>17</v>
      </c>
      <c r="B19" s="113">
        <f t="shared" si="6"/>
        <v>18</v>
      </c>
      <c r="C19" s="149">
        <v>441183</v>
      </c>
      <c r="D19" s="123">
        <f t="shared" si="1"/>
        <v>475429.25592153316</v>
      </c>
      <c r="E19" s="174">
        <f t="shared" si="2"/>
        <v>-34246.25592153316</v>
      </c>
      <c r="F19" s="177">
        <f t="shared" si="3"/>
        <v>34246.25592153316</v>
      </c>
      <c r="G19" s="184">
        <f t="shared" si="4"/>
        <v>1172806044.6431448</v>
      </c>
      <c r="H19" s="215">
        <f t="shared" si="0"/>
        <v>0.07762369792474587</v>
      </c>
      <c r="I19" s="177">
        <f t="shared" si="5"/>
        <v>0.037361769603552863</v>
      </c>
    </row>
    <row r="20" spans="1:9" ht="15.75">
      <c r="A20" s="146" t="s">
        <v>18</v>
      </c>
      <c r="B20" s="113">
        <f t="shared" si="6"/>
        <v>19</v>
      </c>
      <c r="C20" s="149">
        <v>443649.1</v>
      </c>
      <c r="D20" s="123">
        <f t="shared" si="1"/>
        <v>487774.8154709472</v>
      </c>
      <c r="E20" s="174">
        <f t="shared" si="2"/>
        <v>-44125.71547094721</v>
      </c>
      <c r="F20" s="177">
        <f t="shared" si="3"/>
        <v>44125.71547094721</v>
      </c>
      <c r="G20" s="184">
        <f t="shared" si="4"/>
        <v>1947078765.82299</v>
      </c>
      <c r="H20" s="215">
        <f t="shared" si="0"/>
        <v>0.09946084748272274</v>
      </c>
      <c r="I20" s="177">
        <f t="shared" si="5"/>
        <v>0.04737447121339625</v>
      </c>
    </row>
    <row r="21" spans="1:9" ht="16.5" thickBot="1">
      <c r="A21" s="147" t="s">
        <v>19</v>
      </c>
      <c r="B21" s="113">
        <f t="shared" si="6"/>
        <v>20</v>
      </c>
      <c r="C21" s="150">
        <v>473921.5</v>
      </c>
      <c r="D21" s="123">
        <f t="shared" si="1"/>
        <v>498865.0406125074</v>
      </c>
      <c r="E21" s="175">
        <f t="shared" si="2"/>
        <v>-24943.54061250738</v>
      </c>
      <c r="F21" s="182">
        <f t="shared" si="3"/>
        <v>24943.54061250738</v>
      </c>
      <c r="G21" s="184">
        <f t="shared" si="4"/>
        <v>622180218.287805</v>
      </c>
      <c r="H21" s="216">
        <f t="shared" si="0"/>
        <v>0.0526322199193482</v>
      </c>
      <c r="I21" s="177">
        <f t="shared" si="5"/>
        <v>0.025641329902448974</v>
      </c>
    </row>
    <row r="22" spans="1:9" ht="15.75">
      <c r="A22" s="145" t="s">
        <v>20</v>
      </c>
      <c r="B22" s="112">
        <f t="shared" si="6"/>
        <v>21</v>
      </c>
      <c r="C22" s="148">
        <v>493387.1</v>
      </c>
      <c r="D22" s="122">
        <f>EXP($D$66+$D$65*$D$64^B22)</f>
        <v>508798.1466342044</v>
      </c>
      <c r="E22" s="173">
        <f>C22-D22</f>
        <v>-15411.046634204395</v>
      </c>
      <c r="F22" s="183">
        <f>ABS(E22)</f>
        <v>15411.046634204395</v>
      </c>
      <c r="G22" s="181">
        <f>E22*E22</f>
        <v>237500358.3616226</v>
      </c>
      <c r="H22" s="214">
        <f>F22/C22</f>
        <v>0.031235203827186392</v>
      </c>
      <c r="I22" s="181">
        <f>F22/ABS(C22+D22)</f>
        <v>0.015377443128365465</v>
      </c>
    </row>
    <row r="23" spans="1:9" ht="15.75">
      <c r="A23" s="146" t="s">
        <v>21</v>
      </c>
      <c r="B23" s="113">
        <f t="shared" si="6"/>
        <v>22</v>
      </c>
      <c r="C23" s="149">
        <v>512073.8</v>
      </c>
      <c r="D23" s="123">
        <f t="shared" si="1"/>
        <v>517671.8093138891</v>
      </c>
      <c r="E23" s="174">
        <f t="shared" si="2"/>
        <v>-5598.009313889139</v>
      </c>
      <c r="F23" s="183">
        <f t="shared" si="3"/>
        <v>5598.009313889139</v>
      </c>
      <c r="G23" s="177">
        <f t="shared" si="4"/>
        <v>31337708.278389547</v>
      </c>
      <c r="H23" s="215">
        <f t="shared" si="0"/>
        <v>0.01093203619066068</v>
      </c>
      <c r="I23" s="177">
        <f t="shared" si="5"/>
        <v>0.005436303163864952</v>
      </c>
    </row>
    <row r="24" spans="1:9" ht="15.75">
      <c r="A24" s="146" t="s">
        <v>22</v>
      </c>
      <c r="B24" s="113">
        <f t="shared" si="6"/>
        <v>23</v>
      </c>
      <c r="C24" s="149">
        <v>527451.8</v>
      </c>
      <c r="D24" s="123">
        <f t="shared" si="1"/>
        <v>525581.0079770612</v>
      </c>
      <c r="E24" s="174">
        <f t="shared" si="2"/>
        <v>1870.79202293884</v>
      </c>
      <c r="F24" s="183">
        <f t="shared" si="3"/>
        <v>1870.79202293884</v>
      </c>
      <c r="G24" s="177">
        <f t="shared" si="4"/>
        <v>3499862.7930915975</v>
      </c>
      <c r="H24" s="215">
        <f t="shared" si="0"/>
        <v>0.003546849253218664</v>
      </c>
      <c r="I24" s="177">
        <f t="shared" si="5"/>
        <v>0.0017765752489067677</v>
      </c>
    </row>
    <row r="25" spans="1:9" ht="16.5" thickBot="1">
      <c r="A25" s="147" t="s">
        <v>23</v>
      </c>
      <c r="B25" s="114">
        <f t="shared" si="6"/>
        <v>24</v>
      </c>
      <c r="C25" s="150">
        <v>549745.5</v>
      </c>
      <c r="D25" s="123">
        <f t="shared" si="1"/>
        <v>532616.5137896431</v>
      </c>
      <c r="E25" s="175">
        <f t="shared" si="2"/>
        <v>17128.986210356932</v>
      </c>
      <c r="F25" s="183">
        <f t="shared" si="3"/>
        <v>17128.986210356932</v>
      </c>
      <c r="G25" s="182">
        <f t="shared" si="4"/>
        <v>293402168.59459794</v>
      </c>
      <c r="H25" s="216">
        <f t="shared" si="0"/>
        <v>0.03115802896132289</v>
      </c>
      <c r="I25" s="182">
        <f t="shared" si="5"/>
        <v>0.015825561126617614</v>
      </c>
    </row>
    <row r="26" spans="1:9" ht="15.75">
      <c r="A26" s="145" t="s">
        <v>24</v>
      </c>
      <c r="B26" s="112">
        <f t="shared" si="6"/>
        <v>25</v>
      </c>
      <c r="C26" s="148">
        <v>559644.4</v>
      </c>
      <c r="D26" s="122">
        <f>EXP($D$66+$D$65*$D$64^B26)</f>
        <v>538863.8955496213</v>
      </c>
      <c r="E26" s="173">
        <f>C26-D26</f>
        <v>20780.504450378707</v>
      </c>
      <c r="F26" s="181">
        <f>ABS(E26)</f>
        <v>20780.504450378707</v>
      </c>
      <c r="G26" s="184">
        <f>E26*E26</f>
        <v>431829365.2122092</v>
      </c>
      <c r="H26" s="214">
        <f>F26/C26</f>
        <v>0.03713162224151391</v>
      </c>
      <c r="I26" s="181">
        <f>F26/ABS(C26+D26)</f>
        <v>0.018917020958846294</v>
      </c>
    </row>
    <row r="27" spans="1:9" ht="15.75">
      <c r="A27" s="146" t="s">
        <v>25</v>
      </c>
      <c r="B27" s="113">
        <f t="shared" si="6"/>
        <v>26</v>
      </c>
      <c r="C27" s="149">
        <v>554565.3</v>
      </c>
      <c r="D27" s="123">
        <f t="shared" si="1"/>
        <v>544402.9309027507</v>
      </c>
      <c r="E27" s="174">
        <f t="shared" si="2"/>
        <v>10162.36909724935</v>
      </c>
      <c r="F27" s="177">
        <f t="shared" si="3"/>
        <v>10162.36909724935</v>
      </c>
      <c r="G27" s="184">
        <f t="shared" si="4"/>
        <v>103273745.66872856</v>
      </c>
      <c r="H27" s="215">
        <f t="shared" si="0"/>
        <v>0.018324927825901383</v>
      </c>
      <c r="I27" s="177">
        <f t="shared" si="5"/>
        <v>0.009247190966477203</v>
      </c>
    </row>
    <row r="28" spans="1:9" ht="15.75">
      <c r="A28" s="146" t="s">
        <v>26</v>
      </c>
      <c r="B28" s="113">
        <f t="shared" si="6"/>
        <v>27</v>
      </c>
      <c r="C28" s="149">
        <v>542409.4</v>
      </c>
      <c r="D28" s="123">
        <f t="shared" si="1"/>
        <v>549307.3276939443</v>
      </c>
      <c r="E28" s="174">
        <f t="shared" si="2"/>
        <v>-6897.927693944308</v>
      </c>
      <c r="F28" s="177">
        <f t="shared" si="3"/>
        <v>6897.927693944308</v>
      </c>
      <c r="G28" s="184">
        <f t="shared" si="4"/>
        <v>47581406.47088384</v>
      </c>
      <c r="H28" s="215">
        <f t="shared" si="0"/>
        <v>0.012717197920877308</v>
      </c>
      <c r="I28" s="177">
        <f t="shared" si="5"/>
        <v>0.006318422644777957</v>
      </c>
    </row>
    <row r="29" spans="1:9" ht="16.5" thickBot="1">
      <c r="A29" s="147" t="s">
        <v>27</v>
      </c>
      <c r="B29" s="114">
        <f t="shared" si="6"/>
        <v>28</v>
      </c>
      <c r="C29" s="150">
        <v>536933.7</v>
      </c>
      <c r="D29" s="123">
        <f t="shared" si="1"/>
        <v>553644.6764772389</v>
      </c>
      <c r="E29" s="175">
        <f t="shared" si="2"/>
        <v>-16710.97647723893</v>
      </c>
      <c r="F29" s="182">
        <f t="shared" si="3"/>
        <v>16710.97647723893</v>
      </c>
      <c r="G29" s="184">
        <f t="shared" si="4"/>
        <v>279256734.8228329</v>
      </c>
      <c r="H29" s="216">
        <f t="shared" si="0"/>
        <v>0.031122979386913007</v>
      </c>
      <c r="I29" s="177">
        <f t="shared" si="5"/>
        <v>0.015323040358839999</v>
      </c>
    </row>
    <row r="30" spans="1:9" ht="15.75">
      <c r="A30" s="145" t="s">
        <v>28</v>
      </c>
      <c r="B30" s="112">
        <f t="shared" si="6"/>
        <v>29</v>
      </c>
      <c r="C30" s="148">
        <v>548175</v>
      </c>
      <c r="D30" s="122">
        <f>EXP($D$66+$D$65*$D$64^B30)</f>
        <v>557476.5701374543</v>
      </c>
      <c r="E30" s="173">
        <f>C30-D30</f>
        <v>-9301.570137454313</v>
      </c>
      <c r="F30" s="183">
        <f>ABS(E30)</f>
        <v>9301.570137454313</v>
      </c>
      <c r="G30" s="181">
        <f>E30*E30</f>
        <v>86519207.02198185</v>
      </c>
      <c r="H30" s="214">
        <f>F30/C30</f>
        <v>0.016968249441244698</v>
      </c>
      <c r="I30" s="181">
        <f>F30/ABS(C30+D30)</f>
        <v>0.008412749901217022</v>
      </c>
    </row>
    <row r="31" spans="1:9" ht="15.75">
      <c r="A31" s="146" t="s">
        <v>29</v>
      </c>
      <c r="B31" s="113">
        <f t="shared" si="6"/>
        <v>30</v>
      </c>
      <c r="C31" s="149">
        <v>543395.4</v>
      </c>
      <c r="D31" s="123">
        <f t="shared" si="1"/>
        <v>560858.8396934031</v>
      </c>
      <c r="E31" s="174">
        <f t="shared" si="2"/>
        <v>-17463.43969340308</v>
      </c>
      <c r="F31" s="183">
        <f t="shared" si="3"/>
        <v>17463.43969340308</v>
      </c>
      <c r="G31" s="177">
        <f t="shared" si="4"/>
        <v>304971725.9251263</v>
      </c>
      <c r="H31" s="215">
        <f t="shared" si="0"/>
        <v>0.032137628867309295</v>
      </c>
      <c r="I31" s="177">
        <f t="shared" si="5"/>
        <v>0.015814691097089936</v>
      </c>
    </row>
    <row r="32" spans="1:9" ht="15.75">
      <c r="A32" s="146" t="s">
        <v>30</v>
      </c>
      <c r="B32" s="113">
        <f t="shared" si="6"/>
        <v>31</v>
      </c>
      <c r="C32" s="149">
        <v>547678.9</v>
      </c>
      <c r="D32" s="123">
        <f t="shared" si="1"/>
        <v>563841.8665300496</v>
      </c>
      <c r="E32" s="174">
        <f t="shared" si="2"/>
        <v>-16162.966530049569</v>
      </c>
      <c r="F32" s="183">
        <f t="shared" si="3"/>
        <v>16162.966530049569</v>
      </c>
      <c r="G32" s="177">
        <f t="shared" si="4"/>
        <v>261241487.05150262</v>
      </c>
      <c r="H32" s="215">
        <f t="shared" si="0"/>
        <v>0.02951175685250896</v>
      </c>
      <c r="I32" s="177">
        <f t="shared" si="5"/>
        <v>0.014541308643748682</v>
      </c>
    </row>
    <row r="33" spans="1:9" ht="16.5" thickBot="1">
      <c r="A33" s="147" t="s">
        <v>31</v>
      </c>
      <c r="B33" s="114">
        <f t="shared" si="6"/>
        <v>32</v>
      </c>
      <c r="C33" s="150">
        <v>549152.9</v>
      </c>
      <c r="D33" s="123">
        <f t="shared" si="1"/>
        <v>566470.9406058169</v>
      </c>
      <c r="E33" s="175">
        <f t="shared" si="2"/>
        <v>-17318.040605816874</v>
      </c>
      <c r="F33" s="183">
        <f t="shared" si="3"/>
        <v>17318.040605816874</v>
      </c>
      <c r="G33" s="182">
        <f t="shared" si="4"/>
        <v>299914530.4247221</v>
      </c>
      <c r="H33" s="216">
        <f t="shared" si="0"/>
        <v>0.03153591760294241</v>
      </c>
      <c r="I33" s="182">
        <f t="shared" si="5"/>
        <v>0.015523189784482075</v>
      </c>
    </row>
    <row r="34" spans="1:9" ht="15.75">
      <c r="A34" s="145" t="s">
        <v>32</v>
      </c>
      <c r="B34" s="113">
        <f t="shared" si="6"/>
        <v>33</v>
      </c>
      <c r="C34" s="148">
        <v>568758.9</v>
      </c>
      <c r="D34" s="122">
        <f>EXP($D$66+$D$65*$D$64^B34)</f>
        <v>568786.6417645338</v>
      </c>
      <c r="E34" s="173">
        <f>C34-D34</f>
        <v>-27.74176453379914</v>
      </c>
      <c r="F34" s="181">
        <f>ABS(E34)</f>
        <v>27.74176453379914</v>
      </c>
      <c r="G34" s="184">
        <f>E34*E34</f>
        <v>769.605499448756</v>
      </c>
      <c r="H34" s="214">
        <f>F34/C34</f>
        <v>4.877596558717436E-05</v>
      </c>
      <c r="I34" s="181">
        <f>F34/ABS(C34+D34)</f>
        <v>2.4387388034387413E-05</v>
      </c>
    </row>
    <row r="35" spans="1:9" ht="15.75">
      <c r="A35" s="146" t="s">
        <v>33</v>
      </c>
      <c r="B35" s="113">
        <f t="shared" si="6"/>
        <v>34</v>
      </c>
      <c r="C35" s="149">
        <v>583195.2</v>
      </c>
      <c r="D35" s="123">
        <f t="shared" si="1"/>
        <v>570825.2273598176</v>
      </c>
      <c r="E35" s="174">
        <f t="shared" si="2"/>
        <v>12369.972640182357</v>
      </c>
      <c r="F35" s="177">
        <f t="shared" si="3"/>
        <v>12369.972640182357</v>
      </c>
      <c r="G35" s="184">
        <f t="shared" si="4"/>
        <v>153016223.11886007</v>
      </c>
      <c r="H35" s="215">
        <f t="shared" si="0"/>
        <v>0.021210690074579416</v>
      </c>
      <c r="I35" s="177">
        <f t="shared" si="5"/>
        <v>0.010719023985114836</v>
      </c>
    </row>
    <row r="36" spans="1:9" ht="15.75">
      <c r="A36" s="146" t="s">
        <v>34</v>
      </c>
      <c r="B36" s="113">
        <f t="shared" si="6"/>
        <v>35</v>
      </c>
      <c r="C36" s="149">
        <v>589675.9</v>
      </c>
      <c r="D36" s="123">
        <f t="shared" si="1"/>
        <v>572619.0141958571</v>
      </c>
      <c r="E36" s="174">
        <f t="shared" si="2"/>
        <v>17056.88580414292</v>
      </c>
      <c r="F36" s="177">
        <f t="shared" si="3"/>
        <v>17056.88580414292</v>
      </c>
      <c r="G36" s="184">
        <f t="shared" si="4"/>
        <v>290937353.33557224</v>
      </c>
      <c r="H36" s="215">
        <f t="shared" si="0"/>
        <v>0.028925865554523967</v>
      </c>
      <c r="I36" s="177">
        <f t="shared" si="5"/>
        <v>0.014675178903233747</v>
      </c>
    </row>
    <row r="37" spans="1:9" ht="16.5" thickBot="1">
      <c r="A37" s="147" t="s">
        <v>35</v>
      </c>
      <c r="B37" s="113">
        <f t="shared" si="6"/>
        <v>36</v>
      </c>
      <c r="C37" s="150">
        <v>595970.9</v>
      </c>
      <c r="D37" s="123">
        <f>EXP($D$66+$D$65*$D$64^B37)</f>
        <v>574196.7465169497</v>
      </c>
      <c r="E37" s="175">
        <f t="shared" si="2"/>
        <v>21774.153483050293</v>
      </c>
      <c r="F37" s="182">
        <f t="shared" si="3"/>
        <v>21774.153483050293</v>
      </c>
      <c r="G37" s="184">
        <f t="shared" si="4"/>
        <v>474113759.90343124</v>
      </c>
      <c r="H37" s="216">
        <f t="shared" si="0"/>
        <v>0.03653559843786046</v>
      </c>
      <c r="I37" s="177">
        <f t="shared" si="5"/>
        <v>0.018607721336222138</v>
      </c>
    </row>
    <row r="38" spans="1:9" ht="15.75">
      <c r="A38" s="145" t="s">
        <v>36</v>
      </c>
      <c r="B38" s="112">
        <f t="shared" si="6"/>
        <v>37</v>
      </c>
      <c r="C38" s="148">
        <v>596536.5</v>
      </c>
      <c r="D38" s="122">
        <f>EXP($D$66+$D$65*$D$64^B38)</f>
        <v>575583.9446335839</v>
      </c>
      <c r="E38" s="173">
        <f>C38-D38</f>
        <v>20952.555366416113</v>
      </c>
      <c r="F38" s="183">
        <f>ABS(E38)</f>
        <v>20952.555366416113</v>
      </c>
      <c r="G38" s="181">
        <f>E38*E38</f>
        <v>439009576.3827326</v>
      </c>
      <c r="H38" s="214">
        <f>F38/C38</f>
        <v>0.03512367703638606</v>
      </c>
      <c r="I38" s="181">
        <f>F38/ABS(C38+D38)</f>
        <v>0.01787576990261106</v>
      </c>
    </row>
    <row r="39" spans="1:9" ht="15.75">
      <c r="A39" s="146" t="s">
        <v>37</v>
      </c>
      <c r="B39" s="113">
        <f t="shared" si="6"/>
        <v>38</v>
      </c>
      <c r="C39" s="149">
        <v>594155.3</v>
      </c>
      <c r="D39" s="123">
        <f t="shared" si="1"/>
        <v>576803.2309255472</v>
      </c>
      <c r="E39" s="174">
        <f t="shared" si="2"/>
        <v>17352.069074452855</v>
      </c>
      <c r="F39" s="183">
        <f t="shared" si="3"/>
        <v>17352.069074452855</v>
      </c>
      <c r="G39" s="177">
        <f t="shared" si="4"/>
        <v>301094301.16458315</v>
      </c>
      <c r="H39" s="215">
        <f t="shared" si="0"/>
        <v>0.029204602019796598</v>
      </c>
      <c r="I39" s="177">
        <f t="shared" si="5"/>
        <v>0.014818687951944343</v>
      </c>
    </row>
    <row r="40" spans="1:9" ht="15.75">
      <c r="A40" s="146" t="s">
        <v>38</v>
      </c>
      <c r="B40" s="113">
        <f t="shared" si="6"/>
        <v>39</v>
      </c>
      <c r="C40" s="149">
        <v>580665.6</v>
      </c>
      <c r="D40" s="123">
        <f t="shared" si="1"/>
        <v>577874.6315574663</v>
      </c>
      <c r="E40" s="174">
        <f t="shared" si="2"/>
        <v>2790.968442533631</v>
      </c>
      <c r="F40" s="183">
        <f t="shared" si="3"/>
        <v>2790.968442533631</v>
      </c>
      <c r="G40" s="177">
        <f t="shared" si="4"/>
        <v>7789504.847218601</v>
      </c>
      <c r="H40" s="215">
        <f t="shared" si="0"/>
        <v>0.00480649868449867</v>
      </c>
      <c r="I40" s="177">
        <f t="shared" si="5"/>
        <v>0.0024090388633130452</v>
      </c>
    </row>
    <row r="41" spans="1:9" ht="16.5" thickBot="1">
      <c r="A41" s="147" t="s">
        <v>39</v>
      </c>
      <c r="B41" s="114">
        <f t="shared" si="6"/>
        <v>40</v>
      </c>
      <c r="C41" s="150">
        <v>567335.8</v>
      </c>
      <c r="D41" s="123">
        <f t="shared" si="1"/>
        <v>578815.8533996769</v>
      </c>
      <c r="E41" s="175">
        <f t="shared" si="2"/>
        <v>-11480.053399676806</v>
      </c>
      <c r="F41" s="183">
        <f t="shared" si="3"/>
        <v>11480.053399676806</v>
      </c>
      <c r="G41" s="182">
        <f t="shared" si="4"/>
        <v>131791626.059431</v>
      </c>
      <c r="H41" s="216">
        <f t="shared" si="0"/>
        <v>0.020235023771947417</v>
      </c>
      <c r="I41" s="182">
        <f t="shared" si="5"/>
        <v>0.010016173135226087</v>
      </c>
    </row>
    <row r="42" spans="1:9" ht="15.75">
      <c r="A42" s="145" t="s">
        <v>40</v>
      </c>
      <c r="B42" s="113">
        <f t="shared" si="6"/>
        <v>41</v>
      </c>
      <c r="C42" s="148">
        <v>560701.5</v>
      </c>
      <c r="D42" s="122">
        <f>EXP($D$66+$D$65*$D$64^B42)</f>
        <v>579642.5364661365</v>
      </c>
      <c r="E42" s="173">
        <f>C42-D42</f>
        <v>-18941.03646613646</v>
      </c>
      <c r="F42" s="181">
        <f>ABS(E42)</f>
        <v>18941.03646613646</v>
      </c>
      <c r="G42" s="184">
        <f>E42*E42</f>
        <v>358762862.4115111</v>
      </c>
      <c r="H42" s="214">
        <f>F42/C42</f>
        <v>0.03378096271569892</v>
      </c>
      <c r="I42" s="181">
        <f>F42/ABS(C42+D42)</f>
        <v>0.01660993161750877</v>
      </c>
    </row>
    <row r="43" spans="1:9" ht="15.75">
      <c r="A43" s="146" t="s">
        <v>41</v>
      </c>
      <c r="B43" s="113">
        <f t="shared" si="6"/>
        <v>42</v>
      </c>
      <c r="C43" s="149">
        <v>553728.3</v>
      </c>
      <c r="D43" s="123">
        <f t="shared" si="1"/>
        <v>580368.4827406536</v>
      </c>
      <c r="E43" s="174">
        <f t="shared" si="2"/>
        <v>-26640.182740653516</v>
      </c>
      <c r="F43" s="177">
        <f t="shared" si="3"/>
        <v>26640.182740653516</v>
      </c>
      <c r="G43" s="184">
        <f t="shared" si="4"/>
        <v>709699336.4554135</v>
      </c>
      <c r="H43" s="215">
        <f t="shared" si="0"/>
        <v>0.04811056747623973</v>
      </c>
      <c r="I43" s="177">
        <f t="shared" si="5"/>
        <v>0.023490219834920053</v>
      </c>
    </row>
    <row r="44" spans="1:9" ht="15.75">
      <c r="A44" s="146" t="s">
        <v>42</v>
      </c>
      <c r="B44" s="113">
        <f t="shared" si="6"/>
        <v>43</v>
      </c>
      <c r="C44" s="149">
        <v>548450.7</v>
      </c>
      <c r="D44" s="123">
        <f t="shared" si="1"/>
        <v>581005.8626264265</v>
      </c>
      <c r="E44" s="174">
        <f t="shared" si="2"/>
        <v>-32555.16262642655</v>
      </c>
      <c r="F44" s="177">
        <f t="shared" si="3"/>
        <v>32555.16262642655</v>
      </c>
      <c r="G44" s="184">
        <f t="shared" si="4"/>
        <v>1059838613.63308</v>
      </c>
      <c r="H44" s="215">
        <f t="shared" si="0"/>
        <v>0.05935841202577835</v>
      </c>
      <c r="I44" s="177">
        <f t="shared" si="5"/>
        <v>0.028823740286853628</v>
      </c>
    </row>
    <row r="45" spans="1:9" ht="16.5" thickBot="1">
      <c r="A45" s="147" t="s">
        <v>43</v>
      </c>
      <c r="B45" s="113">
        <f t="shared" si="6"/>
        <v>44</v>
      </c>
      <c r="C45" s="149">
        <v>558026.2</v>
      </c>
      <c r="D45" s="123">
        <f t="shared" si="1"/>
        <v>581565.4004716243</v>
      </c>
      <c r="E45" s="175">
        <f t="shared" si="2"/>
        <v>-23539.200471624383</v>
      </c>
      <c r="F45" s="182">
        <f t="shared" si="3"/>
        <v>23539.200471624383</v>
      </c>
      <c r="G45" s="184">
        <f t="shared" si="4"/>
        <v>554093958.8433216</v>
      </c>
      <c r="H45" s="216">
        <f t="shared" si="0"/>
        <v>0.042182966447855644</v>
      </c>
      <c r="I45" s="177">
        <f t="shared" si="5"/>
        <v>0.020655821315182208</v>
      </c>
    </row>
    <row r="46" spans="1:9" ht="15.75">
      <c r="A46" s="145" t="s">
        <v>44</v>
      </c>
      <c r="B46" s="112">
        <f t="shared" si="6"/>
        <v>45</v>
      </c>
      <c r="C46" s="148">
        <v>557442.5</v>
      </c>
      <c r="D46" s="122">
        <f>EXP($D$66+$D$65*$D$64^B46)</f>
        <v>582056.5407344564</v>
      </c>
      <c r="E46" s="173">
        <f>C46-D46</f>
        <v>-24614.040734456386</v>
      </c>
      <c r="F46" s="183">
        <f>ABS(E46)</f>
        <v>24614.040734456386</v>
      </c>
      <c r="G46" s="181">
        <f>E46*E46</f>
        <v>605851001.2774783</v>
      </c>
      <c r="H46" s="214">
        <f>F46/C46</f>
        <v>0.04415529984609424</v>
      </c>
      <c r="I46" s="181">
        <f>F46/ABS(C46+D46)</f>
        <v>0.021600755994135433</v>
      </c>
    </row>
    <row r="47" spans="1:9" ht="15.75">
      <c r="A47" s="146" t="s">
        <v>45</v>
      </c>
      <c r="B47" s="113">
        <f t="shared" si="6"/>
        <v>46</v>
      </c>
      <c r="C47" s="149">
        <v>563668.2</v>
      </c>
      <c r="D47" s="123">
        <f t="shared" si="1"/>
        <v>582487.5963849089</v>
      </c>
      <c r="E47" s="174">
        <f t="shared" si="2"/>
        <v>-18819.396384908934</v>
      </c>
      <c r="F47" s="183">
        <f t="shared" si="3"/>
        <v>18819.396384908934</v>
      </c>
      <c r="G47" s="177">
        <f t="shared" si="4"/>
        <v>354169680.29232347</v>
      </c>
      <c r="H47" s="215">
        <f t="shared" si="0"/>
        <v>0.03338736580298292</v>
      </c>
      <c r="I47" s="177">
        <f t="shared" si="5"/>
        <v>0.016419579645513476</v>
      </c>
    </row>
    <row r="48" spans="1:9" ht="15.75">
      <c r="A48" s="146" t="s">
        <v>46</v>
      </c>
      <c r="B48" s="113">
        <f t="shared" si="6"/>
        <v>47</v>
      </c>
      <c r="C48" s="149">
        <v>569176.8</v>
      </c>
      <c r="D48" s="123">
        <f t="shared" si="1"/>
        <v>582865.8811200884</v>
      </c>
      <c r="E48" s="174">
        <f t="shared" si="2"/>
        <v>-13689.081120088347</v>
      </c>
      <c r="F48" s="183">
        <f t="shared" si="3"/>
        <v>13689.081120088347</v>
      </c>
      <c r="G48" s="177">
        <f t="shared" si="4"/>
        <v>187390941.91235924</v>
      </c>
      <c r="H48" s="215">
        <f t="shared" si="0"/>
        <v>0.024050666014651945</v>
      </c>
      <c r="I48" s="177">
        <f t="shared" si="5"/>
        <v>0.011882442677192274</v>
      </c>
    </row>
    <row r="49" spans="1:9" ht="16.5" thickBot="1">
      <c r="A49" s="147" t="s">
        <v>47</v>
      </c>
      <c r="B49" s="114">
        <f t="shared" si="6"/>
        <v>48</v>
      </c>
      <c r="C49" s="149">
        <v>587564.8</v>
      </c>
      <c r="D49" s="123">
        <f t="shared" si="1"/>
        <v>583197.8269132281</v>
      </c>
      <c r="E49" s="175">
        <f t="shared" si="2"/>
        <v>4366.9730867719045</v>
      </c>
      <c r="F49" s="183">
        <f t="shared" si="3"/>
        <v>4366.9730867719045</v>
      </c>
      <c r="G49" s="182">
        <f t="shared" si="4"/>
        <v>19070453.940590136</v>
      </c>
      <c r="H49" s="216">
        <f t="shared" si="0"/>
        <v>0.0074323259098773515</v>
      </c>
      <c r="I49" s="182">
        <f t="shared" si="5"/>
        <v>0.0037300243331866846</v>
      </c>
    </row>
    <row r="50" spans="1:9" ht="15.75">
      <c r="A50" s="145" t="s">
        <v>48</v>
      </c>
      <c r="B50" s="115">
        <f t="shared" si="6"/>
        <v>49</v>
      </c>
      <c r="C50" s="105">
        <v>584631.3</v>
      </c>
      <c r="D50" s="122">
        <f>EXP($D$66+$D$65*$D$64^B50)</f>
        <v>583489.0883359938</v>
      </c>
      <c r="E50" s="173">
        <f>C50-D50</f>
        <v>1142.2116640062304</v>
      </c>
      <c r="F50" s="181">
        <f>ABS(E50)</f>
        <v>1142.2116640062304</v>
      </c>
      <c r="G50" s="184">
        <f>E50*E50</f>
        <v>1304647.4853918818</v>
      </c>
      <c r="H50" s="214">
        <f>F50/C50</f>
        <v>0.0019537299217579187</v>
      </c>
      <c r="I50" s="181">
        <f>F50/ABS(C50+D50)</f>
        <v>0.0009778201591304548</v>
      </c>
    </row>
    <row r="51" spans="1:9" ht="15.75">
      <c r="A51" s="146" t="s">
        <v>49</v>
      </c>
      <c r="B51" s="116">
        <f t="shared" si="6"/>
        <v>50</v>
      </c>
      <c r="C51" s="106">
        <v>589489.7</v>
      </c>
      <c r="D51" s="123">
        <f t="shared" si="1"/>
        <v>583744.6349992742</v>
      </c>
      <c r="E51" s="174">
        <f t="shared" si="2"/>
        <v>5745.065000725794</v>
      </c>
      <c r="F51" s="177">
        <f t="shared" si="3"/>
        <v>5745.065000725794</v>
      </c>
      <c r="G51" s="184">
        <f t="shared" si="4"/>
        <v>33005771.862564463</v>
      </c>
      <c r="H51" s="215">
        <f t="shared" si="0"/>
        <v>0.009745827621289727</v>
      </c>
      <c r="I51" s="177">
        <f t="shared" si="5"/>
        <v>0.0048967753749973135</v>
      </c>
    </row>
    <row r="52" spans="1:9" ht="15.75">
      <c r="A52" s="146" t="s">
        <v>50</v>
      </c>
      <c r="B52" s="116">
        <f t="shared" si="6"/>
        <v>51</v>
      </c>
      <c r="C52" s="106">
        <v>582149.8</v>
      </c>
      <c r="D52" s="123">
        <f t="shared" si="1"/>
        <v>583968.8333562686</v>
      </c>
      <c r="E52" s="174">
        <f t="shared" si="2"/>
        <v>-1819.033356268541</v>
      </c>
      <c r="F52" s="177">
        <f t="shared" si="3"/>
        <v>1819.033356268541</v>
      </c>
      <c r="G52" s="184">
        <f t="shared" si="4"/>
        <v>3308882.3512175926</v>
      </c>
      <c r="H52" s="215">
        <f t="shared" si="0"/>
        <v>0.003124682609645388</v>
      </c>
      <c r="I52" s="177">
        <f t="shared" si="5"/>
        <v>0.0015599042020562554</v>
      </c>
    </row>
    <row r="53" spans="1:9" ht="16.5" thickBot="1">
      <c r="A53" s="147" t="s">
        <v>51</v>
      </c>
      <c r="B53" s="117">
        <f t="shared" si="6"/>
        <v>52</v>
      </c>
      <c r="C53" s="106">
        <v>599177.5</v>
      </c>
      <c r="D53" s="123">
        <f t="shared" si="1"/>
        <v>584165.5190082795</v>
      </c>
      <c r="E53" s="175">
        <f t="shared" si="2"/>
        <v>15011.980991720455</v>
      </c>
      <c r="F53" s="182">
        <f t="shared" si="3"/>
        <v>15011.980991720455</v>
      </c>
      <c r="G53" s="184">
        <f t="shared" si="4"/>
        <v>225359573.29577625</v>
      </c>
      <c r="H53" s="216">
        <f t="shared" si="0"/>
        <v>0.02505431360777141</v>
      </c>
      <c r="I53" s="177">
        <f t="shared" si="5"/>
        <v>0.012686077283239054</v>
      </c>
    </row>
    <row r="54" spans="1:9" ht="15.75">
      <c r="A54" s="145" t="s">
        <v>52</v>
      </c>
      <c r="B54" s="115">
        <f t="shared" si="6"/>
        <v>53</v>
      </c>
      <c r="C54" s="105">
        <v>597108</v>
      </c>
      <c r="D54" s="122">
        <f>EXP($D$66+$D$65*$D$64^B54)</f>
        <v>584338.0605517125</v>
      </c>
      <c r="E54" s="173">
        <f>C54-D54</f>
        <v>12769.939448287478</v>
      </c>
      <c r="F54" s="183">
        <f>ABS(E54)</f>
        <v>12769.939448287478</v>
      </c>
      <c r="G54" s="181">
        <f>E54*E54</f>
        <v>163071353.5129287</v>
      </c>
      <c r="H54" s="214">
        <f>F54/C54</f>
        <v>0.021386314449458856</v>
      </c>
      <c r="I54" s="181">
        <f>F54/ABS(C54+D54)</f>
        <v>0.010808736746156792</v>
      </c>
    </row>
    <row r="55" spans="1:9" ht="15.75">
      <c r="A55" s="146" t="s">
        <v>53</v>
      </c>
      <c r="B55" s="116">
        <f t="shared" si="6"/>
        <v>54</v>
      </c>
      <c r="C55" s="106">
        <v>604796.4</v>
      </c>
      <c r="D55" s="123">
        <f t="shared" si="1"/>
        <v>584489.4159067133</v>
      </c>
      <c r="E55" s="174">
        <f t="shared" si="2"/>
        <v>20306.98409328668</v>
      </c>
      <c r="F55" s="183">
        <f t="shared" si="3"/>
        <v>20306.98409328668</v>
      </c>
      <c r="G55" s="177">
        <f t="shared" si="4"/>
        <v>412373602.9649982</v>
      </c>
      <c r="H55" s="215">
        <f t="shared" si="0"/>
        <v>0.033576562448597046</v>
      </c>
      <c r="I55" s="177">
        <f t="shared" si="5"/>
        <v>0.017074940120936872</v>
      </c>
    </row>
    <row r="56" spans="1:9" ht="15.75">
      <c r="A56" s="146" t="s">
        <v>54</v>
      </c>
      <c r="B56" s="116">
        <f t="shared" si="6"/>
        <v>55</v>
      </c>
      <c r="C56" s="106">
        <v>606284.6</v>
      </c>
      <c r="D56" s="123">
        <f t="shared" si="1"/>
        <v>584622.1819751043</v>
      </c>
      <c r="E56" s="174">
        <f t="shared" si="2"/>
        <v>21662.418024895713</v>
      </c>
      <c r="F56" s="183">
        <f t="shared" si="3"/>
        <v>21662.418024895713</v>
      </c>
      <c r="G56" s="177">
        <f t="shared" si="4"/>
        <v>469260354.6853267</v>
      </c>
      <c r="H56" s="215">
        <f t="shared" si="0"/>
        <v>0.03572978437007259</v>
      </c>
      <c r="I56" s="177">
        <f t="shared" si="5"/>
        <v>0.018189851928602556</v>
      </c>
    </row>
    <row r="57" spans="1:9" ht="16.5" thickBot="1">
      <c r="A57" s="147" t="s">
        <v>55</v>
      </c>
      <c r="B57" s="117">
        <f t="shared" si="6"/>
        <v>56</v>
      </c>
      <c r="C57" s="106">
        <v>630641.9</v>
      </c>
      <c r="D57" s="123">
        <f t="shared" si="1"/>
        <v>584738.6383887033</v>
      </c>
      <c r="E57" s="175">
        <f t="shared" si="2"/>
        <v>45903.26161129668</v>
      </c>
      <c r="F57" s="183">
        <f t="shared" si="3"/>
        <v>45903.26161129668</v>
      </c>
      <c r="G57" s="182">
        <f t="shared" si="4"/>
        <v>2107109426.5551434</v>
      </c>
      <c r="H57" s="216">
        <f t="shared" si="0"/>
        <v>0.07278815697354818</v>
      </c>
      <c r="I57" s="182">
        <f t="shared" si="5"/>
        <v>0.037768633083555166</v>
      </c>
    </row>
    <row r="58" spans="1:9" ht="15.75">
      <c r="A58" s="145" t="s">
        <v>56</v>
      </c>
      <c r="B58" s="116">
        <f t="shared" si="6"/>
        <v>57</v>
      </c>
      <c r="C58" s="105">
        <v>636801.4</v>
      </c>
      <c r="D58" s="122">
        <f>EXP($D$66+$D$65*$D$64^B58)</f>
        <v>584840.7860291393</v>
      </c>
      <c r="E58" s="173">
        <f>C58-D58</f>
        <v>51960.61397086072</v>
      </c>
      <c r="F58" s="181">
        <f>ABS(E58)</f>
        <v>51960.61397086072</v>
      </c>
      <c r="G58" s="184">
        <f>E58*E58</f>
        <v>2699905404.2288065</v>
      </c>
      <c r="H58" s="214">
        <f>F58/C58</f>
        <v>0.08159626214838837</v>
      </c>
      <c r="I58" s="181">
        <f>F58/ABS(C58+D58)</f>
        <v>0.0425334149107563</v>
      </c>
    </row>
    <row r="59" spans="1:9" ht="15.75">
      <c r="A59" s="146" t="s">
        <v>57</v>
      </c>
      <c r="B59" s="116">
        <f t="shared" si="6"/>
        <v>58</v>
      </c>
      <c r="C59" s="106"/>
      <c r="D59" s="123"/>
      <c r="E59" s="177"/>
      <c r="F59" s="177">
        <f t="shared" si="3"/>
        <v>0</v>
      </c>
      <c r="G59" s="184">
        <f t="shared" si="4"/>
        <v>0</v>
      </c>
      <c r="H59" s="215"/>
      <c r="I59" s="177"/>
    </row>
    <row r="60" spans="1:9" ht="15.75">
      <c r="A60" s="146" t="s">
        <v>58</v>
      </c>
      <c r="B60" s="116">
        <f t="shared" si="6"/>
        <v>59</v>
      </c>
      <c r="C60" s="106"/>
      <c r="D60" s="123"/>
      <c r="E60" s="177"/>
      <c r="F60" s="177">
        <f t="shared" si="3"/>
        <v>0</v>
      </c>
      <c r="G60" s="184">
        <f t="shared" si="4"/>
        <v>0</v>
      </c>
      <c r="H60" s="215"/>
      <c r="I60" s="177"/>
    </row>
    <row r="61" spans="1:9" ht="16.5" thickBot="1">
      <c r="A61" s="147" t="s">
        <v>59</v>
      </c>
      <c r="B61" s="117">
        <f t="shared" si="6"/>
        <v>60</v>
      </c>
      <c r="C61" s="107"/>
      <c r="D61" s="124"/>
      <c r="E61" s="177"/>
      <c r="F61" s="182">
        <f t="shared" si="3"/>
        <v>0</v>
      </c>
      <c r="G61" s="185">
        <f t="shared" si="4"/>
        <v>0</v>
      </c>
      <c r="H61" s="216"/>
      <c r="I61" s="182"/>
    </row>
    <row r="62" spans="1:9" ht="16.5" thickBot="1">
      <c r="A62" s="118"/>
      <c r="B62" s="118"/>
      <c r="C62" s="179">
        <f>SUM(C2:C58)</f>
        <v>26961516.7</v>
      </c>
      <c r="D62" s="179">
        <f>SUM(D2:D58)</f>
        <v>27360031.8539572</v>
      </c>
      <c r="E62" s="179">
        <f>SUM(E2:E58)</f>
        <v>-398515.15395720024</v>
      </c>
      <c r="F62" s="179">
        <f>SUM(F2:F58)</f>
        <v>1647453.5544973458</v>
      </c>
      <c r="G62" s="186">
        <f>SUM(G2:G58)</f>
        <v>81572567791.96825</v>
      </c>
      <c r="H62" s="213">
        <f>SUM(H2:H58)/57</f>
        <v>0.0869523022960998</v>
      </c>
      <c r="I62" s="213">
        <f>SUM(I2:I58)/57</f>
        <v>0.04507737629641899</v>
      </c>
    </row>
    <row r="63" spans="1:4" ht="16.5" thickBot="1">
      <c r="A63" s="118"/>
      <c r="B63" s="118"/>
      <c r="C63" s="118"/>
      <c r="D63" s="118"/>
    </row>
    <row r="64" spans="1:4" ht="16.5" thickBot="1">
      <c r="A64" s="108" t="s">
        <v>63</v>
      </c>
      <c r="B64" s="109" t="s">
        <v>64</v>
      </c>
      <c r="C64" s="109" t="s">
        <v>77</v>
      </c>
      <c r="D64" s="110">
        <v>0.876968</v>
      </c>
    </row>
    <row r="65" spans="1:7" ht="17.25" thickBot="1">
      <c r="A65" s="108" t="s">
        <v>63</v>
      </c>
      <c r="B65" s="109" t="s">
        <v>65</v>
      </c>
      <c r="C65" s="109" t="s">
        <v>78</v>
      </c>
      <c r="D65" s="110">
        <v>-2.21371</v>
      </c>
      <c r="F65" s="220" t="s">
        <v>122</v>
      </c>
      <c r="G65" s="221">
        <f>SQRT(F62)/(SQRT(C62)+SQRT(D62))</f>
        <v>0.12314263512708669</v>
      </c>
    </row>
    <row r="66" spans="1:4" ht="16.5" thickBot="1">
      <c r="A66" s="108" t="s">
        <v>63</v>
      </c>
      <c r="B66" s="109" t="s">
        <v>66</v>
      </c>
      <c r="C66" s="109" t="s">
        <v>79</v>
      </c>
      <c r="D66" s="110">
        <v>13.28034</v>
      </c>
    </row>
    <row r="67" spans="1:4" ht="15.75">
      <c r="A67" s="118"/>
      <c r="B67" s="118"/>
      <c r="C67" s="118"/>
      <c r="D67" s="11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F6">
      <selection activeCell="D26" sqref="D26"/>
    </sheetView>
  </sheetViews>
  <sheetFormatPr defaultColWidth="9.140625" defaultRowHeight="12.75"/>
  <sheetData>
    <row r="1" spans="1:14" ht="16.5" thickBot="1">
      <c r="A1" s="17" t="s">
        <v>67</v>
      </c>
      <c r="B1" s="21" t="s">
        <v>60</v>
      </c>
      <c r="C1" s="22" t="s">
        <v>61</v>
      </c>
      <c r="D1" s="17" t="s">
        <v>67</v>
      </c>
      <c r="E1" s="21" t="s">
        <v>60</v>
      </c>
      <c r="F1" s="22" t="s">
        <v>61</v>
      </c>
      <c r="G1" s="17" t="s">
        <v>67</v>
      </c>
      <c r="H1" s="21" t="s">
        <v>60</v>
      </c>
      <c r="I1" s="22" t="s">
        <v>61</v>
      </c>
      <c r="L1" s="22" t="s">
        <v>61</v>
      </c>
      <c r="M1" s="22" t="s">
        <v>61</v>
      </c>
      <c r="N1" s="22" t="s">
        <v>61</v>
      </c>
    </row>
    <row r="2" spans="1:14" ht="15.75">
      <c r="A2" s="2" t="s">
        <v>0</v>
      </c>
      <c r="B2" s="23">
        <v>1</v>
      </c>
      <c r="C2" s="24">
        <f>LN(L2)</f>
        <v>12.097054894777886</v>
      </c>
      <c r="D2" s="18" t="s">
        <v>19</v>
      </c>
      <c r="E2" s="25">
        <v>20</v>
      </c>
      <c r="F2" s="24">
        <f>LN(M2)</f>
        <v>13.068796975147716</v>
      </c>
      <c r="G2" s="72" t="s">
        <v>38</v>
      </c>
      <c r="H2" s="23">
        <v>39</v>
      </c>
      <c r="I2" s="24">
        <f>LN(N2)</f>
        <v>13.271930310755787</v>
      </c>
      <c r="L2" s="24">
        <v>179342.9</v>
      </c>
      <c r="M2" s="26">
        <v>473921.5</v>
      </c>
      <c r="N2" s="24">
        <v>580665.6</v>
      </c>
    </row>
    <row r="3" spans="1:14" ht="15.75">
      <c r="A3" s="3" t="s">
        <v>1</v>
      </c>
      <c r="B3" s="27">
        <v>2</v>
      </c>
      <c r="C3" s="28">
        <f aca="true" t="shared" si="0" ref="C3:C20">LN(L3)</f>
        <v>12.100043017177478</v>
      </c>
      <c r="D3" s="19" t="s">
        <v>20</v>
      </c>
      <c r="E3" s="29">
        <f aca="true" t="shared" si="1" ref="E3:E20">E2+1</f>
        <v>21</v>
      </c>
      <c r="F3" s="28">
        <f aca="true" t="shared" si="2" ref="F3:F20">LN(M3)</f>
        <v>13.109049337620078</v>
      </c>
      <c r="G3" s="73" t="s">
        <v>39</v>
      </c>
      <c r="H3" s="27">
        <f aca="true" t="shared" si="3" ref="H3:H20">H2+1</f>
        <v>40</v>
      </c>
      <c r="I3" s="28">
        <f aca="true" t="shared" si="4" ref="I3:I20">LN(N3)</f>
        <v>13.248706647263981</v>
      </c>
      <c r="L3" s="28">
        <v>179879.6</v>
      </c>
      <c r="M3" s="30">
        <v>493387.1</v>
      </c>
      <c r="N3" s="28">
        <v>567335.8</v>
      </c>
    </row>
    <row r="4" spans="1:14" ht="15.75">
      <c r="A4" s="3" t="s">
        <v>2</v>
      </c>
      <c r="B4" s="27">
        <f>B3+1</f>
        <v>3</v>
      </c>
      <c r="C4" s="28">
        <f t="shared" si="0"/>
        <v>12.123548820762979</v>
      </c>
      <c r="D4" s="19" t="s">
        <v>21</v>
      </c>
      <c r="E4" s="29">
        <f t="shared" si="1"/>
        <v>22</v>
      </c>
      <c r="F4" s="28">
        <f t="shared" si="2"/>
        <v>13.146224034259383</v>
      </c>
      <c r="G4" s="73" t="s">
        <v>40</v>
      </c>
      <c r="H4" s="27">
        <f t="shared" si="3"/>
        <v>41</v>
      </c>
      <c r="I4" s="28">
        <f t="shared" si="4"/>
        <v>13.23694395733558</v>
      </c>
      <c r="L4" s="28">
        <v>184157.9</v>
      </c>
      <c r="M4" s="30">
        <v>512073.8</v>
      </c>
      <c r="N4" s="28">
        <v>560701.5</v>
      </c>
    </row>
    <row r="5" spans="1:14" ht="15.75">
      <c r="A5" s="3" t="s">
        <v>3</v>
      </c>
      <c r="B5" s="27">
        <f>B4+1</f>
        <v>4</v>
      </c>
      <c r="C5" s="28">
        <f t="shared" si="0"/>
        <v>12.229704695923225</v>
      </c>
      <c r="D5" s="19" t="s">
        <v>22</v>
      </c>
      <c r="E5" s="29">
        <f t="shared" si="1"/>
        <v>23</v>
      </c>
      <c r="F5" s="28">
        <f t="shared" si="2"/>
        <v>13.17581276574988</v>
      </c>
      <c r="G5" s="73" t="s">
        <v>41</v>
      </c>
      <c r="H5" s="27">
        <f t="shared" si="3"/>
        <v>42</v>
      </c>
      <c r="I5" s="28">
        <f t="shared" si="4"/>
        <v>13.224429412214722</v>
      </c>
      <c r="L5" s="28">
        <v>204782.7</v>
      </c>
      <c r="M5" s="30">
        <v>527451.8</v>
      </c>
      <c r="N5" s="28">
        <v>553728.3</v>
      </c>
    </row>
    <row r="6" spans="1:14" ht="15.75">
      <c r="A6" s="3" t="s">
        <v>4</v>
      </c>
      <c r="B6" s="27">
        <f aca="true" t="shared" si="5" ref="B6:B20">B5+1</f>
        <v>5</v>
      </c>
      <c r="C6" s="28">
        <f t="shared" si="0"/>
        <v>12.279068892803872</v>
      </c>
      <c r="D6" s="19" t="s">
        <v>23</v>
      </c>
      <c r="E6" s="29">
        <f t="shared" si="1"/>
        <v>24</v>
      </c>
      <c r="F6" s="28">
        <f t="shared" si="2"/>
        <v>13.217210722844625</v>
      </c>
      <c r="G6" s="73" t="s">
        <v>42</v>
      </c>
      <c r="H6" s="27">
        <f t="shared" si="3"/>
        <v>43</v>
      </c>
      <c r="I6" s="28">
        <f t="shared" si="4"/>
        <v>13.214852673162852</v>
      </c>
      <c r="L6" s="28">
        <v>215145.3</v>
      </c>
      <c r="M6" s="30">
        <v>549745.5</v>
      </c>
      <c r="N6" s="28">
        <v>548450.7</v>
      </c>
    </row>
    <row r="7" spans="1:14" ht="15.75">
      <c r="A7" s="3" t="s">
        <v>5</v>
      </c>
      <c r="B7" s="27">
        <f t="shared" si="5"/>
        <v>6</v>
      </c>
      <c r="C7" s="28">
        <f t="shared" si="0"/>
        <v>12.301929948362668</v>
      </c>
      <c r="D7" s="19" t="s">
        <v>24</v>
      </c>
      <c r="E7" s="29">
        <f t="shared" si="1"/>
        <v>25</v>
      </c>
      <c r="F7" s="28">
        <f t="shared" si="2"/>
        <v>13.235056861013442</v>
      </c>
      <c r="G7" s="73" t="s">
        <v>43</v>
      </c>
      <c r="H7" s="27">
        <f t="shared" si="3"/>
        <v>44</v>
      </c>
      <c r="I7" s="28">
        <f t="shared" si="4"/>
        <v>13.232161193666188</v>
      </c>
      <c r="L7" s="28">
        <v>220120.4</v>
      </c>
      <c r="M7" s="30">
        <v>559644.4</v>
      </c>
      <c r="N7" s="28">
        <v>558026.2</v>
      </c>
    </row>
    <row r="8" spans="1:14" ht="15.75">
      <c r="A8" s="3" t="s">
        <v>6</v>
      </c>
      <c r="B8" s="27">
        <f t="shared" si="5"/>
        <v>7</v>
      </c>
      <c r="C8" s="28">
        <f t="shared" si="0"/>
        <v>12.323222591938954</v>
      </c>
      <c r="D8" s="19" t="s">
        <v>25</v>
      </c>
      <c r="E8" s="29">
        <f t="shared" si="1"/>
        <v>26</v>
      </c>
      <c r="F8" s="28">
        <f t="shared" si="2"/>
        <v>13.22593984259008</v>
      </c>
      <c r="G8" s="73" t="s">
        <v>44</v>
      </c>
      <c r="H8" s="27">
        <f t="shared" si="3"/>
        <v>45</v>
      </c>
      <c r="I8" s="28">
        <f t="shared" si="4"/>
        <v>13.231114637983763</v>
      </c>
      <c r="L8" s="28">
        <v>224857.6</v>
      </c>
      <c r="M8" s="30">
        <v>554565.3</v>
      </c>
      <c r="N8" s="28">
        <v>557442.5</v>
      </c>
    </row>
    <row r="9" spans="1:14" ht="15.75">
      <c r="A9" s="3" t="s">
        <v>7</v>
      </c>
      <c r="B9" s="27">
        <f t="shared" si="5"/>
        <v>8</v>
      </c>
      <c r="C9" s="28">
        <f t="shared" si="0"/>
        <v>12.406966088909439</v>
      </c>
      <c r="D9" s="19" t="s">
        <v>26</v>
      </c>
      <c r="E9" s="29">
        <f t="shared" si="1"/>
        <v>27</v>
      </c>
      <c r="F9" s="28">
        <f t="shared" si="2"/>
        <v>13.203776345841634</v>
      </c>
      <c r="G9" s="73" t="s">
        <v>45</v>
      </c>
      <c r="H9" s="27">
        <f t="shared" si="3"/>
        <v>46</v>
      </c>
      <c r="I9" s="28">
        <f t="shared" si="4"/>
        <v>13.242221059492763</v>
      </c>
      <c r="L9" s="28">
        <v>244498.9</v>
      </c>
      <c r="M9" s="30">
        <v>542409.4</v>
      </c>
      <c r="N9" s="28">
        <v>563668.2</v>
      </c>
    </row>
    <row r="10" spans="1:14" ht="15.75">
      <c r="A10" s="3" t="s">
        <v>8</v>
      </c>
      <c r="B10" s="27">
        <f t="shared" si="5"/>
        <v>9</v>
      </c>
      <c r="C10" s="28">
        <f t="shared" si="0"/>
        <v>12.45688350259593</v>
      </c>
      <c r="D10" s="19" t="s">
        <v>27</v>
      </c>
      <c r="E10" s="29">
        <f t="shared" si="1"/>
        <v>28</v>
      </c>
      <c r="F10" s="28">
        <f t="shared" si="2"/>
        <v>13.193629902181582</v>
      </c>
      <c r="G10" s="73" t="s">
        <v>46</v>
      </c>
      <c r="H10" s="27">
        <f t="shared" si="3"/>
        <v>47</v>
      </c>
      <c r="I10" s="28">
        <f t="shared" si="4"/>
        <v>13.251946385407221</v>
      </c>
      <c r="L10" s="28">
        <v>257013.4</v>
      </c>
      <c r="M10" s="30">
        <v>536933.7</v>
      </c>
      <c r="N10" s="28">
        <v>569176.8</v>
      </c>
    </row>
    <row r="11" spans="1:14" ht="15.75">
      <c r="A11" s="3" t="s">
        <v>9</v>
      </c>
      <c r="B11" s="27">
        <f t="shared" si="5"/>
        <v>10</v>
      </c>
      <c r="C11" s="28">
        <f t="shared" si="0"/>
        <v>12.499680625060432</v>
      </c>
      <c r="D11" s="19" t="s">
        <v>28</v>
      </c>
      <c r="E11" s="29">
        <f t="shared" si="1"/>
        <v>29</v>
      </c>
      <c r="F11" s="28">
        <f t="shared" si="2"/>
        <v>13.214349858016702</v>
      </c>
      <c r="G11" s="73" t="s">
        <v>47</v>
      </c>
      <c r="H11" s="27">
        <f t="shared" si="3"/>
        <v>48</v>
      </c>
      <c r="I11" s="28">
        <f t="shared" si="4"/>
        <v>13.283741816790428</v>
      </c>
      <c r="L11" s="28">
        <v>268251.6</v>
      </c>
      <c r="M11" s="30">
        <v>548175</v>
      </c>
      <c r="N11" s="28">
        <v>587564.8</v>
      </c>
    </row>
    <row r="12" spans="1:14" ht="15.75">
      <c r="A12" s="3" t="s">
        <v>10</v>
      </c>
      <c r="B12" s="27">
        <f t="shared" si="5"/>
        <v>11</v>
      </c>
      <c r="C12" s="28">
        <f t="shared" si="0"/>
        <v>12.545069193395186</v>
      </c>
      <c r="D12" s="19" t="s">
        <v>29</v>
      </c>
      <c r="E12" s="29">
        <f t="shared" si="1"/>
        <v>30</v>
      </c>
      <c r="F12" s="28">
        <f t="shared" si="2"/>
        <v>13.205592510719562</v>
      </c>
      <c r="G12" s="73" t="s">
        <v>48</v>
      </c>
      <c r="H12" s="27">
        <f t="shared" si="3"/>
        <v>49</v>
      </c>
      <c r="I12" s="28">
        <f t="shared" si="4"/>
        <v>13.278736671108675</v>
      </c>
      <c r="L12" s="28">
        <v>280707.7</v>
      </c>
      <c r="M12" s="30">
        <v>543395.4</v>
      </c>
      <c r="N12" s="28">
        <v>584631.3</v>
      </c>
    </row>
    <row r="13" spans="1:14" ht="15.75">
      <c r="A13" s="3" t="s">
        <v>11</v>
      </c>
      <c r="B13" s="27">
        <f t="shared" si="5"/>
        <v>12</v>
      </c>
      <c r="C13" s="28">
        <f t="shared" si="0"/>
        <v>12.632114264415971</v>
      </c>
      <c r="D13" s="19" t="s">
        <v>30</v>
      </c>
      <c r="E13" s="29">
        <f t="shared" si="1"/>
        <v>31</v>
      </c>
      <c r="F13" s="28">
        <f t="shared" si="2"/>
        <v>13.213444445289895</v>
      </c>
      <c r="G13" s="73" t="s">
        <v>49</v>
      </c>
      <c r="H13" s="27">
        <f t="shared" si="3"/>
        <v>50</v>
      </c>
      <c r="I13" s="28">
        <f t="shared" si="4"/>
        <v>13.287012526372651</v>
      </c>
      <c r="L13" s="28">
        <v>306236.9</v>
      </c>
      <c r="M13" s="30">
        <v>547678.9</v>
      </c>
      <c r="N13" s="28">
        <v>589489.7</v>
      </c>
    </row>
    <row r="14" spans="1:14" ht="15.75">
      <c r="A14" s="3" t="s">
        <v>12</v>
      </c>
      <c r="B14" s="27">
        <f t="shared" si="5"/>
        <v>13</v>
      </c>
      <c r="C14" s="28">
        <f t="shared" si="0"/>
        <v>12.678724639759448</v>
      </c>
      <c r="D14" s="19" t="s">
        <v>31</v>
      </c>
      <c r="E14" s="29">
        <f t="shared" si="1"/>
        <v>32</v>
      </c>
      <c r="F14" s="28">
        <f t="shared" si="2"/>
        <v>13.216132188091194</v>
      </c>
      <c r="G14" s="73" t="s">
        <v>50</v>
      </c>
      <c r="H14" s="27">
        <f t="shared" si="3"/>
        <v>51</v>
      </c>
      <c r="I14" s="28">
        <f t="shared" si="4"/>
        <v>13.274483081911036</v>
      </c>
      <c r="L14" s="28">
        <v>320848.6</v>
      </c>
      <c r="M14" s="30">
        <v>549152.9</v>
      </c>
      <c r="N14" s="28">
        <v>582149.8</v>
      </c>
    </row>
    <row r="15" spans="1:14" ht="15.75">
      <c r="A15" s="3" t="s">
        <v>13</v>
      </c>
      <c r="B15" s="27">
        <f t="shared" si="5"/>
        <v>14</v>
      </c>
      <c r="C15" s="28">
        <f t="shared" si="0"/>
        <v>12.705620210402092</v>
      </c>
      <c r="D15" s="19" t="s">
        <v>32</v>
      </c>
      <c r="E15" s="29">
        <f t="shared" si="1"/>
        <v>33</v>
      </c>
      <c r="F15" s="28">
        <f t="shared" si="2"/>
        <v>13.251211897476512</v>
      </c>
      <c r="G15" s="73" t="s">
        <v>51</v>
      </c>
      <c r="H15" s="27">
        <f t="shared" si="3"/>
        <v>52</v>
      </c>
      <c r="I15" s="28">
        <f t="shared" si="4"/>
        <v>13.303313160413369</v>
      </c>
      <c r="L15" s="28">
        <v>329595.1</v>
      </c>
      <c r="M15" s="30">
        <v>568758.9</v>
      </c>
      <c r="N15" s="28">
        <v>599177.5</v>
      </c>
    </row>
    <row r="16" spans="1:14" ht="15.75">
      <c r="A16" s="3" t="s">
        <v>14</v>
      </c>
      <c r="B16" s="27">
        <f t="shared" si="5"/>
        <v>15</v>
      </c>
      <c r="C16" s="28">
        <f t="shared" si="0"/>
        <v>12.725200609294687</v>
      </c>
      <c r="D16" s="19" t="s">
        <v>33</v>
      </c>
      <c r="E16" s="29">
        <f t="shared" si="1"/>
        <v>34</v>
      </c>
      <c r="F16" s="28">
        <f t="shared" si="2"/>
        <v>13.27627722919004</v>
      </c>
      <c r="G16" s="73" t="s">
        <v>52</v>
      </c>
      <c r="H16" s="27">
        <f t="shared" si="3"/>
        <v>53</v>
      </c>
      <c r="I16" s="28">
        <f t="shared" si="4"/>
        <v>13.299853280536102</v>
      </c>
      <c r="L16" s="28">
        <v>336112.3</v>
      </c>
      <c r="M16" s="30">
        <v>583195.2</v>
      </c>
      <c r="N16" s="28">
        <v>597108</v>
      </c>
    </row>
    <row r="17" spans="1:14" ht="15.75">
      <c r="A17" s="3" t="s">
        <v>15</v>
      </c>
      <c r="B17" s="27">
        <f t="shared" si="5"/>
        <v>16</v>
      </c>
      <c r="C17" s="28">
        <f t="shared" si="0"/>
        <v>12.809364043976656</v>
      </c>
      <c r="D17" s="19" t="s">
        <v>34</v>
      </c>
      <c r="E17" s="29">
        <f t="shared" si="1"/>
        <v>35</v>
      </c>
      <c r="F17" s="28">
        <f t="shared" si="2"/>
        <v>13.287328342915378</v>
      </c>
      <c r="G17" s="73" t="s">
        <v>53</v>
      </c>
      <c r="H17" s="27">
        <f t="shared" si="3"/>
        <v>54</v>
      </c>
      <c r="I17" s="28">
        <f t="shared" si="4"/>
        <v>13.312647151448793</v>
      </c>
      <c r="L17" s="28">
        <v>365625.2</v>
      </c>
      <c r="M17" s="30">
        <v>589675.9</v>
      </c>
      <c r="N17" s="28">
        <v>604796.4</v>
      </c>
    </row>
    <row r="18" spans="1:14" ht="15.75">
      <c r="A18" s="3" t="s">
        <v>16</v>
      </c>
      <c r="B18" s="27">
        <f t="shared" si="5"/>
        <v>17</v>
      </c>
      <c r="C18" s="28">
        <f t="shared" si="0"/>
        <v>12.935648423760435</v>
      </c>
      <c r="D18" s="19" t="s">
        <v>35</v>
      </c>
      <c r="E18" s="29">
        <f t="shared" si="1"/>
        <v>36</v>
      </c>
      <c r="F18" s="28">
        <f t="shared" si="2"/>
        <v>13.297947119352127</v>
      </c>
      <c r="G18" s="73" t="s">
        <v>54</v>
      </c>
      <c r="H18" s="27">
        <f t="shared" si="3"/>
        <v>55</v>
      </c>
      <c r="I18" s="28">
        <f t="shared" si="4"/>
        <v>13.315104791770224</v>
      </c>
      <c r="L18" s="28">
        <v>414840.1</v>
      </c>
      <c r="M18" s="30">
        <v>595970.9</v>
      </c>
      <c r="N18" s="28">
        <v>606284.6</v>
      </c>
    </row>
    <row r="19" spans="1:14" ht="15.75">
      <c r="A19" s="3" t="s">
        <v>17</v>
      </c>
      <c r="B19" s="27">
        <f t="shared" si="5"/>
        <v>18</v>
      </c>
      <c r="C19" s="28">
        <f t="shared" si="0"/>
        <v>12.997215034340805</v>
      </c>
      <c r="D19" s="19" t="s">
        <v>36</v>
      </c>
      <c r="E19" s="29">
        <f t="shared" si="1"/>
        <v>37</v>
      </c>
      <c r="F19" s="28">
        <f t="shared" si="2"/>
        <v>13.298895708924674</v>
      </c>
      <c r="G19" s="73" t="s">
        <v>55</v>
      </c>
      <c r="H19" s="27">
        <f t="shared" si="3"/>
        <v>56</v>
      </c>
      <c r="I19" s="28">
        <f t="shared" si="4"/>
        <v>13.354493468541632</v>
      </c>
      <c r="L19" s="28">
        <v>441183</v>
      </c>
      <c r="M19" s="30">
        <v>596536.5</v>
      </c>
      <c r="N19" s="28">
        <v>630641.9</v>
      </c>
    </row>
    <row r="20" spans="1:14" ht="16.5" thickBot="1">
      <c r="A20" s="4" t="s">
        <v>18</v>
      </c>
      <c r="B20" s="31">
        <f t="shared" si="5"/>
        <v>19</v>
      </c>
      <c r="C20" s="32">
        <f t="shared" si="0"/>
        <v>13.002789213635257</v>
      </c>
      <c r="D20" s="20" t="s">
        <v>37</v>
      </c>
      <c r="E20" s="33">
        <f t="shared" si="1"/>
        <v>38</v>
      </c>
      <c r="F20" s="32">
        <f t="shared" si="2"/>
        <v>13.294896011984706</v>
      </c>
      <c r="G20" s="74" t="s">
        <v>56</v>
      </c>
      <c r="H20" s="31">
        <f t="shared" si="3"/>
        <v>57</v>
      </c>
      <c r="I20" s="32">
        <f t="shared" si="4"/>
        <v>13.364213112002355</v>
      </c>
      <c r="L20" s="32">
        <v>443649.1</v>
      </c>
      <c r="M20" s="34">
        <v>594155.3</v>
      </c>
      <c r="N20" s="32">
        <v>636801.4</v>
      </c>
    </row>
    <row r="21" spans="1:9" ht="16.5" thickBot="1">
      <c r="A21" s="1"/>
      <c r="B21" s="1"/>
      <c r="C21" s="59">
        <f>SUM(C2:C20)</f>
        <v>237.8498487112934</v>
      </c>
      <c r="D21" s="1"/>
      <c r="E21" s="1"/>
      <c r="F21" s="59">
        <f>SUM(F2:F20)</f>
        <v>251.13157209920922</v>
      </c>
      <c r="G21" s="1"/>
      <c r="H21" s="1"/>
      <c r="I21" s="59">
        <f>SUM(I2:I20)</f>
        <v>252.2279053381781</v>
      </c>
    </row>
    <row r="23" ht="13.5" thickBot="1"/>
    <row r="24" spans="1:4" ht="16.5" thickBot="1">
      <c r="A24" s="37" t="s">
        <v>63</v>
      </c>
      <c r="B24" s="38" t="s">
        <v>64</v>
      </c>
      <c r="C24" s="36">
        <f>(I21-F21)/(F21-C21)</f>
        <v>0.0825445017147661</v>
      </c>
      <c r="D24" s="39">
        <f>C24^(1/19)</f>
        <v>0.8769676775716306</v>
      </c>
    </row>
    <row r="25" spans="1:4" ht="16.5" thickBot="1">
      <c r="A25" s="37" t="s">
        <v>63</v>
      </c>
      <c r="B25" s="38" t="s">
        <v>65</v>
      </c>
      <c r="C25" s="35">
        <f>(D24-1)/(D24*(C24-1)^2)</f>
        <v>-0.1666731409515888</v>
      </c>
      <c r="D25" s="39">
        <f>C25*(F21-C21)</f>
        <v>-2.213706554314109</v>
      </c>
    </row>
    <row r="26" spans="1:4" ht="16.5" thickBot="1">
      <c r="A26" s="37" t="s">
        <v>63</v>
      </c>
      <c r="B26" s="38" t="s">
        <v>66</v>
      </c>
      <c r="C26" s="35">
        <f>D24*D25*(C24-1)/(D24-1)</f>
        <v>-14.476694959853615</v>
      </c>
      <c r="D26" s="39">
        <f>(C21-C26)/19</f>
        <v>13.280344403744579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L38" sqref="L38"/>
    </sheetView>
  </sheetViews>
  <sheetFormatPr defaultColWidth="9.140625" defaultRowHeight="12.75"/>
  <cols>
    <col min="3" max="3" width="10.8515625" style="0" customWidth="1"/>
    <col min="6" max="6" width="10.8515625" style="0" customWidth="1"/>
    <col min="9" max="9" width="11.00390625" style="0" customWidth="1"/>
  </cols>
  <sheetData>
    <row r="1" spans="1:9" ht="16.5" thickBot="1">
      <c r="A1" s="17" t="s">
        <v>62</v>
      </c>
      <c r="B1" s="21" t="s">
        <v>60</v>
      </c>
      <c r="C1" s="22" t="s">
        <v>61</v>
      </c>
      <c r="D1" s="17" t="s">
        <v>62</v>
      </c>
      <c r="E1" s="21" t="s">
        <v>60</v>
      </c>
      <c r="F1" s="22" t="s">
        <v>61</v>
      </c>
      <c r="G1" s="17" t="s">
        <v>62</v>
      </c>
      <c r="H1" s="21" t="s">
        <v>60</v>
      </c>
      <c r="I1" s="22" t="s">
        <v>61</v>
      </c>
    </row>
    <row r="2" spans="1:9" ht="15.75">
      <c r="A2" s="2" t="s">
        <v>0</v>
      </c>
      <c r="B2" s="23">
        <v>1</v>
      </c>
      <c r="C2" s="24">
        <v>179342.9</v>
      </c>
      <c r="D2" s="18" t="s">
        <v>19</v>
      </c>
      <c r="E2" s="25">
        <v>20</v>
      </c>
      <c r="F2" s="26">
        <v>473921.5</v>
      </c>
      <c r="G2" s="2" t="s">
        <v>38</v>
      </c>
      <c r="H2" s="23">
        <v>39</v>
      </c>
      <c r="I2" s="24">
        <v>580665.6</v>
      </c>
    </row>
    <row r="3" spans="1:9" ht="15.75">
      <c r="A3" s="3" t="s">
        <v>1</v>
      </c>
      <c r="B3" s="27">
        <v>2</v>
      </c>
      <c r="C3" s="28">
        <v>179879.6</v>
      </c>
      <c r="D3" s="19" t="s">
        <v>20</v>
      </c>
      <c r="E3" s="29">
        <f aca="true" t="shared" si="0" ref="E3:E20">E2+1</f>
        <v>21</v>
      </c>
      <c r="F3" s="30">
        <v>493387.1</v>
      </c>
      <c r="G3" s="3" t="s">
        <v>39</v>
      </c>
      <c r="H3" s="27">
        <f aca="true" t="shared" si="1" ref="H3:H20">H2+1</f>
        <v>40</v>
      </c>
      <c r="I3" s="28">
        <v>567335.8</v>
      </c>
    </row>
    <row r="4" spans="1:9" ht="15.75">
      <c r="A4" s="3" t="s">
        <v>2</v>
      </c>
      <c r="B4" s="27">
        <f aca="true" t="shared" si="2" ref="B4:B20">B3+1</f>
        <v>3</v>
      </c>
      <c r="C4" s="28">
        <v>184157.9</v>
      </c>
      <c r="D4" s="19" t="s">
        <v>21</v>
      </c>
      <c r="E4" s="29">
        <f t="shared" si="0"/>
        <v>22</v>
      </c>
      <c r="F4" s="30">
        <v>512073.8</v>
      </c>
      <c r="G4" s="3" t="s">
        <v>40</v>
      </c>
      <c r="H4" s="27">
        <f t="shared" si="1"/>
        <v>41</v>
      </c>
      <c r="I4" s="28">
        <v>560701.5</v>
      </c>
    </row>
    <row r="5" spans="1:9" ht="15.75">
      <c r="A5" s="3" t="s">
        <v>3</v>
      </c>
      <c r="B5" s="27">
        <f t="shared" si="2"/>
        <v>4</v>
      </c>
      <c r="C5" s="28">
        <v>204782.7</v>
      </c>
      <c r="D5" s="19" t="s">
        <v>22</v>
      </c>
      <c r="E5" s="29">
        <f t="shared" si="0"/>
        <v>23</v>
      </c>
      <c r="F5" s="30">
        <v>527451.8</v>
      </c>
      <c r="G5" s="3" t="s">
        <v>41</v>
      </c>
      <c r="H5" s="27">
        <f t="shared" si="1"/>
        <v>42</v>
      </c>
      <c r="I5" s="28">
        <v>553728.3</v>
      </c>
    </row>
    <row r="6" spans="1:9" ht="15.75">
      <c r="A6" s="3" t="s">
        <v>4</v>
      </c>
      <c r="B6" s="27">
        <f t="shared" si="2"/>
        <v>5</v>
      </c>
      <c r="C6" s="28">
        <v>215145.3</v>
      </c>
      <c r="D6" s="19" t="s">
        <v>23</v>
      </c>
      <c r="E6" s="29">
        <f t="shared" si="0"/>
        <v>24</v>
      </c>
      <c r="F6" s="30">
        <v>549745.5</v>
      </c>
      <c r="G6" s="3" t="s">
        <v>42</v>
      </c>
      <c r="H6" s="27">
        <f t="shared" si="1"/>
        <v>43</v>
      </c>
      <c r="I6" s="28">
        <v>548450.7</v>
      </c>
    </row>
    <row r="7" spans="1:9" ht="15.75">
      <c r="A7" s="3" t="s">
        <v>5</v>
      </c>
      <c r="B7" s="27">
        <f t="shared" si="2"/>
        <v>6</v>
      </c>
      <c r="C7" s="28">
        <v>220120.4</v>
      </c>
      <c r="D7" s="19" t="s">
        <v>24</v>
      </c>
      <c r="E7" s="29">
        <f t="shared" si="0"/>
        <v>25</v>
      </c>
      <c r="F7" s="30">
        <v>559644.4</v>
      </c>
      <c r="G7" s="3" t="s">
        <v>43</v>
      </c>
      <c r="H7" s="27">
        <f t="shared" si="1"/>
        <v>44</v>
      </c>
      <c r="I7" s="28">
        <v>558026.2</v>
      </c>
    </row>
    <row r="8" spans="1:9" ht="15.75">
      <c r="A8" s="3" t="s">
        <v>6</v>
      </c>
      <c r="B8" s="27">
        <f t="shared" si="2"/>
        <v>7</v>
      </c>
      <c r="C8" s="28">
        <v>224857.6</v>
      </c>
      <c r="D8" s="19" t="s">
        <v>25</v>
      </c>
      <c r="E8" s="29">
        <f t="shared" si="0"/>
        <v>26</v>
      </c>
      <c r="F8" s="30">
        <v>554565.3</v>
      </c>
      <c r="G8" s="3" t="s">
        <v>44</v>
      </c>
      <c r="H8" s="27">
        <f t="shared" si="1"/>
        <v>45</v>
      </c>
      <c r="I8" s="28">
        <v>557442.5</v>
      </c>
    </row>
    <row r="9" spans="1:9" ht="15.75">
      <c r="A9" s="3" t="s">
        <v>7</v>
      </c>
      <c r="B9" s="27">
        <f t="shared" si="2"/>
        <v>8</v>
      </c>
      <c r="C9" s="28">
        <v>244498.9</v>
      </c>
      <c r="D9" s="19" t="s">
        <v>26</v>
      </c>
      <c r="E9" s="29">
        <f t="shared" si="0"/>
        <v>27</v>
      </c>
      <c r="F9" s="30">
        <v>542409.4</v>
      </c>
      <c r="G9" s="3" t="s">
        <v>45</v>
      </c>
      <c r="H9" s="27">
        <f t="shared" si="1"/>
        <v>46</v>
      </c>
      <c r="I9" s="28">
        <v>563668.2</v>
      </c>
    </row>
    <row r="10" spans="1:9" ht="15.75">
      <c r="A10" s="3" t="s">
        <v>8</v>
      </c>
      <c r="B10" s="27">
        <f t="shared" si="2"/>
        <v>9</v>
      </c>
      <c r="C10" s="28">
        <v>257013.4</v>
      </c>
      <c r="D10" s="19" t="s">
        <v>27</v>
      </c>
      <c r="E10" s="29">
        <f t="shared" si="0"/>
        <v>28</v>
      </c>
      <c r="F10" s="30">
        <v>536933.7</v>
      </c>
      <c r="G10" s="3" t="s">
        <v>46</v>
      </c>
      <c r="H10" s="27">
        <f t="shared" si="1"/>
        <v>47</v>
      </c>
      <c r="I10" s="28">
        <v>569176.8</v>
      </c>
    </row>
    <row r="11" spans="1:9" ht="15.75">
      <c r="A11" s="3" t="s">
        <v>9</v>
      </c>
      <c r="B11" s="27">
        <f t="shared" si="2"/>
        <v>10</v>
      </c>
      <c r="C11" s="28">
        <v>268251.6</v>
      </c>
      <c r="D11" s="19" t="s">
        <v>28</v>
      </c>
      <c r="E11" s="29">
        <f t="shared" si="0"/>
        <v>29</v>
      </c>
      <c r="F11" s="30">
        <v>548175</v>
      </c>
      <c r="G11" s="3" t="s">
        <v>47</v>
      </c>
      <c r="H11" s="27">
        <f t="shared" si="1"/>
        <v>48</v>
      </c>
      <c r="I11" s="28">
        <v>587564.8</v>
      </c>
    </row>
    <row r="12" spans="1:9" ht="15.75">
      <c r="A12" s="3" t="s">
        <v>10</v>
      </c>
      <c r="B12" s="27">
        <f t="shared" si="2"/>
        <v>11</v>
      </c>
      <c r="C12" s="28">
        <v>280707.7</v>
      </c>
      <c r="D12" s="19" t="s">
        <v>29</v>
      </c>
      <c r="E12" s="29">
        <f t="shared" si="0"/>
        <v>30</v>
      </c>
      <c r="F12" s="30">
        <v>543395.4</v>
      </c>
      <c r="G12" s="3" t="s">
        <v>48</v>
      </c>
      <c r="H12" s="27">
        <f t="shared" si="1"/>
        <v>49</v>
      </c>
      <c r="I12" s="28">
        <v>584631.3</v>
      </c>
    </row>
    <row r="13" spans="1:9" ht="15.75">
      <c r="A13" s="3" t="s">
        <v>11</v>
      </c>
      <c r="B13" s="27">
        <f t="shared" si="2"/>
        <v>12</v>
      </c>
      <c r="C13" s="28">
        <v>306236.9</v>
      </c>
      <c r="D13" s="19" t="s">
        <v>30</v>
      </c>
      <c r="E13" s="29">
        <f t="shared" si="0"/>
        <v>31</v>
      </c>
      <c r="F13" s="30">
        <v>547678.9</v>
      </c>
      <c r="G13" s="3" t="s">
        <v>49</v>
      </c>
      <c r="H13" s="27">
        <f t="shared" si="1"/>
        <v>50</v>
      </c>
      <c r="I13" s="28">
        <v>589489.7</v>
      </c>
    </row>
    <row r="14" spans="1:9" ht="15.75">
      <c r="A14" s="3" t="s">
        <v>12</v>
      </c>
      <c r="B14" s="27">
        <f t="shared" si="2"/>
        <v>13</v>
      </c>
      <c r="C14" s="28">
        <v>320848.6</v>
      </c>
      <c r="D14" s="19" t="s">
        <v>31</v>
      </c>
      <c r="E14" s="29">
        <f t="shared" si="0"/>
        <v>32</v>
      </c>
      <c r="F14" s="30">
        <v>549152.9</v>
      </c>
      <c r="G14" s="3" t="s">
        <v>50</v>
      </c>
      <c r="H14" s="27">
        <f t="shared" si="1"/>
        <v>51</v>
      </c>
      <c r="I14" s="28">
        <v>582149.8</v>
      </c>
    </row>
    <row r="15" spans="1:9" ht="15.75">
      <c r="A15" s="3" t="s">
        <v>13</v>
      </c>
      <c r="B15" s="27">
        <f t="shared" si="2"/>
        <v>14</v>
      </c>
      <c r="C15" s="28">
        <v>329595.1</v>
      </c>
      <c r="D15" s="19" t="s">
        <v>32</v>
      </c>
      <c r="E15" s="29">
        <f t="shared" si="0"/>
        <v>33</v>
      </c>
      <c r="F15" s="30">
        <v>568758.9</v>
      </c>
      <c r="G15" s="3" t="s">
        <v>51</v>
      </c>
      <c r="H15" s="27">
        <f t="shared" si="1"/>
        <v>52</v>
      </c>
      <c r="I15" s="28">
        <v>599177.5</v>
      </c>
    </row>
    <row r="16" spans="1:9" ht="15.75">
      <c r="A16" s="3" t="s">
        <v>14</v>
      </c>
      <c r="B16" s="27">
        <f t="shared" si="2"/>
        <v>15</v>
      </c>
      <c r="C16" s="28">
        <v>336112.3</v>
      </c>
      <c r="D16" s="19" t="s">
        <v>33</v>
      </c>
      <c r="E16" s="29">
        <f t="shared" si="0"/>
        <v>34</v>
      </c>
      <c r="F16" s="30">
        <v>583195.2</v>
      </c>
      <c r="G16" s="3" t="s">
        <v>52</v>
      </c>
      <c r="H16" s="27">
        <f t="shared" si="1"/>
        <v>53</v>
      </c>
      <c r="I16" s="28">
        <v>597108</v>
      </c>
    </row>
    <row r="17" spans="1:9" ht="15.75">
      <c r="A17" s="3" t="s">
        <v>15</v>
      </c>
      <c r="B17" s="27">
        <f t="shared" si="2"/>
        <v>16</v>
      </c>
      <c r="C17" s="28">
        <v>365625.2</v>
      </c>
      <c r="D17" s="19" t="s">
        <v>34</v>
      </c>
      <c r="E17" s="29">
        <f t="shared" si="0"/>
        <v>35</v>
      </c>
      <c r="F17" s="30">
        <v>589675.9</v>
      </c>
      <c r="G17" s="3" t="s">
        <v>53</v>
      </c>
      <c r="H17" s="27">
        <f t="shared" si="1"/>
        <v>54</v>
      </c>
      <c r="I17" s="28">
        <v>604796.4</v>
      </c>
    </row>
    <row r="18" spans="1:9" ht="15.75">
      <c r="A18" s="3" t="s">
        <v>16</v>
      </c>
      <c r="B18" s="27">
        <f t="shared" si="2"/>
        <v>17</v>
      </c>
      <c r="C18" s="28">
        <v>414840.1</v>
      </c>
      <c r="D18" s="19" t="s">
        <v>35</v>
      </c>
      <c r="E18" s="29">
        <f t="shared" si="0"/>
        <v>36</v>
      </c>
      <c r="F18" s="30">
        <v>595970.9</v>
      </c>
      <c r="G18" s="3" t="s">
        <v>54</v>
      </c>
      <c r="H18" s="27">
        <f t="shared" si="1"/>
        <v>55</v>
      </c>
      <c r="I18" s="28">
        <v>606284.6</v>
      </c>
    </row>
    <row r="19" spans="1:9" ht="15.75">
      <c r="A19" s="3" t="s">
        <v>17</v>
      </c>
      <c r="B19" s="27">
        <f t="shared" si="2"/>
        <v>18</v>
      </c>
      <c r="C19" s="28">
        <v>441183</v>
      </c>
      <c r="D19" s="19" t="s">
        <v>36</v>
      </c>
      <c r="E19" s="29">
        <f t="shared" si="0"/>
        <v>37</v>
      </c>
      <c r="F19" s="30">
        <v>596536.5</v>
      </c>
      <c r="G19" s="3" t="s">
        <v>55</v>
      </c>
      <c r="H19" s="27">
        <f t="shared" si="1"/>
        <v>56</v>
      </c>
      <c r="I19" s="28">
        <v>630641.9</v>
      </c>
    </row>
    <row r="20" spans="1:9" ht="16.5" thickBot="1">
      <c r="A20" s="4" t="s">
        <v>18</v>
      </c>
      <c r="B20" s="31">
        <f t="shared" si="2"/>
        <v>19</v>
      </c>
      <c r="C20" s="32">
        <v>443649.1</v>
      </c>
      <c r="D20" s="20" t="s">
        <v>37</v>
      </c>
      <c r="E20" s="33">
        <f t="shared" si="0"/>
        <v>38</v>
      </c>
      <c r="F20" s="34">
        <v>594155.3</v>
      </c>
      <c r="G20" s="4" t="s">
        <v>56</v>
      </c>
      <c r="H20" s="31">
        <f t="shared" si="1"/>
        <v>57</v>
      </c>
      <c r="I20" s="32">
        <v>636801.4</v>
      </c>
    </row>
    <row r="21" spans="1:9" ht="16.5" thickBot="1">
      <c r="A21" s="1"/>
      <c r="B21" s="1"/>
      <c r="C21" s="35">
        <f>SUM(C2:C20)</f>
        <v>5416848.3</v>
      </c>
      <c r="D21" s="1"/>
      <c r="E21" s="1"/>
      <c r="F21" s="35">
        <f>SUM(F2:F20)</f>
        <v>10466827.400000004</v>
      </c>
      <c r="G21" s="1"/>
      <c r="H21" s="1"/>
      <c r="I21" s="35">
        <f>SUM(I2:I20)</f>
        <v>11077841</v>
      </c>
    </row>
    <row r="22" spans="1:9" ht="15.75">
      <c r="A22" s="1"/>
      <c r="B22" s="1"/>
      <c r="C22" s="1"/>
      <c r="D22" s="1"/>
      <c r="E22" s="1"/>
      <c r="F22" s="1"/>
      <c r="G22" s="1"/>
      <c r="H22" s="1"/>
      <c r="I22" s="1"/>
    </row>
    <row r="23" spans="1:9" ht="15.75">
      <c r="A23" s="1"/>
      <c r="B23" s="1"/>
      <c r="C23" s="1"/>
      <c r="D23" s="1"/>
      <c r="E23" s="1"/>
      <c r="F23" s="1"/>
      <c r="G23" s="1"/>
      <c r="H23" s="1"/>
      <c r="I23" s="1"/>
    </row>
    <row r="24" spans="1:9" ht="15.75">
      <c r="A24" s="1"/>
      <c r="B24" s="1"/>
      <c r="C24" s="1"/>
      <c r="D24" s="1"/>
      <c r="E24" s="1"/>
      <c r="F24" s="1"/>
      <c r="G24" s="1"/>
      <c r="H24" s="1"/>
      <c r="I24" s="1"/>
    </row>
    <row r="25" spans="1:9" ht="15.75">
      <c r="A25" s="1"/>
      <c r="B25" s="1"/>
      <c r="C25" s="1"/>
      <c r="D25" s="1"/>
      <c r="E25" s="1"/>
      <c r="F25" s="1"/>
      <c r="G25" s="1"/>
      <c r="H25" s="1"/>
      <c r="I25" s="1"/>
    </row>
    <row r="26" spans="1:9" ht="15.75">
      <c r="A26" s="1"/>
      <c r="B26" s="1"/>
      <c r="C26" s="1"/>
      <c r="D26" s="1"/>
      <c r="E26" s="1"/>
      <c r="F26" s="1"/>
      <c r="G26" s="1"/>
      <c r="H26" s="1"/>
      <c r="I26" s="1"/>
    </row>
    <row r="27" spans="1:9" ht="15.75">
      <c r="A27" s="1"/>
      <c r="B27" s="1"/>
      <c r="C27" s="1"/>
      <c r="D27" s="1"/>
      <c r="E27" s="1"/>
      <c r="F27" s="1"/>
      <c r="G27" s="1"/>
      <c r="H27" s="1"/>
      <c r="I27" s="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3"/>
  <sheetViews>
    <sheetView zoomScalePageLayoutView="0" workbookViewId="0" topLeftCell="O32">
      <selection activeCell="AC38" sqref="AC38"/>
    </sheetView>
  </sheetViews>
  <sheetFormatPr defaultColWidth="9.140625" defaultRowHeight="12.75"/>
  <cols>
    <col min="3" max="5" width="13.140625" style="0" bestFit="1" customWidth="1"/>
    <col min="6" max="7" width="10.7109375" style="0" customWidth="1"/>
    <col min="8" max="8" width="12.421875" style="0" bestFit="1" customWidth="1"/>
    <col min="9" max="9" width="10.421875" style="0" customWidth="1"/>
    <col min="10" max="10" width="13.140625" style="0" bestFit="1" customWidth="1"/>
    <col min="11" max="11" width="12.421875" style="0" bestFit="1" customWidth="1"/>
    <col min="12" max="12" width="11.28125" style="0" customWidth="1"/>
    <col min="13" max="13" width="11.7109375" style="0" customWidth="1"/>
    <col min="14" max="14" width="11.00390625" style="0" customWidth="1"/>
  </cols>
  <sheetData>
    <row r="1" spans="1:16" ht="16.5" thickBot="1">
      <c r="A1" s="155" t="s">
        <v>91</v>
      </c>
      <c r="B1" s="21" t="s">
        <v>60</v>
      </c>
      <c r="C1" s="22" t="s">
        <v>61</v>
      </c>
      <c r="D1" s="104" t="s">
        <v>87</v>
      </c>
      <c r="E1" s="104" t="s">
        <v>88</v>
      </c>
      <c r="F1" s="104" t="s">
        <v>89</v>
      </c>
      <c r="G1" s="104" t="s">
        <v>85</v>
      </c>
      <c r="H1" s="104" t="s">
        <v>90</v>
      </c>
      <c r="I1" s="70"/>
      <c r="J1" s="160" t="s">
        <v>83</v>
      </c>
      <c r="K1" s="161" t="s">
        <v>82</v>
      </c>
      <c r="L1" s="167" t="s">
        <v>111</v>
      </c>
      <c r="M1" s="167" t="s">
        <v>112</v>
      </c>
      <c r="N1" s="180" t="s">
        <v>113</v>
      </c>
      <c r="O1" s="210" t="s">
        <v>119</v>
      </c>
      <c r="P1" s="210" t="s">
        <v>120</v>
      </c>
    </row>
    <row r="2" spans="1:16" ht="15.75">
      <c r="A2" s="156" t="s">
        <v>0</v>
      </c>
      <c r="B2" s="43">
        <v>1</v>
      </c>
      <c r="C2" s="44">
        <v>179342.9</v>
      </c>
      <c r="D2" s="88">
        <f aca="true" t="shared" si="0" ref="D2:D33">B2^2</f>
        <v>1</v>
      </c>
      <c r="E2" s="42">
        <f aca="true" t="shared" si="1" ref="E2:E33">B2*D2</f>
        <v>1</v>
      </c>
      <c r="F2" s="102">
        <f aca="true" t="shared" si="2" ref="F2:F33">D2^2</f>
        <v>1</v>
      </c>
      <c r="G2" s="88">
        <f aca="true" t="shared" si="3" ref="G2:G33">B2*C2</f>
        <v>179342.9</v>
      </c>
      <c r="H2" s="42">
        <f aca="true" t="shared" si="4" ref="H2:H33">D2*C2</f>
        <v>179342.9</v>
      </c>
      <c r="I2" s="1"/>
      <c r="J2" s="2">
        <v>179342.9</v>
      </c>
      <c r="K2" s="128">
        <f>C$79+C$80*B2+C$81*D2+C$82*E2+C$83*F2</f>
        <v>177422.11788799998</v>
      </c>
      <c r="L2" s="224">
        <f aca="true" t="shared" si="5" ref="L2:L33">J2-K2</f>
        <v>1920.7821120000153</v>
      </c>
      <c r="M2" s="250">
        <f aca="true" t="shared" si="6" ref="M2:M33">ABS(L2)</f>
        <v>1920.7821120000153</v>
      </c>
      <c r="N2" s="181">
        <f aca="true" t="shared" si="7" ref="N2:N33">L2*L2</f>
        <v>3689403.9217792396</v>
      </c>
      <c r="O2" s="243">
        <f aca="true" t="shared" si="8" ref="O2:O33">M2/J2</f>
        <v>0.010710109583373612</v>
      </c>
      <c r="P2" s="246">
        <f>2*M2/ABS(J2+K2)</f>
        <v>0.010767771590223628</v>
      </c>
    </row>
    <row r="3" spans="1:16" ht="15.75">
      <c r="A3" s="157" t="s">
        <v>1</v>
      </c>
      <c r="B3" s="45">
        <v>2</v>
      </c>
      <c r="C3" s="46">
        <v>179879.6</v>
      </c>
      <c r="D3" s="89">
        <f t="shared" si="0"/>
        <v>4</v>
      </c>
      <c r="E3" s="47">
        <f t="shared" si="1"/>
        <v>8</v>
      </c>
      <c r="F3" s="91">
        <f t="shared" si="2"/>
        <v>16</v>
      </c>
      <c r="G3" s="89">
        <f t="shared" si="3"/>
        <v>359759.2</v>
      </c>
      <c r="H3" s="47">
        <f t="shared" si="4"/>
        <v>719518.4</v>
      </c>
      <c r="I3" s="1"/>
      <c r="J3" s="3">
        <v>179879.6</v>
      </c>
      <c r="K3" s="127">
        <f aca="true" t="shared" si="9" ref="K3:K57">C$79+C$80*B3+C$81*D3+C$82*E3+C$83*F3</f>
        <v>180068.20860800002</v>
      </c>
      <c r="L3" s="225">
        <f t="shared" si="5"/>
        <v>-188.60860800000955</v>
      </c>
      <c r="M3" s="251">
        <f t="shared" si="6"/>
        <v>188.60860800000955</v>
      </c>
      <c r="N3" s="177">
        <f t="shared" si="7"/>
        <v>35573.20701170127</v>
      </c>
      <c r="O3" s="244">
        <f t="shared" si="8"/>
        <v>0.0010485269480252878</v>
      </c>
      <c r="P3" s="247">
        <f aca="true" t="shared" si="10" ref="P3:P57">2*M3/ABS(J3+K3)</f>
        <v>0.0010479775316838398</v>
      </c>
    </row>
    <row r="4" spans="1:16" ht="15.75">
      <c r="A4" s="157" t="s">
        <v>2</v>
      </c>
      <c r="B4" s="45">
        <f aca="true" t="shared" si="11" ref="B4:B35">B3+1</f>
        <v>3</v>
      </c>
      <c r="C4" s="46">
        <v>184157.9</v>
      </c>
      <c r="D4" s="89">
        <f t="shared" si="0"/>
        <v>9</v>
      </c>
      <c r="E4" s="47">
        <f t="shared" si="1"/>
        <v>27</v>
      </c>
      <c r="F4" s="91">
        <f t="shared" si="2"/>
        <v>81</v>
      </c>
      <c r="G4" s="89">
        <f t="shared" si="3"/>
        <v>552473.7</v>
      </c>
      <c r="H4" s="47">
        <f t="shared" si="4"/>
        <v>1657421.0999999999</v>
      </c>
      <c r="I4" s="1"/>
      <c r="J4" s="3">
        <v>184157.9</v>
      </c>
      <c r="K4" s="127">
        <f t="shared" si="9"/>
        <v>185472.045128</v>
      </c>
      <c r="L4" s="225">
        <f t="shared" si="5"/>
        <v>-1314.1451280000038</v>
      </c>
      <c r="M4" s="251">
        <f t="shared" si="6"/>
        <v>1314.1451280000038</v>
      </c>
      <c r="N4" s="177">
        <f t="shared" si="7"/>
        <v>1726977.4174461463</v>
      </c>
      <c r="O4" s="244">
        <f t="shared" si="8"/>
        <v>0.007135969339354998</v>
      </c>
      <c r="P4" s="247">
        <f t="shared" si="10"/>
        <v>0.0071105988317311545</v>
      </c>
    </row>
    <row r="5" spans="1:16" ht="16.5" thickBot="1">
      <c r="A5" s="158" t="s">
        <v>3</v>
      </c>
      <c r="B5" s="45">
        <f t="shared" si="11"/>
        <v>4</v>
      </c>
      <c r="C5" s="48">
        <v>204782.7</v>
      </c>
      <c r="D5" s="90">
        <f t="shared" si="0"/>
        <v>16</v>
      </c>
      <c r="E5" s="49">
        <f t="shared" si="1"/>
        <v>64</v>
      </c>
      <c r="F5" s="103">
        <f t="shared" si="2"/>
        <v>256</v>
      </c>
      <c r="G5" s="90">
        <f t="shared" si="3"/>
        <v>819130.8</v>
      </c>
      <c r="H5" s="49">
        <f t="shared" si="4"/>
        <v>3276523.2</v>
      </c>
      <c r="I5" s="1"/>
      <c r="J5" s="4">
        <v>204782.7</v>
      </c>
      <c r="K5" s="129">
        <f t="shared" si="9"/>
        <v>193337.116928</v>
      </c>
      <c r="L5" s="226">
        <f t="shared" si="5"/>
        <v>11445.583072000009</v>
      </c>
      <c r="M5" s="252">
        <f t="shared" si="6"/>
        <v>11445.583072000009</v>
      </c>
      <c r="N5" s="182">
        <f t="shared" si="7"/>
        <v>131001371.85805315</v>
      </c>
      <c r="O5" s="245">
        <f t="shared" si="8"/>
        <v>0.05589135738516978</v>
      </c>
      <c r="P5" s="248">
        <f t="shared" si="10"/>
        <v>0.057498183136510096</v>
      </c>
    </row>
    <row r="6" spans="1:16" ht="15.75">
      <c r="A6" s="156" t="s">
        <v>4</v>
      </c>
      <c r="B6" s="43">
        <f t="shared" si="11"/>
        <v>5</v>
      </c>
      <c r="C6" s="50">
        <v>215145.3</v>
      </c>
      <c r="D6" s="42">
        <f t="shared" si="0"/>
        <v>25</v>
      </c>
      <c r="E6" s="42">
        <f t="shared" si="1"/>
        <v>125</v>
      </c>
      <c r="F6" s="42">
        <f t="shared" si="2"/>
        <v>625</v>
      </c>
      <c r="G6" s="42">
        <f t="shared" si="3"/>
        <v>1075726.5</v>
      </c>
      <c r="H6" s="42">
        <f t="shared" si="4"/>
        <v>5378632.5</v>
      </c>
      <c r="I6" s="1"/>
      <c r="J6" s="131">
        <v>215145.3</v>
      </c>
      <c r="K6" s="128">
        <f>C$79+C$80*B6+C$81*D6+C$82*E6+C$83*F6</f>
        <v>203378.62999999998</v>
      </c>
      <c r="L6" s="170">
        <f t="shared" si="5"/>
        <v>11766.670000000013</v>
      </c>
      <c r="M6" s="244">
        <f t="shared" si="6"/>
        <v>11766.670000000013</v>
      </c>
      <c r="N6" s="181">
        <f t="shared" si="7"/>
        <v>138454522.8889003</v>
      </c>
      <c r="O6" s="214">
        <f t="shared" si="8"/>
        <v>0.05469173623592992</v>
      </c>
      <c r="P6" s="246">
        <f>2*M6/ABS(J6+K6)</f>
        <v>0.05622937737395334</v>
      </c>
    </row>
    <row r="7" spans="1:16" ht="15.75">
      <c r="A7" s="157" t="s">
        <v>5</v>
      </c>
      <c r="B7" s="45">
        <f t="shared" si="11"/>
        <v>6</v>
      </c>
      <c r="C7" s="51">
        <v>220120.4</v>
      </c>
      <c r="D7" s="47">
        <f t="shared" si="0"/>
        <v>36</v>
      </c>
      <c r="E7" s="47">
        <f t="shared" si="1"/>
        <v>216</v>
      </c>
      <c r="F7" s="47">
        <f t="shared" si="2"/>
        <v>1296</v>
      </c>
      <c r="G7" s="47">
        <f t="shared" si="3"/>
        <v>1320722.4</v>
      </c>
      <c r="H7" s="47">
        <f t="shared" si="4"/>
        <v>7924334.399999999</v>
      </c>
      <c r="I7" s="1"/>
      <c r="J7" s="132">
        <v>220120.4</v>
      </c>
      <c r="K7" s="127">
        <f t="shared" si="9"/>
        <v>215323.506848</v>
      </c>
      <c r="L7" s="169">
        <f t="shared" si="5"/>
        <v>4796.893152000004</v>
      </c>
      <c r="M7" s="244">
        <f t="shared" si="6"/>
        <v>4796.893152000004</v>
      </c>
      <c r="N7" s="177">
        <f t="shared" si="7"/>
        <v>23010183.911704537</v>
      </c>
      <c r="O7" s="215">
        <f t="shared" si="8"/>
        <v>0.021792133541461874</v>
      </c>
      <c r="P7" s="247">
        <f t="shared" si="10"/>
        <v>0.022032197840235027</v>
      </c>
    </row>
    <row r="8" spans="1:16" ht="15.75">
      <c r="A8" s="157" t="s">
        <v>6</v>
      </c>
      <c r="B8" s="45">
        <f t="shared" si="11"/>
        <v>7</v>
      </c>
      <c r="C8" s="51">
        <v>224857.6</v>
      </c>
      <c r="D8" s="47">
        <f t="shared" si="0"/>
        <v>49</v>
      </c>
      <c r="E8" s="47">
        <f t="shared" si="1"/>
        <v>343</v>
      </c>
      <c r="F8" s="47">
        <f t="shared" si="2"/>
        <v>2401</v>
      </c>
      <c r="G8" s="47">
        <f t="shared" si="3"/>
        <v>1574003.2</v>
      </c>
      <c r="H8" s="47">
        <f t="shared" si="4"/>
        <v>11018022.4</v>
      </c>
      <c r="I8" s="1"/>
      <c r="J8" s="132">
        <v>224857.6</v>
      </c>
      <c r="K8" s="127">
        <f t="shared" si="9"/>
        <v>228910.38648800002</v>
      </c>
      <c r="L8" s="169">
        <f t="shared" si="5"/>
        <v>-4052.7864880000125</v>
      </c>
      <c r="M8" s="244">
        <f t="shared" si="6"/>
        <v>4052.7864880000125</v>
      </c>
      <c r="N8" s="177">
        <f t="shared" si="7"/>
        <v>16425078.317315476</v>
      </c>
      <c r="O8" s="215">
        <f t="shared" si="8"/>
        <v>0.018023791448454545</v>
      </c>
      <c r="P8" s="247">
        <f t="shared" si="10"/>
        <v>0.017862813634637882</v>
      </c>
    </row>
    <row r="9" spans="1:16" ht="16.5" thickBot="1">
      <c r="A9" s="158" t="s">
        <v>7</v>
      </c>
      <c r="B9" s="52">
        <f t="shared" si="11"/>
        <v>8</v>
      </c>
      <c r="C9" s="53">
        <v>244498.9</v>
      </c>
      <c r="D9" s="49">
        <f t="shared" si="0"/>
        <v>64</v>
      </c>
      <c r="E9" s="49">
        <f t="shared" si="1"/>
        <v>512</v>
      </c>
      <c r="F9" s="49">
        <f t="shared" si="2"/>
        <v>4096</v>
      </c>
      <c r="G9" s="49">
        <f t="shared" si="3"/>
        <v>1955991.2</v>
      </c>
      <c r="H9" s="49">
        <f t="shared" si="4"/>
        <v>15647929.6</v>
      </c>
      <c r="I9" s="1"/>
      <c r="J9" s="133">
        <v>244498.9</v>
      </c>
      <c r="K9" s="129">
        <f t="shared" si="9"/>
        <v>243889.62444800002</v>
      </c>
      <c r="L9" s="171">
        <f t="shared" si="5"/>
        <v>609.2755519999773</v>
      </c>
      <c r="M9" s="244">
        <f t="shared" si="6"/>
        <v>609.2755519999773</v>
      </c>
      <c r="N9" s="182">
        <f t="shared" si="7"/>
        <v>371216.6982648771</v>
      </c>
      <c r="O9" s="216">
        <f t="shared" si="8"/>
        <v>0.002491935759220092</v>
      </c>
      <c r="P9" s="248">
        <f t="shared" si="10"/>
        <v>0.002495044504530935</v>
      </c>
    </row>
    <row r="10" spans="1:16" ht="15.75">
      <c r="A10" s="156" t="s">
        <v>8</v>
      </c>
      <c r="B10" s="45">
        <f t="shared" si="11"/>
        <v>9</v>
      </c>
      <c r="C10" s="50">
        <v>257013.4</v>
      </c>
      <c r="D10" s="42">
        <f t="shared" si="0"/>
        <v>81</v>
      </c>
      <c r="E10" s="42">
        <f t="shared" si="1"/>
        <v>729</v>
      </c>
      <c r="F10" s="42">
        <f t="shared" si="2"/>
        <v>6561</v>
      </c>
      <c r="G10" s="42">
        <f t="shared" si="3"/>
        <v>2313120.6</v>
      </c>
      <c r="H10" s="42">
        <f t="shared" si="4"/>
        <v>20818085.4</v>
      </c>
      <c r="I10" s="1"/>
      <c r="J10" s="131">
        <v>257013.4</v>
      </c>
      <c r="K10" s="128">
        <f>C$79+C$80*B10+C$81*D10+C$82*E10+C$83*F10</f>
        <v>260023.292768</v>
      </c>
      <c r="L10" s="170">
        <f t="shared" si="5"/>
        <v>-3009.8927680000197</v>
      </c>
      <c r="M10" s="214">
        <f t="shared" si="6"/>
        <v>3009.8927680000197</v>
      </c>
      <c r="N10" s="184">
        <f t="shared" si="7"/>
        <v>9059454.47485882</v>
      </c>
      <c r="O10" s="214">
        <f t="shared" si="8"/>
        <v>0.011711034397428382</v>
      </c>
      <c r="P10" s="246">
        <f>2*M10/ABS(J10+K10)</f>
        <v>0.01164285943377172</v>
      </c>
    </row>
    <row r="11" spans="1:16" ht="15.75">
      <c r="A11" s="157" t="s">
        <v>9</v>
      </c>
      <c r="B11" s="45">
        <f t="shared" si="11"/>
        <v>10</v>
      </c>
      <c r="C11" s="51">
        <v>268251.6</v>
      </c>
      <c r="D11" s="47">
        <f t="shared" si="0"/>
        <v>100</v>
      </c>
      <c r="E11" s="47">
        <f t="shared" si="1"/>
        <v>1000</v>
      </c>
      <c r="F11" s="47">
        <f t="shared" si="2"/>
        <v>10000</v>
      </c>
      <c r="G11" s="47">
        <f t="shared" si="3"/>
        <v>2682516</v>
      </c>
      <c r="H11" s="47">
        <f t="shared" si="4"/>
        <v>26825159.999999996</v>
      </c>
      <c r="I11" s="1"/>
      <c r="J11" s="132">
        <v>268251.6</v>
      </c>
      <c r="K11" s="127">
        <f t="shared" si="9"/>
        <v>277085.18</v>
      </c>
      <c r="L11" s="169">
        <f t="shared" si="5"/>
        <v>-8833.580000000016</v>
      </c>
      <c r="M11" s="215">
        <f t="shared" si="6"/>
        <v>8833.580000000016</v>
      </c>
      <c r="N11" s="184">
        <f t="shared" si="7"/>
        <v>78032135.61640029</v>
      </c>
      <c r="O11" s="215">
        <f t="shared" si="8"/>
        <v>0.032930204330561375</v>
      </c>
      <c r="P11" s="247">
        <f t="shared" si="10"/>
        <v>0.032396787907831986</v>
      </c>
    </row>
    <row r="12" spans="1:16" ht="15.75">
      <c r="A12" s="157" t="s">
        <v>10</v>
      </c>
      <c r="B12" s="45">
        <f t="shared" si="11"/>
        <v>11</v>
      </c>
      <c r="C12" s="51">
        <v>280707.7</v>
      </c>
      <c r="D12" s="47">
        <f t="shared" si="0"/>
        <v>121</v>
      </c>
      <c r="E12" s="47">
        <f t="shared" si="1"/>
        <v>1331</v>
      </c>
      <c r="F12" s="47">
        <f t="shared" si="2"/>
        <v>14641</v>
      </c>
      <c r="G12" s="47">
        <f t="shared" si="3"/>
        <v>3087784.7</v>
      </c>
      <c r="H12" s="47">
        <f t="shared" si="4"/>
        <v>33965631.7</v>
      </c>
      <c r="I12" s="1"/>
      <c r="J12" s="132">
        <v>280707.7</v>
      </c>
      <c r="K12" s="127">
        <f t="shared" si="9"/>
        <v>294860.79120800004</v>
      </c>
      <c r="L12" s="169">
        <f t="shared" si="5"/>
        <v>-14153.091208000027</v>
      </c>
      <c r="M12" s="215">
        <f t="shared" si="6"/>
        <v>14153.091208000027</v>
      </c>
      <c r="N12" s="184">
        <f t="shared" si="7"/>
        <v>200309990.74196768</v>
      </c>
      <c r="O12" s="215">
        <f t="shared" si="8"/>
        <v>0.050419319484289266</v>
      </c>
      <c r="P12" s="247">
        <f t="shared" si="10"/>
        <v>0.04917952050604992</v>
      </c>
    </row>
    <row r="13" spans="1:16" ht="16.5" thickBot="1">
      <c r="A13" s="158" t="s">
        <v>11</v>
      </c>
      <c r="B13" s="45">
        <f t="shared" si="11"/>
        <v>12</v>
      </c>
      <c r="C13" s="53">
        <v>306236.9</v>
      </c>
      <c r="D13" s="49">
        <f t="shared" si="0"/>
        <v>144</v>
      </c>
      <c r="E13" s="49">
        <f t="shared" si="1"/>
        <v>1728</v>
      </c>
      <c r="F13" s="49">
        <f t="shared" si="2"/>
        <v>20736</v>
      </c>
      <c r="G13" s="49">
        <f t="shared" si="3"/>
        <v>3674842.8000000003</v>
      </c>
      <c r="H13" s="49">
        <f t="shared" si="4"/>
        <v>44098113.6</v>
      </c>
      <c r="I13" s="1"/>
      <c r="J13" s="133">
        <v>306236.9</v>
      </c>
      <c r="K13" s="129">
        <f t="shared" si="9"/>
        <v>313147.347968</v>
      </c>
      <c r="L13" s="171">
        <f t="shared" si="5"/>
        <v>-6910.447967999964</v>
      </c>
      <c r="M13" s="216">
        <f t="shared" si="6"/>
        <v>6910.447967999964</v>
      </c>
      <c r="N13" s="184">
        <f t="shared" si="7"/>
        <v>47754291.11843483</v>
      </c>
      <c r="O13" s="216">
        <f t="shared" si="8"/>
        <v>0.02256569331782017</v>
      </c>
      <c r="P13" s="248">
        <f t="shared" si="10"/>
        <v>0.022313928682141708</v>
      </c>
    </row>
    <row r="14" spans="1:16" ht="15.75">
      <c r="A14" s="156" t="s">
        <v>12</v>
      </c>
      <c r="B14" s="43">
        <f t="shared" si="11"/>
        <v>13</v>
      </c>
      <c r="C14" s="50">
        <v>320848.6</v>
      </c>
      <c r="D14" s="42">
        <f t="shared" si="0"/>
        <v>169</v>
      </c>
      <c r="E14" s="42">
        <f t="shared" si="1"/>
        <v>2197</v>
      </c>
      <c r="F14" s="42">
        <f t="shared" si="2"/>
        <v>28561</v>
      </c>
      <c r="G14" s="42">
        <f t="shared" si="3"/>
        <v>4171031.8</v>
      </c>
      <c r="H14" s="42">
        <f t="shared" si="4"/>
        <v>54223413.4</v>
      </c>
      <c r="I14" s="1"/>
      <c r="J14" s="131">
        <v>320848.6</v>
      </c>
      <c r="K14" s="128">
        <f>C$79+C$80*B14+C$81*D14+C$82*E14+C$83*F14</f>
        <v>331753.788368</v>
      </c>
      <c r="L14" s="170">
        <f t="shared" si="5"/>
        <v>-10905.188368000032</v>
      </c>
      <c r="M14" s="244">
        <f t="shared" si="6"/>
        <v>10905.188368000032</v>
      </c>
      <c r="N14" s="181">
        <f t="shared" si="7"/>
        <v>118923133.3415632</v>
      </c>
      <c r="O14" s="214">
        <f t="shared" si="8"/>
        <v>0.03398858018392486</v>
      </c>
      <c r="P14" s="246">
        <f>2*M14/ABS(J14+K14)</f>
        <v>0.03342062046469446</v>
      </c>
    </row>
    <row r="15" spans="1:16" ht="15.75">
      <c r="A15" s="157" t="s">
        <v>13</v>
      </c>
      <c r="B15" s="45">
        <f t="shared" si="11"/>
        <v>14</v>
      </c>
      <c r="C15" s="51">
        <v>329595.1</v>
      </c>
      <c r="D15" s="47">
        <f t="shared" si="0"/>
        <v>196</v>
      </c>
      <c r="E15" s="47">
        <f t="shared" si="1"/>
        <v>2744</v>
      </c>
      <c r="F15" s="47">
        <f t="shared" si="2"/>
        <v>38416</v>
      </c>
      <c r="G15" s="47">
        <f t="shared" si="3"/>
        <v>4614331.399999999</v>
      </c>
      <c r="H15" s="47">
        <f t="shared" si="4"/>
        <v>64600639.599999994</v>
      </c>
      <c r="I15" s="1"/>
      <c r="J15" s="132">
        <v>329595.1</v>
      </c>
      <c r="K15" s="127">
        <f t="shared" si="9"/>
        <v>350500.767008</v>
      </c>
      <c r="L15" s="169">
        <f t="shared" si="5"/>
        <v>-20905.66700800002</v>
      </c>
      <c r="M15" s="244">
        <f t="shared" si="6"/>
        <v>20905.66700800002</v>
      </c>
      <c r="N15" s="177">
        <f t="shared" si="7"/>
        <v>437046913.0493804</v>
      </c>
      <c r="O15" s="215">
        <f t="shared" si="8"/>
        <v>0.06342833072457697</v>
      </c>
      <c r="P15" s="247">
        <f t="shared" si="10"/>
        <v>0.06147858859949257</v>
      </c>
    </row>
    <row r="16" spans="1:16" ht="15.75">
      <c r="A16" s="157" t="s">
        <v>14</v>
      </c>
      <c r="B16" s="45">
        <f t="shared" si="11"/>
        <v>15</v>
      </c>
      <c r="C16" s="51">
        <v>336112.3</v>
      </c>
      <c r="D16" s="47">
        <f t="shared" si="0"/>
        <v>225</v>
      </c>
      <c r="E16" s="47">
        <f t="shared" si="1"/>
        <v>3375</v>
      </c>
      <c r="F16" s="47">
        <f t="shared" si="2"/>
        <v>50625</v>
      </c>
      <c r="G16" s="47">
        <f t="shared" si="3"/>
        <v>5041684.5</v>
      </c>
      <c r="H16" s="47">
        <f t="shared" si="4"/>
        <v>75625267.5</v>
      </c>
      <c r="I16" s="1"/>
      <c r="J16" s="132">
        <v>336112.3</v>
      </c>
      <c r="K16" s="127">
        <f t="shared" si="9"/>
        <v>369220.655</v>
      </c>
      <c r="L16" s="169">
        <f t="shared" si="5"/>
        <v>-33108.35500000004</v>
      </c>
      <c r="M16" s="244">
        <f t="shared" si="6"/>
        <v>33108.35500000004</v>
      </c>
      <c r="N16" s="177">
        <f t="shared" si="7"/>
        <v>1096163170.8060277</v>
      </c>
      <c r="O16" s="215">
        <f t="shared" si="8"/>
        <v>0.0985038482673798</v>
      </c>
      <c r="P16" s="247">
        <f t="shared" si="10"/>
        <v>0.09388007398576757</v>
      </c>
    </row>
    <row r="17" spans="1:16" ht="16.5" thickBot="1">
      <c r="A17" s="158" t="s">
        <v>15</v>
      </c>
      <c r="B17" s="52">
        <f t="shared" si="11"/>
        <v>16</v>
      </c>
      <c r="C17" s="53">
        <v>365625.2</v>
      </c>
      <c r="D17" s="49">
        <f t="shared" si="0"/>
        <v>256</v>
      </c>
      <c r="E17" s="49">
        <f t="shared" si="1"/>
        <v>4096</v>
      </c>
      <c r="F17" s="49">
        <f t="shared" si="2"/>
        <v>65536</v>
      </c>
      <c r="G17" s="49">
        <f t="shared" si="3"/>
        <v>5850003.2</v>
      </c>
      <c r="H17" s="49">
        <f t="shared" si="4"/>
        <v>93600051.2</v>
      </c>
      <c r="I17" s="1"/>
      <c r="J17" s="133">
        <v>365625.2</v>
      </c>
      <c r="K17" s="129">
        <f t="shared" si="9"/>
        <v>387757.53996799997</v>
      </c>
      <c r="L17" s="171">
        <f t="shared" si="5"/>
        <v>-22132.339967999957</v>
      </c>
      <c r="M17" s="244">
        <f t="shared" si="6"/>
        <v>22132.339967999957</v>
      </c>
      <c r="N17" s="182">
        <f t="shared" si="7"/>
        <v>489840472.4591283</v>
      </c>
      <c r="O17" s="216">
        <f t="shared" si="8"/>
        <v>0.06053286252698106</v>
      </c>
      <c r="P17" s="248">
        <f t="shared" si="10"/>
        <v>0.05875457133233509</v>
      </c>
    </row>
    <row r="18" spans="1:16" ht="15.75">
      <c r="A18" s="156" t="s">
        <v>16</v>
      </c>
      <c r="B18" s="45">
        <f t="shared" si="11"/>
        <v>17</v>
      </c>
      <c r="C18" s="50">
        <v>414840.1</v>
      </c>
      <c r="D18" s="42">
        <f t="shared" si="0"/>
        <v>289</v>
      </c>
      <c r="E18" s="42">
        <f t="shared" si="1"/>
        <v>4913</v>
      </c>
      <c r="F18" s="42">
        <f t="shared" si="2"/>
        <v>83521</v>
      </c>
      <c r="G18" s="42">
        <f t="shared" si="3"/>
        <v>7052281.699999999</v>
      </c>
      <c r="H18" s="42">
        <f t="shared" si="4"/>
        <v>119888788.89999999</v>
      </c>
      <c r="I18" s="1"/>
      <c r="J18" s="131">
        <v>414840.1</v>
      </c>
      <c r="K18" s="128">
        <f>C$79+C$80*B18+C$81*D18+C$82*E18+C$83*F18</f>
        <v>405967.22604800004</v>
      </c>
      <c r="L18" s="170">
        <f t="shared" si="5"/>
        <v>8872.873951999936</v>
      </c>
      <c r="M18" s="214">
        <f t="shared" si="6"/>
        <v>8872.873951999936</v>
      </c>
      <c r="N18" s="184">
        <f t="shared" si="7"/>
        <v>78727892.16807897</v>
      </c>
      <c r="O18" s="214">
        <f t="shared" si="8"/>
        <v>0.021388660238004804</v>
      </c>
      <c r="P18" s="246">
        <f>2*M18/ABS(J18+K18)</f>
        <v>0.02161987026777843</v>
      </c>
    </row>
    <row r="19" spans="1:16" ht="15.75">
      <c r="A19" s="157" t="s">
        <v>17</v>
      </c>
      <c r="B19" s="45">
        <f t="shared" si="11"/>
        <v>18</v>
      </c>
      <c r="C19" s="51">
        <v>441183</v>
      </c>
      <c r="D19" s="47">
        <f t="shared" si="0"/>
        <v>324</v>
      </c>
      <c r="E19" s="47">
        <f t="shared" si="1"/>
        <v>5832</v>
      </c>
      <c r="F19" s="47">
        <f t="shared" si="2"/>
        <v>104976</v>
      </c>
      <c r="G19" s="47">
        <f t="shared" si="3"/>
        <v>7941294</v>
      </c>
      <c r="H19" s="47">
        <f t="shared" si="4"/>
        <v>142943292</v>
      </c>
      <c r="I19" s="1"/>
      <c r="J19" s="132">
        <v>441183</v>
      </c>
      <c r="K19" s="127">
        <f t="shared" si="9"/>
        <v>423717.233888</v>
      </c>
      <c r="L19" s="169">
        <f t="shared" si="5"/>
        <v>17465.766111999983</v>
      </c>
      <c r="M19" s="215">
        <f t="shared" si="6"/>
        <v>17465.766111999983</v>
      </c>
      <c r="N19" s="184">
        <f t="shared" si="7"/>
        <v>305052985.87908703</v>
      </c>
      <c r="O19" s="215">
        <f t="shared" si="8"/>
        <v>0.039588483944304254</v>
      </c>
      <c r="P19" s="247">
        <f t="shared" si="10"/>
        <v>0.04038793245201436</v>
      </c>
    </row>
    <row r="20" spans="1:16" ht="15.75">
      <c r="A20" s="157" t="s">
        <v>18</v>
      </c>
      <c r="B20" s="45">
        <f t="shared" si="11"/>
        <v>19</v>
      </c>
      <c r="C20" s="51">
        <v>443649.1</v>
      </c>
      <c r="D20" s="47">
        <f t="shared" si="0"/>
        <v>361</v>
      </c>
      <c r="E20" s="47">
        <f t="shared" si="1"/>
        <v>6859</v>
      </c>
      <c r="F20" s="47">
        <f t="shared" si="2"/>
        <v>130321</v>
      </c>
      <c r="G20" s="47">
        <f t="shared" si="3"/>
        <v>8429332.9</v>
      </c>
      <c r="H20" s="47">
        <f t="shared" si="4"/>
        <v>160157325.1</v>
      </c>
      <c r="I20" s="1"/>
      <c r="J20" s="132">
        <v>443649.1</v>
      </c>
      <c r="K20" s="127">
        <f t="shared" si="9"/>
        <v>440886.80064800003</v>
      </c>
      <c r="L20" s="169">
        <f t="shared" si="5"/>
        <v>2762.2993519999436</v>
      </c>
      <c r="M20" s="215">
        <f t="shared" si="6"/>
        <v>2762.2993519999436</v>
      </c>
      <c r="N20" s="184">
        <f t="shared" si="7"/>
        <v>7630297.710059308</v>
      </c>
      <c r="O20" s="215">
        <f t="shared" si="8"/>
        <v>0.0062263156895842765</v>
      </c>
      <c r="P20" s="247">
        <f t="shared" si="10"/>
        <v>0.0062457597254703115</v>
      </c>
    </row>
    <row r="21" spans="1:16" ht="16.5" thickBot="1">
      <c r="A21" s="158" t="s">
        <v>19</v>
      </c>
      <c r="B21" s="45">
        <f t="shared" si="11"/>
        <v>20</v>
      </c>
      <c r="C21" s="53">
        <v>473921.5</v>
      </c>
      <c r="D21" s="49">
        <f t="shared" si="0"/>
        <v>400</v>
      </c>
      <c r="E21" s="49">
        <f t="shared" si="1"/>
        <v>8000</v>
      </c>
      <c r="F21" s="49">
        <f t="shared" si="2"/>
        <v>160000</v>
      </c>
      <c r="G21" s="49">
        <f t="shared" si="3"/>
        <v>9478430</v>
      </c>
      <c r="H21" s="49">
        <f t="shared" si="4"/>
        <v>189568600</v>
      </c>
      <c r="I21" s="1"/>
      <c r="J21" s="133">
        <v>473921.5</v>
      </c>
      <c r="K21" s="129">
        <f t="shared" si="9"/>
        <v>457366.87999999995</v>
      </c>
      <c r="L21" s="171">
        <f t="shared" si="5"/>
        <v>16554.620000000054</v>
      </c>
      <c r="M21" s="216">
        <f t="shared" si="6"/>
        <v>16554.620000000054</v>
      </c>
      <c r="N21" s="184">
        <f t="shared" si="7"/>
        <v>274055443.3444018</v>
      </c>
      <c r="O21" s="216">
        <f t="shared" si="8"/>
        <v>0.03493114365986783</v>
      </c>
      <c r="P21" s="248">
        <f t="shared" si="10"/>
        <v>0.035552081085775074</v>
      </c>
    </row>
    <row r="22" spans="1:16" ht="15.75">
      <c r="A22" s="156" t="s">
        <v>20</v>
      </c>
      <c r="B22" s="43">
        <f t="shared" si="11"/>
        <v>21</v>
      </c>
      <c r="C22" s="50">
        <v>493387.1</v>
      </c>
      <c r="D22" s="42">
        <f t="shared" si="0"/>
        <v>441</v>
      </c>
      <c r="E22" s="42">
        <f t="shared" si="1"/>
        <v>9261</v>
      </c>
      <c r="F22" s="42">
        <f t="shared" si="2"/>
        <v>194481</v>
      </c>
      <c r="G22" s="42">
        <f t="shared" si="3"/>
        <v>10361129.1</v>
      </c>
      <c r="H22" s="42">
        <f t="shared" si="4"/>
        <v>217583711.1</v>
      </c>
      <c r="I22" s="1"/>
      <c r="J22" s="131">
        <v>493387.1</v>
      </c>
      <c r="K22" s="128">
        <f>C$79+C$80*B22+C$81*D22+C$82*E22+C$83*F22</f>
        <v>473060.14212800004</v>
      </c>
      <c r="L22" s="170">
        <f t="shared" si="5"/>
        <v>20326.95787199994</v>
      </c>
      <c r="M22" s="244">
        <f t="shared" si="6"/>
        <v>20326.95787199994</v>
      </c>
      <c r="N22" s="181">
        <f t="shared" si="7"/>
        <v>413185216.33006036</v>
      </c>
      <c r="O22" s="214">
        <f t="shared" si="8"/>
        <v>0.041198802871011304</v>
      </c>
      <c r="P22" s="246">
        <f>2*M22/ABS(J22+K22)</f>
        <v>0.042065323353279865</v>
      </c>
    </row>
    <row r="23" spans="1:16" ht="15.75">
      <c r="A23" s="157" t="s">
        <v>21</v>
      </c>
      <c r="B23" s="45">
        <f t="shared" si="11"/>
        <v>22</v>
      </c>
      <c r="C23" s="51">
        <v>512073.8</v>
      </c>
      <c r="D23" s="47">
        <f t="shared" si="0"/>
        <v>484</v>
      </c>
      <c r="E23" s="47">
        <f t="shared" si="1"/>
        <v>10648</v>
      </c>
      <c r="F23" s="47">
        <f t="shared" si="2"/>
        <v>234256</v>
      </c>
      <c r="G23" s="47">
        <f t="shared" si="3"/>
        <v>11265623.6</v>
      </c>
      <c r="H23" s="47">
        <f t="shared" si="4"/>
        <v>247843719.2</v>
      </c>
      <c r="I23" s="1"/>
      <c r="J23" s="132">
        <v>512073.8</v>
      </c>
      <c r="K23" s="127">
        <f t="shared" si="9"/>
        <v>487880.97372800007</v>
      </c>
      <c r="L23" s="169">
        <f t="shared" si="5"/>
        <v>24192.82627199992</v>
      </c>
      <c r="M23" s="244">
        <f t="shared" si="6"/>
        <v>24192.82627199992</v>
      </c>
      <c r="N23" s="177">
        <f t="shared" si="7"/>
        <v>585292843.0271695</v>
      </c>
      <c r="O23" s="215">
        <f t="shared" si="8"/>
        <v>0.04724480391693525</v>
      </c>
      <c r="P23" s="247">
        <f t="shared" si="10"/>
        <v>0.04838784094565594</v>
      </c>
    </row>
    <row r="24" spans="1:16" ht="15.75">
      <c r="A24" s="157" t="s">
        <v>22</v>
      </c>
      <c r="B24" s="45">
        <f t="shared" si="11"/>
        <v>23</v>
      </c>
      <c r="C24" s="51">
        <v>527451.8</v>
      </c>
      <c r="D24" s="47">
        <f t="shared" si="0"/>
        <v>529</v>
      </c>
      <c r="E24" s="47">
        <f t="shared" si="1"/>
        <v>12167</v>
      </c>
      <c r="F24" s="47">
        <f t="shared" si="2"/>
        <v>279841</v>
      </c>
      <c r="G24" s="47">
        <f t="shared" si="3"/>
        <v>12131391.4</v>
      </c>
      <c r="H24" s="47">
        <f t="shared" si="4"/>
        <v>279022002.20000005</v>
      </c>
      <c r="I24" s="1"/>
      <c r="J24" s="132">
        <v>527451.8</v>
      </c>
      <c r="K24" s="127">
        <f t="shared" si="9"/>
        <v>501755.478008</v>
      </c>
      <c r="L24" s="169">
        <f t="shared" si="5"/>
        <v>25696.32199200004</v>
      </c>
      <c r="M24" s="244">
        <f t="shared" si="6"/>
        <v>25696.32199200004</v>
      </c>
      <c r="N24" s="177">
        <f t="shared" si="7"/>
        <v>660300963.9165449</v>
      </c>
      <c r="O24" s="215">
        <f t="shared" si="8"/>
        <v>0.04871785818533568</v>
      </c>
      <c r="P24" s="247">
        <f t="shared" si="10"/>
        <v>0.04993420186793569</v>
      </c>
    </row>
    <row r="25" spans="1:16" ht="16.5" thickBot="1">
      <c r="A25" s="158" t="s">
        <v>23</v>
      </c>
      <c r="B25" s="52">
        <f t="shared" si="11"/>
        <v>24</v>
      </c>
      <c r="C25" s="53">
        <v>549745.5</v>
      </c>
      <c r="D25" s="49">
        <f t="shared" si="0"/>
        <v>576</v>
      </c>
      <c r="E25" s="49">
        <f t="shared" si="1"/>
        <v>13824</v>
      </c>
      <c r="F25" s="49">
        <f t="shared" si="2"/>
        <v>331776</v>
      </c>
      <c r="G25" s="49">
        <f t="shared" si="3"/>
        <v>13193892</v>
      </c>
      <c r="H25" s="49">
        <f t="shared" si="4"/>
        <v>316653408</v>
      </c>
      <c r="I25" s="1"/>
      <c r="J25" s="133">
        <v>549745.5</v>
      </c>
      <c r="K25" s="129">
        <f t="shared" si="9"/>
        <v>514621.47468800005</v>
      </c>
      <c r="L25" s="171">
        <f t="shared" si="5"/>
        <v>35124.025311999954</v>
      </c>
      <c r="M25" s="244">
        <f t="shared" si="6"/>
        <v>35124.025311999954</v>
      </c>
      <c r="N25" s="182">
        <f t="shared" si="7"/>
        <v>1233697154.1180134</v>
      </c>
      <c r="O25" s="216">
        <f t="shared" si="8"/>
        <v>0.0638914285101014</v>
      </c>
      <c r="P25" s="248">
        <f t="shared" si="10"/>
        <v>0.06599984055742791</v>
      </c>
    </row>
    <row r="26" spans="1:16" ht="15.75">
      <c r="A26" s="156" t="s">
        <v>24</v>
      </c>
      <c r="B26" s="43">
        <f t="shared" si="11"/>
        <v>25</v>
      </c>
      <c r="C26" s="50">
        <v>559644.4</v>
      </c>
      <c r="D26" s="42">
        <f t="shared" si="0"/>
        <v>625</v>
      </c>
      <c r="E26" s="42">
        <f t="shared" si="1"/>
        <v>15625</v>
      </c>
      <c r="F26" s="42">
        <f t="shared" si="2"/>
        <v>390625</v>
      </c>
      <c r="G26" s="42">
        <f t="shared" si="3"/>
        <v>13991110</v>
      </c>
      <c r="H26" s="42">
        <f t="shared" si="4"/>
        <v>349777750</v>
      </c>
      <c r="I26" s="1"/>
      <c r="J26" s="131">
        <v>559644.4</v>
      </c>
      <c r="K26" s="128">
        <f>C$79+C$80*B26+C$81*D26+C$82*E26+C$83*F26</f>
        <v>526428.5</v>
      </c>
      <c r="L26" s="170">
        <f t="shared" si="5"/>
        <v>33215.90000000002</v>
      </c>
      <c r="M26" s="214">
        <f t="shared" si="6"/>
        <v>33215.90000000002</v>
      </c>
      <c r="N26" s="184">
        <f t="shared" si="7"/>
        <v>1103296012.8100016</v>
      </c>
      <c r="O26" s="214">
        <f t="shared" si="8"/>
        <v>0.05935179553302065</v>
      </c>
      <c r="P26" s="246">
        <f>2*M26/ABS(J26+K26)</f>
        <v>0.06116698059586981</v>
      </c>
    </row>
    <row r="27" spans="1:16" ht="15.75">
      <c r="A27" s="157" t="s">
        <v>25</v>
      </c>
      <c r="B27" s="45">
        <f t="shared" si="11"/>
        <v>26</v>
      </c>
      <c r="C27" s="51">
        <v>554565.3</v>
      </c>
      <c r="D27" s="47">
        <f t="shared" si="0"/>
        <v>676</v>
      </c>
      <c r="E27" s="47">
        <f t="shared" si="1"/>
        <v>17576</v>
      </c>
      <c r="F27" s="47">
        <f t="shared" si="2"/>
        <v>456976</v>
      </c>
      <c r="G27" s="47">
        <f t="shared" si="3"/>
        <v>14418697.8</v>
      </c>
      <c r="H27" s="47">
        <f t="shared" si="4"/>
        <v>374886142.8</v>
      </c>
      <c r="I27" s="1"/>
      <c r="J27" s="132">
        <v>554565.3</v>
      </c>
      <c r="K27" s="127">
        <f t="shared" si="9"/>
        <v>537137.806688</v>
      </c>
      <c r="L27" s="169">
        <f t="shared" si="5"/>
        <v>17427.493312000064</v>
      </c>
      <c r="M27" s="215">
        <f t="shared" si="6"/>
        <v>17427.493312000064</v>
      </c>
      <c r="N27" s="184">
        <f t="shared" si="7"/>
        <v>303717523.139807</v>
      </c>
      <c r="O27" s="215">
        <f t="shared" si="8"/>
        <v>0.03142550266307694</v>
      </c>
      <c r="P27" s="247">
        <f t="shared" si="10"/>
        <v>0.03192716628767587</v>
      </c>
    </row>
    <row r="28" spans="1:16" ht="15.75">
      <c r="A28" s="157" t="s">
        <v>26</v>
      </c>
      <c r="B28" s="45">
        <f t="shared" si="11"/>
        <v>27</v>
      </c>
      <c r="C28" s="51">
        <v>542409.4</v>
      </c>
      <c r="D28" s="47">
        <f t="shared" si="0"/>
        <v>729</v>
      </c>
      <c r="E28" s="47">
        <f t="shared" si="1"/>
        <v>19683</v>
      </c>
      <c r="F28" s="47">
        <f t="shared" si="2"/>
        <v>531441</v>
      </c>
      <c r="G28" s="47">
        <f t="shared" si="3"/>
        <v>14645053.8</v>
      </c>
      <c r="H28" s="47">
        <f t="shared" si="4"/>
        <v>395416452.6</v>
      </c>
      <c r="I28" s="1"/>
      <c r="J28" s="132">
        <v>542409.4</v>
      </c>
      <c r="K28" s="127">
        <f t="shared" si="9"/>
        <v>546722.3640079999</v>
      </c>
      <c r="L28" s="169">
        <f t="shared" si="5"/>
        <v>-4312.964007999864</v>
      </c>
      <c r="M28" s="215">
        <f t="shared" si="6"/>
        <v>4312.964007999864</v>
      </c>
      <c r="N28" s="184">
        <f t="shared" si="7"/>
        <v>18601658.534302253</v>
      </c>
      <c r="O28" s="215">
        <f t="shared" si="8"/>
        <v>0.007951492005853631</v>
      </c>
      <c r="P28" s="247">
        <f t="shared" si="10"/>
        <v>0.0079200040812843</v>
      </c>
    </row>
    <row r="29" spans="1:16" ht="16.5" thickBot="1">
      <c r="A29" s="158" t="s">
        <v>27</v>
      </c>
      <c r="B29" s="52">
        <f t="shared" si="11"/>
        <v>28</v>
      </c>
      <c r="C29" s="53">
        <v>536933.7</v>
      </c>
      <c r="D29" s="49">
        <f t="shared" si="0"/>
        <v>784</v>
      </c>
      <c r="E29" s="49">
        <f t="shared" si="1"/>
        <v>21952</v>
      </c>
      <c r="F29" s="49">
        <f t="shared" si="2"/>
        <v>614656</v>
      </c>
      <c r="G29" s="49">
        <f t="shared" si="3"/>
        <v>15034143.599999998</v>
      </c>
      <c r="H29" s="49">
        <f t="shared" si="4"/>
        <v>420956020.79999995</v>
      </c>
      <c r="I29" s="1"/>
      <c r="J29" s="133">
        <v>536933.7</v>
      </c>
      <c r="K29" s="129">
        <f t="shared" si="9"/>
        <v>555166.8577279999</v>
      </c>
      <c r="L29" s="171">
        <f t="shared" si="5"/>
        <v>-18233.157727999962</v>
      </c>
      <c r="M29" s="216">
        <f t="shared" si="6"/>
        <v>18233.157727999962</v>
      </c>
      <c r="N29" s="184">
        <f t="shared" si="7"/>
        <v>332448040.7341247</v>
      </c>
      <c r="O29" s="216">
        <f t="shared" si="8"/>
        <v>0.033957931357260614</v>
      </c>
      <c r="P29" s="248">
        <f t="shared" si="10"/>
        <v>0.033390986936097024</v>
      </c>
    </row>
    <row r="30" spans="1:16" ht="15.75">
      <c r="A30" s="156" t="s">
        <v>28</v>
      </c>
      <c r="B30" s="43">
        <f t="shared" si="11"/>
        <v>29</v>
      </c>
      <c r="C30" s="50">
        <v>548175</v>
      </c>
      <c r="D30" s="42">
        <f t="shared" si="0"/>
        <v>841</v>
      </c>
      <c r="E30" s="42">
        <f t="shared" si="1"/>
        <v>24389</v>
      </c>
      <c r="F30" s="42">
        <f t="shared" si="2"/>
        <v>707281</v>
      </c>
      <c r="G30" s="42">
        <f t="shared" si="3"/>
        <v>15897075</v>
      </c>
      <c r="H30" s="42">
        <f t="shared" si="4"/>
        <v>461015175</v>
      </c>
      <c r="I30" s="1"/>
      <c r="J30" s="131">
        <v>548175</v>
      </c>
      <c r="K30" s="128">
        <f>C$79+C$80*B30+C$81*D30+C$82*E30+C$83*F30</f>
        <v>562467.690128</v>
      </c>
      <c r="L30" s="170">
        <f t="shared" si="5"/>
        <v>-14292.690127999987</v>
      </c>
      <c r="M30" s="244">
        <f t="shared" si="6"/>
        <v>14292.690127999987</v>
      </c>
      <c r="N30" s="181">
        <f t="shared" si="7"/>
        <v>204280991.0950283</v>
      </c>
      <c r="O30" s="214">
        <f t="shared" si="8"/>
        <v>0.02607322502485518</v>
      </c>
      <c r="P30" s="246">
        <f>2*M30/ABS(J30+K30)</f>
        <v>0.025737692698185002</v>
      </c>
    </row>
    <row r="31" spans="1:16" ht="15.75">
      <c r="A31" s="157" t="s">
        <v>29</v>
      </c>
      <c r="B31" s="45">
        <f t="shared" si="11"/>
        <v>30</v>
      </c>
      <c r="C31" s="51">
        <v>543395.4</v>
      </c>
      <c r="D31" s="47">
        <f t="shared" si="0"/>
        <v>900</v>
      </c>
      <c r="E31" s="47">
        <f t="shared" si="1"/>
        <v>27000</v>
      </c>
      <c r="F31" s="47">
        <f t="shared" si="2"/>
        <v>810000</v>
      </c>
      <c r="G31" s="47">
        <f t="shared" si="3"/>
        <v>16301862</v>
      </c>
      <c r="H31" s="47">
        <f t="shared" si="4"/>
        <v>489055860</v>
      </c>
      <c r="I31" s="1"/>
      <c r="J31" s="132">
        <v>543395.4</v>
      </c>
      <c r="K31" s="127">
        <f t="shared" si="9"/>
        <v>568632.98</v>
      </c>
      <c r="L31" s="169">
        <f t="shared" si="5"/>
        <v>-25237.579999999958</v>
      </c>
      <c r="M31" s="244">
        <f t="shared" si="6"/>
        <v>25237.579999999958</v>
      </c>
      <c r="N31" s="177">
        <f t="shared" si="7"/>
        <v>636935444.2563978</v>
      </c>
      <c r="O31" s="215">
        <f t="shared" si="8"/>
        <v>0.046444228272819306</v>
      </c>
      <c r="P31" s="247">
        <f t="shared" si="10"/>
        <v>0.04539017250620881</v>
      </c>
    </row>
    <row r="32" spans="1:16" ht="15.75">
      <c r="A32" s="157" t="s">
        <v>30</v>
      </c>
      <c r="B32" s="45">
        <f t="shared" si="11"/>
        <v>31</v>
      </c>
      <c r="C32" s="51">
        <v>547678.9</v>
      </c>
      <c r="D32" s="47">
        <f t="shared" si="0"/>
        <v>961</v>
      </c>
      <c r="E32" s="47">
        <f t="shared" si="1"/>
        <v>29791</v>
      </c>
      <c r="F32" s="47">
        <f t="shared" si="2"/>
        <v>923521</v>
      </c>
      <c r="G32" s="47">
        <f t="shared" si="3"/>
        <v>16978045.900000002</v>
      </c>
      <c r="H32" s="47">
        <f t="shared" si="4"/>
        <v>526319422.90000004</v>
      </c>
      <c r="I32" s="1"/>
      <c r="J32" s="132">
        <v>547678.9</v>
      </c>
      <c r="K32" s="127">
        <f t="shared" si="9"/>
        <v>573682.562648</v>
      </c>
      <c r="L32" s="169">
        <f t="shared" si="5"/>
        <v>-26003.66264799994</v>
      </c>
      <c r="M32" s="244">
        <f t="shared" si="6"/>
        <v>26003.66264799994</v>
      </c>
      <c r="N32" s="177">
        <f t="shared" si="7"/>
        <v>676190471.1109872</v>
      </c>
      <c r="O32" s="215">
        <f t="shared" si="8"/>
        <v>0.04747975985198615</v>
      </c>
      <c r="P32" s="247">
        <f t="shared" si="10"/>
        <v>0.04637873426931311</v>
      </c>
    </row>
    <row r="33" spans="1:16" ht="16.5" thickBot="1">
      <c r="A33" s="158" t="s">
        <v>31</v>
      </c>
      <c r="B33" s="52">
        <f t="shared" si="11"/>
        <v>32</v>
      </c>
      <c r="C33" s="53">
        <v>549152.9</v>
      </c>
      <c r="D33" s="49">
        <f t="shared" si="0"/>
        <v>1024</v>
      </c>
      <c r="E33" s="49">
        <f t="shared" si="1"/>
        <v>32768</v>
      </c>
      <c r="F33" s="49">
        <f t="shared" si="2"/>
        <v>1048576</v>
      </c>
      <c r="G33" s="49">
        <f t="shared" si="3"/>
        <v>17572892.8</v>
      </c>
      <c r="H33" s="49">
        <f t="shared" si="4"/>
        <v>562332569.6</v>
      </c>
      <c r="I33" s="1"/>
      <c r="J33" s="133">
        <v>549152.9</v>
      </c>
      <c r="K33" s="129">
        <f t="shared" si="9"/>
        <v>577647.9898880001</v>
      </c>
      <c r="L33" s="171">
        <f t="shared" si="5"/>
        <v>-28495.089888000046</v>
      </c>
      <c r="M33" s="244">
        <f t="shared" si="6"/>
        <v>28495.089888000046</v>
      </c>
      <c r="N33" s="182">
        <f t="shared" si="7"/>
        <v>811970147.7252024</v>
      </c>
      <c r="O33" s="216">
        <f t="shared" si="8"/>
        <v>0.051889173102791675</v>
      </c>
      <c r="P33" s="248">
        <f t="shared" si="10"/>
        <v>0.05057697441263532</v>
      </c>
    </row>
    <row r="34" spans="1:16" ht="15.75">
      <c r="A34" s="156" t="s">
        <v>32</v>
      </c>
      <c r="B34" s="45">
        <f t="shared" si="11"/>
        <v>33</v>
      </c>
      <c r="C34" s="50">
        <v>568758.9</v>
      </c>
      <c r="D34" s="42">
        <f aca="true" t="shared" si="12" ref="D34:D61">B34^2</f>
        <v>1089</v>
      </c>
      <c r="E34" s="42">
        <f aca="true" t="shared" si="13" ref="E34:E58">B34*D34</f>
        <v>35937</v>
      </c>
      <c r="F34" s="42">
        <f aca="true" t="shared" si="14" ref="F34:F58">D34^2</f>
        <v>1185921</v>
      </c>
      <c r="G34" s="42">
        <f aca="true" t="shared" si="15" ref="G34:G58">B34*C34</f>
        <v>18769043.7</v>
      </c>
      <c r="H34" s="42">
        <f aca="true" t="shared" si="16" ref="H34:H58">D34*C34</f>
        <v>619378442.1</v>
      </c>
      <c r="I34" s="1"/>
      <c r="J34" s="131">
        <v>568758.9</v>
      </c>
      <c r="K34" s="128">
        <f>C$79+C$80*B34+C$81*D34+C$82*E34+C$83*F34</f>
        <v>580572.5300479999</v>
      </c>
      <c r="L34" s="170">
        <f aca="true" t="shared" si="17" ref="L34:L58">J34-K34</f>
        <v>-11813.630047999904</v>
      </c>
      <c r="M34" s="214">
        <f aca="true" t="shared" si="18" ref="M34:M61">ABS(L34)</f>
        <v>11813.630047999904</v>
      </c>
      <c r="N34" s="184">
        <f aca="true" t="shared" si="19" ref="N34:N61">L34*L34</f>
        <v>139561854.9110062</v>
      </c>
      <c r="O34" s="214">
        <f aca="true" t="shared" si="20" ref="O34:O58">M34/J34</f>
        <v>0.020770892636580992</v>
      </c>
      <c r="P34" s="246">
        <f>2*M34/ABS(J34+K34)</f>
        <v>0.020557394915244817</v>
      </c>
    </row>
    <row r="35" spans="1:16" ht="15.75">
      <c r="A35" s="157" t="s">
        <v>33</v>
      </c>
      <c r="B35" s="45">
        <f t="shared" si="11"/>
        <v>34</v>
      </c>
      <c r="C35" s="51">
        <v>583195.2</v>
      </c>
      <c r="D35" s="47">
        <f t="shared" si="12"/>
        <v>1156</v>
      </c>
      <c r="E35" s="47">
        <f t="shared" si="13"/>
        <v>39304</v>
      </c>
      <c r="F35" s="47">
        <f t="shared" si="14"/>
        <v>1336336</v>
      </c>
      <c r="G35" s="47">
        <f t="shared" si="15"/>
        <v>19828636.799999997</v>
      </c>
      <c r="H35" s="47">
        <f t="shared" si="16"/>
        <v>674173651.1999999</v>
      </c>
      <c r="I35" s="1"/>
      <c r="J35" s="132">
        <v>583195.2</v>
      </c>
      <c r="K35" s="127">
        <f t="shared" si="9"/>
        <v>582511.1679679999</v>
      </c>
      <c r="L35" s="169">
        <f t="shared" si="17"/>
        <v>684.0320320000174</v>
      </c>
      <c r="M35" s="215">
        <f t="shared" si="18"/>
        <v>684.0320320000174</v>
      </c>
      <c r="N35" s="184">
        <f t="shared" si="19"/>
        <v>467899.82080207276</v>
      </c>
      <c r="O35" s="215">
        <f t="shared" si="20"/>
        <v>0.001172904084258611</v>
      </c>
      <c r="P35" s="247">
        <f t="shared" si="10"/>
        <v>0.0011735923398829625</v>
      </c>
    </row>
    <row r="36" spans="1:16" ht="15.75">
      <c r="A36" s="157" t="s">
        <v>34</v>
      </c>
      <c r="B36" s="45">
        <f aca="true" t="shared" si="21" ref="B36:B58">B35+1</f>
        <v>35</v>
      </c>
      <c r="C36" s="51">
        <v>589675.9</v>
      </c>
      <c r="D36" s="47">
        <f t="shared" si="12"/>
        <v>1225</v>
      </c>
      <c r="E36" s="47">
        <f t="shared" si="13"/>
        <v>42875</v>
      </c>
      <c r="F36" s="47">
        <f t="shared" si="14"/>
        <v>1500625</v>
      </c>
      <c r="G36" s="47">
        <f t="shared" si="15"/>
        <v>20638656.5</v>
      </c>
      <c r="H36" s="47">
        <f t="shared" si="16"/>
        <v>722352977.5</v>
      </c>
      <c r="I36" s="1"/>
      <c r="J36" s="132">
        <v>589675.9</v>
      </c>
      <c r="K36" s="127">
        <f t="shared" si="9"/>
        <v>583530.6050000003</v>
      </c>
      <c r="L36" s="169">
        <f t="shared" si="17"/>
        <v>6145.294999999693</v>
      </c>
      <c r="M36" s="215">
        <f t="shared" si="18"/>
        <v>6145.294999999693</v>
      </c>
      <c r="N36" s="184">
        <f t="shared" si="19"/>
        <v>37764650.63702122</v>
      </c>
      <c r="O36" s="215">
        <f t="shared" si="20"/>
        <v>0.01042147898532006</v>
      </c>
      <c r="P36" s="247">
        <f t="shared" si="10"/>
        <v>0.010476067041581381</v>
      </c>
    </row>
    <row r="37" spans="1:16" ht="16.5" thickBot="1">
      <c r="A37" s="158" t="s">
        <v>35</v>
      </c>
      <c r="B37" s="45">
        <f t="shared" si="21"/>
        <v>36</v>
      </c>
      <c r="C37" s="53">
        <v>595970.9</v>
      </c>
      <c r="D37" s="49">
        <f t="shared" si="12"/>
        <v>1296</v>
      </c>
      <c r="E37" s="49">
        <f t="shared" si="13"/>
        <v>46656</v>
      </c>
      <c r="F37" s="49">
        <f t="shared" si="14"/>
        <v>1679616</v>
      </c>
      <c r="G37" s="49">
        <f t="shared" si="15"/>
        <v>21454952.400000002</v>
      </c>
      <c r="H37" s="49">
        <f t="shared" si="16"/>
        <v>772378286.4</v>
      </c>
      <c r="I37" s="1"/>
      <c r="J37" s="133">
        <v>595970.9</v>
      </c>
      <c r="K37" s="129">
        <f t="shared" si="9"/>
        <v>583709.259008</v>
      </c>
      <c r="L37" s="171">
        <f t="shared" si="17"/>
        <v>12261.640992</v>
      </c>
      <c r="M37" s="216">
        <f t="shared" si="18"/>
        <v>12261.640992</v>
      </c>
      <c r="N37" s="184">
        <f t="shared" si="19"/>
        <v>150347839.81669477</v>
      </c>
      <c r="O37" s="216">
        <f t="shared" si="20"/>
        <v>0.020574227687962618</v>
      </c>
      <c r="P37" s="248">
        <f t="shared" si="10"/>
        <v>0.020788077002686704</v>
      </c>
    </row>
    <row r="38" spans="1:16" ht="15.75">
      <c r="A38" s="156" t="s">
        <v>36</v>
      </c>
      <c r="B38" s="43">
        <f t="shared" si="21"/>
        <v>37</v>
      </c>
      <c r="C38" s="50">
        <v>596536.5</v>
      </c>
      <c r="D38" s="42">
        <f t="shared" si="12"/>
        <v>1369</v>
      </c>
      <c r="E38" s="42">
        <f t="shared" si="13"/>
        <v>50653</v>
      </c>
      <c r="F38" s="42">
        <f t="shared" si="14"/>
        <v>1874161</v>
      </c>
      <c r="G38" s="42">
        <f t="shared" si="15"/>
        <v>22071850.5</v>
      </c>
      <c r="H38" s="42">
        <f t="shared" si="16"/>
        <v>816658468.5</v>
      </c>
      <c r="I38" s="1"/>
      <c r="J38" s="131">
        <v>596536.5</v>
      </c>
      <c r="K38" s="128">
        <f>C$79+C$80*B38+C$81*D38+C$82*E38+C$83*F38</f>
        <v>583137.2643680001</v>
      </c>
      <c r="L38" s="170">
        <f t="shared" si="17"/>
        <v>13399.235631999909</v>
      </c>
      <c r="M38" s="244">
        <f t="shared" si="18"/>
        <v>13399.235631999909</v>
      </c>
      <c r="N38" s="181">
        <f t="shared" si="19"/>
        <v>179539515.521856</v>
      </c>
      <c r="O38" s="214">
        <f t="shared" si="20"/>
        <v>0.022461719663423627</v>
      </c>
      <c r="P38" s="246">
        <f>2*M38/ABS(J38+K38)</f>
        <v>0.022716849415021844</v>
      </c>
    </row>
    <row r="39" spans="1:16" ht="15.75">
      <c r="A39" s="157" t="s">
        <v>37</v>
      </c>
      <c r="B39" s="45">
        <f t="shared" si="21"/>
        <v>38</v>
      </c>
      <c r="C39" s="51">
        <v>594155.3</v>
      </c>
      <c r="D39" s="47">
        <f t="shared" si="12"/>
        <v>1444</v>
      </c>
      <c r="E39" s="47">
        <f t="shared" si="13"/>
        <v>54872</v>
      </c>
      <c r="F39" s="47">
        <f t="shared" si="14"/>
        <v>2085136</v>
      </c>
      <c r="G39" s="47">
        <f t="shared" si="15"/>
        <v>22577901.400000002</v>
      </c>
      <c r="H39" s="47">
        <f t="shared" si="16"/>
        <v>857960253.2</v>
      </c>
      <c r="I39" s="1"/>
      <c r="J39" s="132">
        <v>594155.3</v>
      </c>
      <c r="K39" s="127">
        <f t="shared" si="9"/>
        <v>581916.471968</v>
      </c>
      <c r="L39" s="169">
        <f t="shared" si="17"/>
        <v>12238.82803199999</v>
      </c>
      <c r="M39" s="244">
        <f t="shared" si="18"/>
        <v>12238.82803199999</v>
      </c>
      <c r="N39" s="177">
        <f t="shared" si="19"/>
        <v>149788911.59686875</v>
      </c>
      <c r="O39" s="215">
        <f t="shared" si="20"/>
        <v>0.020598702110374154</v>
      </c>
      <c r="P39" s="247">
        <f t="shared" si="10"/>
        <v>0.020813063154334423</v>
      </c>
    </row>
    <row r="40" spans="1:16" ht="15.75">
      <c r="A40" s="157" t="s">
        <v>38</v>
      </c>
      <c r="B40" s="45">
        <f t="shared" si="21"/>
        <v>39</v>
      </c>
      <c r="C40" s="51">
        <v>580665.6</v>
      </c>
      <c r="D40" s="47">
        <f t="shared" si="12"/>
        <v>1521</v>
      </c>
      <c r="E40" s="47">
        <f t="shared" si="13"/>
        <v>59319</v>
      </c>
      <c r="F40" s="47">
        <f t="shared" si="14"/>
        <v>2313441</v>
      </c>
      <c r="G40" s="47">
        <f t="shared" si="15"/>
        <v>22645958.4</v>
      </c>
      <c r="H40" s="47">
        <f t="shared" si="16"/>
        <v>883192377.6</v>
      </c>
      <c r="I40" s="1"/>
      <c r="J40" s="132">
        <v>580665.6</v>
      </c>
      <c r="K40" s="127">
        <f t="shared" si="9"/>
        <v>580160.4492080002</v>
      </c>
      <c r="L40" s="169">
        <f t="shared" si="17"/>
        <v>505.15079199976753</v>
      </c>
      <c r="M40" s="244">
        <f t="shared" si="18"/>
        <v>505.15079199976753</v>
      </c>
      <c r="N40" s="177">
        <f t="shared" si="19"/>
        <v>255177.3226579924</v>
      </c>
      <c r="O40" s="215">
        <f t="shared" si="20"/>
        <v>0.0008699512972694914</v>
      </c>
      <c r="P40" s="247">
        <f t="shared" si="10"/>
        <v>0.0008703298695690333</v>
      </c>
    </row>
    <row r="41" spans="1:16" ht="16.5" thickBot="1">
      <c r="A41" s="158" t="s">
        <v>39</v>
      </c>
      <c r="B41" s="52">
        <f t="shared" si="21"/>
        <v>40</v>
      </c>
      <c r="C41" s="53">
        <v>567335.8</v>
      </c>
      <c r="D41" s="49">
        <f t="shared" si="12"/>
        <v>1600</v>
      </c>
      <c r="E41" s="49">
        <f t="shared" si="13"/>
        <v>64000</v>
      </c>
      <c r="F41" s="49">
        <f t="shared" si="14"/>
        <v>2560000</v>
      </c>
      <c r="G41" s="49">
        <f t="shared" si="15"/>
        <v>22693432</v>
      </c>
      <c r="H41" s="49">
        <f t="shared" si="16"/>
        <v>907737280.0000001</v>
      </c>
      <c r="I41" s="1"/>
      <c r="J41" s="133">
        <v>567335.8</v>
      </c>
      <c r="K41" s="129">
        <f t="shared" si="9"/>
        <v>577994.4799999997</v>
      </c>
      <c r="L41" s="171">
        <f t="shared" si="17"/>
        <v>-10658.679999999702</v>
      </c>
      <c r="M41" s="244">
        <f t="shared" si="18"/>
        <v>10658.679999999702</v>
      </c>
      <c r="N41" s="182">
        <f t="shared" si="19"/>
        <v>113607459.34239365</v>
      </c>
      <c r="O41" s="216">
        <f t="shared" si="20"/>
        <v>0.0187872508662413</v>
      </c>
      <c r="P41" s="248">
        <f t="shared" si="10"/>
        <v>0.01861241283169376</v>
      </c>
    </row>
    <row r="42" spans="1:16" ht="15.75">
      <c r="A42" s="156" t="s">
        <v>40</v>
      </c>
      <c r="B42" s="45">
        <f t="shared" si="21"/>
        <v>41</v>
      </c>
      <c r="C42" s="50">
        <v>560701.5</v>
      </c>
      <c r="D42" s="42">
        <f t="shared" si="12"/>
        <v>1681</v>
      </c>
      <c r="E42" s="42">
        <f t="shared" si="13"/>
        <v>68921</v>
      </c>
      <c r="F42" s="42">
        <f t="shared" si="14"/>
        <v>2825761</v>
      </c>
      <c r="G42" s="42">
        <f t="shared" si="15"/>
        <v>22988761.5</v>
      </c>
      <c r="H42" s="42">
        <f t="shared" si="16"/>
        <v>942539221.5</v>
      </c>
      <c r="I42" s="1"/>
      <c r="J42" s="131">
        <v>560701.5</v>
      </c>
      <c r="K42" s="128">
        <f>C$79+C$80*B42+C$81*D42+C$82*E42+C$83*F42</f>
        <v>575555.5647679996</v>
      </c>
      <c r="L42" s="170">
        <f t="shared" si="17"/>
        <v>-14854.064767999575</v>
      </c>
      <c r="M42" s="214">
        <f t="shared" si="18"/>
        <v>14854.064767999575</v>
      </c>
      <c r="N42" s="184">
        <f t="shared" si="19"/>
        <v>220643240.13192627</v>
      </c>
      <c r="O42" s="214">
        <f t="shared" si="20"/>
        <v>0.026491929784385408</v>
      </c>
      <c r="P42" s="246">
        <f>2*M42/ABS(J42+K42)</f>
        <v>0.02614560600515601</v>
      </c>
    </row>
    <row r="43" spans="1:16" ht="15.75">
      <c r="A43" s="157" t="s">
        <v>41</v>
      </c>
      <c r="B43" s="45">
        <f t="shared" si="21"/>
        <v>42</v>
      </c>
      <c r="C43" s="51">
        <v>553728.3</v>
      </c>
      <c r="D43" s="47">
        <f t="shared" si="12"/>
        <v>1764</v>
      </c>
      <c r="E43" s="47">
        <f t="shared" si="13"/>
        <v>74088</v>
      </c>
      <c r="F43" s="47">
        <f t="shared" si="14"/>
        <v>3111696</v>
      </c>
      <c r="G43" s="47">
        <f t="shared" si="15"/>
        <v>23256588.6</v>
      </c>
      <c r="H43" s="47">
        <f t="shared" si="16"/>
        <v>976776721.2</v>
      </c>
      <c r="I43" s="1"/>
      <c r="J43" s="132">
        <v>553728.3</v>
      </c>
      <c r="K43" s="127">
        <f t="shared" si="9"/>
        <v>572992.4204480001</v>
      </c>
      <c r="L43" s="169">
        <f t="shared" si="17"/>
        <v>-19264.12044800003</v>
      </c>
      <c r="M43" s="215">
        <f t="shared" si="18"/>
        <v>19264.12044800003</v>
      </c>
      <c r="N43" s="184">
        <f t="shared" si="19"/>
        <v>371106336.6350529</v>
      </c>
      <c r="O43" s="215">
        <f t="shared" si="20"/>
        <v>0.03478984268638614</v>
      </c>
      <c r="P43" s="247">
        <f t="shared" si="10"/>
        <v>0.034195022951810705</v>
      </c>
    </row>
    <row r="44" spans="1:16" ht="15.75">
      <c r="A44" s="157" t="s">
        <v>42</v>
      </c>
      <c r="B44" s="45">
        <f t="shared" si="21"/>
        <v>43</v>
      </c>
      <c r="C44" s="51">
        <v>548450.7</v>
      </c>
      <c r="D44" s="47">
        <f t="shared" si="12"/>
        <v>1849</v>
      </c>
      <c r="E44" s="47">
        <f t="shared" si="13"/>
        <v>79507</v>
      </c>
      <c r="F44" s="47">
        <f t="shared" si="14"/>
        <v>3418801</v>
      </c>
      <c r="G44" s="47">
        <f t="shared" si="15"/>
        <v>23583380.099999998</v>
      </c>
      <c r="H44" s="47">
        <f t="shared" si="16"/>
        <v>1014085344.3</v>
      </c>
      <c r="I44" s="1"/>
      <c r="J44" s="132">
        <v>548450.7</v>
      </c>
      <c r="K44" s="127">
        <f t="shared" si="9"/>
        <v>570465.4804879997</v>
      </c>
      <c r="L44" s="169">
        <f t="shared" si="17"/>
        <v>-22014.780487999786</v>
      </c>
      <c r="M44" s="215">
        <f t="shared" si="18"/>
        <v>22014.780487999786</v>
      </c>
      <c r="N44" s="184">
        <f t="shared" si="19"/>
        <v>484650559.93481606</v>
      </c>
      <c r="O44" s="215">
        <f t="shared" si="20"/>
        <v>0.0401399441882375</v>
      </c>
      <c r="P44" s="247">
        <f t="shared" si="10"/>
        <v>0.03935018703259496</v>
      </c>
    </row>
    <row r="45" spans="1:16" ht="16.5" thickBot="1">
      <c r="A45" s="158" t="s">
        <v>43</v>
      </c>
      <c r="B45" s="45">
        <f t="shared" si="21"/>
        <v>44</v>
      </c>
      <c r="C45" s="51">
        <v>558026.2</v>
      </c>
      <c r="D45" s="49">
        <f t="shared" si="12"/>
        <v>1936</v>
      </c>
      <c r="E45" s="49">
        <f t="shared" si="13"/>
        <v>85184</v>
      </c>
      <c r="F45" s="49">
        <f t="shared" si="14"/>
        <v>3748096</v>
      </c>
      <c r="G45" s="49">
        <f t="shared" si="15"/>
        <v>24553152.799999997</v>
      </c>
      <c r="H45" s="49">
        <f t="shared" si="16"/>
        <v>1080338723.1999998</v>
      </c>
      <c r="I45" s="1"/>
      <c r="J45" s="132">
        <v>558026.2</v>
      </c>
      <c r="K45" s="129">
        <f t="shared" si="9"/>
        <v>568146.8948480007</v>
      </c>
      <c r="L45" s="171">
        <f t="shared" si="17"/>
        <v>-10120.69484800077</v>
      </c>
      <c r="M45" s="216">
        <f t="shared" si="18"/>
        <v>10120.69484800077</v>
      </c>
      <c r="N45" s="184">
        <f t="shared" si="19"/>
        <v>102428464.20634934</v>
      </c>
      <c r="O45" s="216">
        <f t="shared" si="20"/>
        <v>0.018136594389297083</v>
      </c>
      <c r="P45" s="248">
        <f t="shared" si="10"/>
        <v>0.01797360440291243</v>
      </c>
    </row>
    <row r="46" spans="1:16" ht="15.75">
      <c r="A46" s="156" t="s">
        <v>44</v>
      </c>
      <c r="B46" s="43">
        <f t="shared" si="21"/>
        <v>45</v>
      </c>
      <c r="C46" s="50">
        <v>557442.5</v>
      </c>
      <c r="D46" s="42">
        <f t="shared" si="12"/>
        <v>2025</v>
      </c>
      <c r="E46" s="42">
        <f t="shared" si="13"/>
        <v>91125</v>
      </c>
      <c r="F46" s="42">
        <f t="shared" si="14"/>
        <v>4100625</v>
      </c>
      <c r="G46" s="42">
        <f t="shared" si="15"/>
        <v>25084912.5</v>
      </c>
      <c r="H46" s="42">
        <f t="shared" si="16"/>
        <v>1128821062.5</v>
      </c>
      <c r="I46" s="1"/>
      <c r="J46" s="131">
        <v>557442.5</v>
      </c>
      <c r="K46" s="128">
        <f>C$79+C$80*B46+C$81*D46+C$82*E46+C$83*F46</f>
        <v>566220.5299999998</v>
      </c>
      <c r="L46" s="170">
        <f t="shared" si="17"/>
        <v>-8778.029999999795</v>
      </c>
      <c r="M46" s="244">
        <f t="shared" si="18"/>
        <v>8778.029999999795</v>
      </c>
      <c r="N46" s="181">
        <f t="shared" si="19"/>
        <v>77053810.6808964</v>
      </c>
      <c r="O46" s="214">
        <f t="shared" si="20"/>
        <v>0.015746969418370137</v>
      </c>
      <c r="P46" s="246">
        <f>2*M46/ABS(J46+K46)</f>
        <v>0.015623954451896129</v>
      </c>
    </row>
    <row r="47" spans="1:16" ht="15.75">
      <c r="A47" s="157" t="s">
        <v>45</v>
      </c>
      <c r="B47" s="45">
        <f t="shared" si="21"/>
        <v>46</v>
      </c>
      <c r="C47" s="51">
        <v>563668.2</v>
      </c>
      <c r="D47" s="47">
        <f t="shared" si="12"/>
        <v>2116</v>
      </c>
      <c r="E47" s="47">
        <f t="shared" si="13"/>
        <v>97336</v>
      </c>
      <c r="F47" s="47">
        <f t="shared" si="14"/>
        <v>4477456</v>
      </c>
      <c r="G47" s="47">
        <f t="shared" si="15"/>
        <v>25928737.2</v>
      </c>
      <c r="H47" s="47">
        <f t="shared" si="16"/>
        <v>1192721911.1999998</v>
      </c>
      <c r="I47" s="1"/>
      <c r="J47" s="132">
        <v>563668.2</v>
      </c>
      <c r="K47" s="127">
        <f t="shared" si="9"/>
        <v>564881.9689280004</v>
      </c>
      <c r="L47" s="169">
        <f t="shared" si="17"/>
        <v>-1213.7689280004706</v>
      </c>
      <c r="M47" s="244">
        <f t="shared" si="18"/>
        <v>1213.7689280004706</v>
      </c>
      <c r="N47" s="177">
        <f t="shared" si="19"/>
        <v>1473235.0105794116</v>
      </c>
      <c r="O47" s="215">
        <f t="shared" si="20"/>
        <v>0.0021533393723479</v>
      </c>
      <c r="P47" s="247">
        <f t="shared" si="10"/>
        <v>0.0021510234306258954</v>
      </c>
    </row>
    <row r="48" spans="1:16" ht="15.75">
      <c r="A48" s="157" t="s">
        <v>46</v>
      </c>
      <c r="B48" s="45">
        <f t="shared" si="21"/>
        <v>47</v>
      </c>
      <c r="C48" s="51">
        <v>569176.8</v>
      </c>
      <c r="D48" s="47">
        <f t="shared" si="12"/>
        <v>2209</v>
      </c>
      <c r="E48" s="47">
        <f t="shared" si="13"/>
        <v>103823</v>
      </c>
      <c r="F48" s="47">
        <f t="shared" si="14"/>
        <v>4879681</v>
      </c>
      <c r="G48" s="47">
        <f t="shared" si="15"/>
        <v>26751309.6</v>
      </c>
      <c r="H48" s="47">
        <f t="shared" si="16"/>
        <v>1257311551.2</v>
      </c>
      <c r="I48" s="1"/>
      <c r="J48" s="132">
        <v>569176.8</v>
      </c>
      <c r="K48" s="127">
        <f t="shared" si="9"/>
        <v>564338.5111279995</v>
      </c>
      <c r="L48" s="169">
        <f t="shared" si="17"/>
        <v>4838.2888720005285</v>
      </c>
      <c r="M48" s="244">
        <f t="shared" si="18"/>
        <v>4838.2888720005285</v>
      </c>
      <c r="N48" s="177">
        <f t="shared" si="19"/>
        <v>23409039.20892415</v>
      </c>
      <c r="O48" s="215">
        <f t="shared" si="20"/>
        <v>0.008500502606572383</v>
      </c>
      <c r="P48" s="247">
        <f t="shared" si="10"/>
        <v>0.008536786092789135</v>
      </c>
    </row>
    <row r="49" spans="1:16" ht="16.5" thickBot="1">
      <c r="A49" s="158" t="s">
        <v>47</v>
      </c>
      <c r="B49" s="52">
        <f t="shared" si="21"/>
        <v>48</v>
      </c>
      <c r="C49" s="51">
        <v>587564.8</v>
      </c>
      <c r="D49" s="49">
        <f t="shared" si="12"/>
        <v>2304</v>
      </c>
      <c r="E49" s="49">
        <f t="shared" si="13"/>
        <v>110592</v>
      </c>
      <c r="F49" s="49">
        <f t="shared" si="14"/>
        <v>5308416</v>
      </c>
      <c r="G49" s="49">
        <f t="shared" si="15"/>
        <v>28203110.400000002</v>
      </c>
      <c r="H49" s="49">
        <f t="shared" si="16"/>
        <v>1353749299.2</v>
      </c>
      <c r="I49" s="1"/>
      <c r="J49" s="132">
        <v>587564.8</v>
      </c>
      <c r="K49" s="129">
        <f t="shared" si="9"/>
        <v>564809.1726080002</v>
      </c>
      <c r="L49" s="171">
        <f t="shared" si="17"/>
        <v>22755.62739199982</v>
      </c>
      <c r="M49" s="244">
        <f t="shared" si="18"/>
        <v>22755.62739199982</v>
      </c>
      <c r="N49" s="182">
        <f t="shared" si="19"/>
        <v>517818578.0035325</v>
      </c>
      <c r="O49" s="216">
        <f t="shared" si="20"/>
        <v>0.03872871110046044</v>
      </c>
      <c r="P49" s="248">
        <f t="shared" si="10"/>
        <v>0.039493476827666144</v>
      </c>
    </row>
    <row r="50" spans="1:16" ht="15.75">
      <c r="A50" s="156" t="s">
        <v>48</v>
      </c>
      <c r="B50" s="23">
        <f t="shared" si="21"/>
        <v>49</v>
      </c>
      <c r="C50" s="24">
        <v>584631.3</v>
      </c>
      <c r="D50" s="42">
        <f t="shared" si="12"/>
        <v>2401</v>
      </c>
      <c r="E50" s="42">
        <f t="shared" si="13"/>
        <v>117649</v>
      </c>
      <c r="F50" s="42">
        <f t="shared" si="14"/>
        <v>5764801</v>
      </c>
      <c r="G50" s="42">
        <f t="shared" si="15"/>
        <v>28646933.700000003</v>
      </c>
      <c r="H50" s="42">
        <f t="shared" si="16"/>
        <v>1403699751.3000002</v>
      </c>
      <c r="I50" s="1"/>
      <c r="J50" s="131">
        <v>584631.3</v>
      </c>
      <c r="K50" s="128">
        <f>C$79+C$80*B50+C$81*D50+C$82*E50+C$83*F50</f>
        <v>566524.6858880008</v>
      </c>
      <c r="L50" s="170">
        <f t="shared" si="17"/>
        <v>18106.614111999283</v>
      </c>
      <c r="M50" s="214">
        <f t="shared" si="18"/>
        <v>18106.614111999283</v>
      </c>
      <c r="N50" s="184">
        <f t="shared" si="19"/>
        <v>327849474.6008516</v>
      </c>
      <c r="O50" s="214">
        <f t="shared" si="20"/>
        <v>0.030970996783783695</v>
      </c>
      <c r="P50" s="246">
        <f>2*M50/ABS(J50+K50)</f>
        <v>0.031458141787851376</v>
      </c>
    </row>
    <row r="51" spans="1:16" ht="15.75">
      <c r="A51" s="157" t="s">
        <v>49</v>
      </c>
      <c r="B51" s="27">
        <f t="shared" si="21"/>
        <v>50</v>
      </c>
      <c r="C51" s="28">
        <v>589489.7</v>
      </c>
      <c r="D51" s="47">
        <f t="shared" si="12"/>
        <v>2500</v>
      </c>
      <c r="E51" s="47">
        <f t="shared" si="13"/>
        <v>125000</v>
      </c>
      <c r="F51" s="47">
        <f t="shared" si="14"/>
        <v>6250000</v>
      </c>
      <c r="G51" s="47">
        <f t="shared" si="15"/>
        <v>29474484.999999996</v>
      </c>
      <c r="H51" s="47">
        <f t="shared" si="16"/>
        <v>1473724250</v>
      </c>
      <c r="I51" s="1"/>
      <c r="J51" s="132">
        <v>589489.7</v>
      </c>
      <c r="K51" s="127">
        <f t="shared" si="9"/>
        <v>569727.5</v>
      </c>
      <c r="L51" s="169">
        <f t="shared" si="17"/>
        <v>19762.199999999953</v>
      </c>
      <c r="M51" s="215">
        <f t="shared" si="18"/>
        <v>19762.199999999953</v>
      </c>
      <c r="N51" s="184">
        <f t="shared" si="19"/>
        <v>390544548.8399982</v>
      </c>
      <c r="O51" s="215">
        <f t="shared" si="20"/>
        <v>0.03352424987238955</v>
      </c>
      <c r="P51" s="247">
        <f t="shared" si="10"/>
        <v>0.03409576738509393</v>
      </c>
    </row>
    <row r="52" spans="1:16" ht="15.75">
      <c r="A52" s="157" t="s">
        <v>50</v>
      </c>
      <c r="B52" s="27">
        <f t="shared" si="21"/>
        <v>51</v>
      </c>
      <c r="C52" s="28">
        <v>582149.8</v>
      </c>
      <c r="D52" s="47">
        <f t="shared" si="12"/>
        <v>2601</v>
      </c>
      <c r="E52" s="47">
        <f t="shared" si="13"/>
        <v>132651</v>
      </c>
      <c r="F52" s="47">
        <f t="shared" si="14"/>
        <v>6765201</v>
      </c>
      <c r="G52" s="47">
        <f t="shared" si="15"/>
        <v>29689639.8</v>
      </c>
      <c r="H52" s="47">
        <f t="shared" si="16"/>
        <v>1514171629.8000002</v>
      </c>
      <c r="I52" s="1"/>
      <c r="J52" s="132">
        <v>582149.8</v>
      </c>
      <c r="K52" s="127">
        <f t="shared" si="9"/>
        <v>574671.7804879998</v>
      </c>
      <c r="L52" s="169">
        <f t="shared" si="17"/>
        <v>7478.019512000261</v>
      </c>
      <c r="M52" s="215">
        <f t="shared" si="18"/>
        <v>7478.019512000261</v>
      </c>
      <c r="N52" s="184">
        <f t="shared" si="19"/>
        <v>55920775.82185662</v>
      </c>
      <c r="O52" s="215">
        <f t="shared" si="20"/>
        <v>0.01284552448871452</v>
      </c>
      <c r="P52" s="247">
        <f t="shared" si="10"/>
        <v>0.012928561565813275</v>
      </c>
    </row>
    <row r="53" spans="1:16" ht="16.5" thickBot="1">
      <c r="A53" s="158" t="s">
        <v>51</v>
      </c>
      <c r="B53" s="31">
        <f t="shared" si="21"/>
        <v>52</v>
      </c>
      <c r="C53" s="28">
        <v>599177.5</v>
      </c>
      <c r="D53" s="49">
        <f t="shared" si="12"/>
        <v>2704</v>
      </c>
      <c r="E53" s="49">
        <f t="shared" si="13"/>
        <v>140608</v>
      </c>
      <c r="F53" s="49">
        <f t="shared" si="14"/>
        <v>7311616</v>
      </c>
      <c r="G53" s="49">
        <f t="shared" si="15"/>
        <v>31157230</v>
      </c>
      <c r="H53" s="49">
        <f t="shared" si="16"/>
        <v>1620175960</v>
      </c>
      <c r="I53" s="1"/>
      <c r="J53" s="132">
        <v>599177.5</v>
      </c>
      <c r="K53" s="129">
        <f t="shared" si="9"/>
        <v>581623.4094080003</v>
      </c>
      <c r="L53" s="171">
        <f t="shared" si="17"/>
        <v>17554.090591999702</v>
      </c>
      <c r="M53" s="216">
        <f t="shared" si="18"/>
        <v>17554.090591999702</v>
      </c>
      <c r="N53" s="184">
        <f t="shared" si="19"/>
        <v>308146096.51213247</v>
      </c>
      <c r="O53" s="216">
        <f t="shared" si="20"/>
        <v>0.029296978928614145</v>
      </c>
      <c r="P53" s="248">
        <f t="shared" si="10"/>
        <v>0.029732515366710757</v>
      </c>
    </row>
    <row r="54" spans="1:16" ht="15.75">
      <c r="A54" s="156" t="s">
        <v>52</v>
      </c>
      <c r="B54" s="23">
        <f t="shared" si="21"/>
        <v>53</v>
      </c>
      <c r="C54" s="24">
        <v>597108</v>
      </c>
      <c r="D54" s="42">
        <f t="shared" si="12"/>
        <v>2809</v>
      </c>
      <c r="E54" s="42">
        <f t="shared" si="13"/>
        <v>148877</v>
      </c>
      <c r="F54" s="42">
        <f t="shared" si="14"/>
        <v>7890481</v>
      </c>
      <c r="G54" s="42">
        <f t="shared" si="15"/>
        <v>31646724</v>
      </c>
      <c r="H54" s="42">
        <f t="shared" si="16"/>
        <v>1677276372</v>
      </c>
      <c r="I54" s="1"/>
      <c r="J54" s="131">
        <v>597108</v>
      </c>
      <c r="K54" s="128">
        <f>C$79+C$80*B54+C$81*D54+C$82*E54+C$83*F54</f>
        <v>590859.9853280005</v>
      </c>
      <c r="L54" s="170">
        <f t="shared" si="17"/>
        <v>6248.0146719994955</v>
      </c>
      <c r="M54" s="244">
        <f t="shared" si="18"/>
        <v>6248.0146719994955</v>
      </c>
      <c r="N54" s="181">
        <f t="shared" si="19"/>
        <v>39037687.341520965</v>
      </c>
      <c r="O54" s="214">
        <f t="shared" si="20"/>
        <v>0.010463793270228327</v>
      </c>
      <c r="P54" s="246">
        <f>2*M54/ABS(J54+K54)</f>
        <v>0.010518826684162546</v>
      </c>
    </row>
    <row r="55" spans="1:16" ht="15.75">
      <c r="A55" s="157" t="s">
        <v>53</v>
      </c>
      <c r="B55" s="27">
        <f t="shared" si="21"/>
        <v>54</v>
      </c>
      <c r="C55" s="28">
        <v>604796.4</v>
      </c>
      <c r="D55" s="47">
        <f t="shared" si="12"/>
        <v>2916</v>
      </c>
      <c r="E55" s="47">
        <f t="shared" si="13"/>
        <v>157464</v>
      </c>
      <c r="F55" s="47">
        <f t="shared" si="14"/>
        <v>8503056</v>
      </c>
      <c r="G55" s="47">
        <f t="shared" si="15"/>
        <v>32659005.6</v>
      </c>
      <c r="H55" s="47">
        <f t="shared" si="16"/>
        <v>1763586302.4</v>
      </c>
      <c r="I55" s="1"/>
      <c r="J55" s="132">
        <v>604796.4</v>
      </c>
      <c r="K55" s="127">
        <f t="shared" si="9"/>
        <v>602670.8233279996</v>
      </c>
      <c r="L55" s="169">
        <f t="shared" si="17"/>
        <v>2125.5766720004613</v>
      </c>
      <c r="M55" s="244">
        <f t="shared" si="18"/>
        <v>2125.5766720004613</v>
      </c>
      <c r="N55" s="177">
        <f t="shared" si="19"/>
        <v>4518076.188552557</v>
      </c>
      <c r="O55" s="215">
        <f t="shared" si="20"/>
        <v>0.0035145326129594374</v>
      </c>
      <c r="P55" s="247">
        <f t="shared" si="10"/>
        <v>0.0035207194546316295</v>
      </c>
    </row>
    <row r="56" spans="1:16" ht="15.75">
      <c r="A56" s="157" t="s">
        <v>54</v>
      </c>
      <c r="B56" s="27">
        <f t="shared" si="21"/>
        <v>55</v>
      </c>
      <c r="C56" s="28">
        <v>606284.6</v>
      </c>
      <c r="D56" s="47">
        <f t="shared" si="12"/>
        <v>3025</v>
      </c>
      <c r="E56" s="47">
        <f t="shared" si="13"/>
        <v>166375</v>
      </c>
      <c r="F56" s="47">
        <f t="shared" si="14"/>
        <v>9150625</v>
      </c>
      <c r="G56" s="47">
        <f t="shared" si="15"/>
        <v>33345653</v>
      </c>
      <c r="H56" s="47">
        <f t="shared" si="16"/>
        <v>1834010915</v>
      </c>
      <c r="I56" s="1"/>
      <c r="J56" s="132">
        <v>606284.6</v>
      </c>
      <c r="K56" s="127">
        <f t="shared" si="9"/>
        <v>617356.9550000001</v>
      </c>
      <c r="L56" s="169">
        <f t="shared" si="17"/>
        <v>-11072.355000000098</v>
      </c>
      <c r="M56" s="244">
        <f t="shared" si="18"/>
        <v>11072.355000000098</v>
      </c>
      <c r="N56" s="177">
        <f t="shared" si="19"/>
        <v>122597045.24602717</v>
      </c>
      <c r="O56" s="215">
        <f t="shared" si="20"/>
        <v>0.018262636062337884</v>
      </c>
      <c r="P56" s="247">
        <f t="shared" si="10"/>
        <v>0.018097383101704317</v>
      </c>
    </row>
    <row r="57" spans="1:16" ht="16.5" thickBot="1">
      <c r="A57" s="158" t="s">
        <v>55</v>
      </c>
      <c r="B57" s="31">
        <f t="shared" si="21"/>
        <v>56</v>
      </c>
      <c r="C57" s="28">
        <v>630641.9</v>
      </c>
      <c r="D57" s="49">
        <f t="shared" si="12"/>
        <v>3136</v>
      </c>
      <c r="E57" s="49">
        <f t="shared" si="13"/>
        <v>175616</v>
      </c>
      <c r="F57" s="47">
        <f t="shared" si="14"/>
        <v>9834496</v>
      </c>
      <c r="G57" s="47">
        <f t="shared" si="15"/>
        <v>35315946.4</v>
      </c>
      <c r="H57" s="49">
        <f t="shared" si="16"/>
        <v>1977692998.4</v>
      </c>
      <c r="I57" s="1"/>
      <c r="J57" s="132">
        <v>630641.9</v>
      </c>
      <c r="K57" s="129">
        <f t="shared" si="9"/>
        <v>635231.1284480002</v>
      </c>
      <c r="L57" s="171">
        <f t="shared" si="17"/>
        <v>-4589.2284480001545</v>
      </c>
      <c r="M57" s="244">
        <f t="shared" si="18"/>
        <v>4589.2284480001545</v>
      </c>
      <c r="N57" s="182">
        <f t="shared" si="19"/>
        <v>21061017.747933906</v>
      </c>
      <c r="O57" s="216">
        <f t="shared" si="20"/>
        <v>0.00727707506906876</v>
      </c>
      <c r="P57" s="248">
        <f t="shared" si="10"/>
        <v>0.00725069314989149</v>
      </c>
    </row>
    <row r="58" spans="1:16" ht="16.5" thickBot="1">
      <c r="A58" s="156" t="s">
        <v>56</v>
      </c>
      <c r="B58" s="27">
        <f t="shared" si="21"/>
        <v>57</v>
      </c>
      <c r="C58" s="24">
        <v>636801.4</v>
      </c>
      <c r="D58" s="42">
        <f t="shared" si="12"/>
        <v>3249</v>
      </c>
      <c r="E58" s="88">
        <f t="shared" si="13"/>
        <v>185193</v>
      </c>
      <c r="F58" s="88">
        <f t="shared" si="14"/>
        <v>10556001</v>
      </c>
      <c r="G58" s="42">
        <f t="shared" si="15"/>
        <v>36297679.800000004</v>
      </c>
      <c r="H58" s="42">
        <f t="shared" si="16"/>
        <v>2068967748.6000001</v>
      </c>
      <c r="I58" s="1"/>
      <c r="J58" s="41">
        <v>636801.4</v>
      </c>
      <c r="K58" s="162">
        <f>C$79+C$80*B58+C$81*D58+C$82*E58+C$83*F58</f>
        <v>656617.8082879996</v>
      </c>
      <c r="L58" s="172">
        <f t="shared" si="17"/>
        <v>-19816.40828799957</v>
      </c>
      <c r="M58" s="229">
        <f t="shared" si="18"/>
        <v>19816.40828799957</v>
      </c>
      <c r="N58" s="228">
        <f t="shared" si="19"/>
        <v>392690037.436698</v>
      </c>
      <c r="O58" s="229">
        <f t="shared" si="20"/>
        <v>0.031118663193893056</v>
      </c>
      <c r="P58" s="249">
        <f>2*M58/ABS(J58+K58)</f>
        <v>0.030641895776743627</v>
      </c>
    </row>
    <row r="59" spans="1:16" ht="15.75">
      <c r="A59" s="157" t="s">
        <v>57</v>
      </c>
      <c r="B59" s="27"/>
      <c r="C59" s="28"/>
      <c r="D59" s="47">
        <f t="shared" si="12"/>
        <v>0</v>
      </c>
      <c r="E59" s="89"/>
      <c r="F59" s="89"/>
      <c r="G59" s="47"/>
      <c r="H59" s="77">
        <f>B59*C59</f>
        <v>0</v>
      </c>
      <c r="I59" s="1"/>
      <c r="J59" s="159"/>
      <c r="K59" s="159"/>
      <c r="L59" s="168"/>
      <c r="M59" s="215">
        <f t="shared" si="18"/>
        <v>0</v>
      </c>
      <c r="N59" s="184">
        <f t="shared" si="19"/>
        <v>0</v>
      </c>
      <c r="O59" s="215"/>
      <c r="P59" s="177"/>
    </row>
    <row r="60" spans="1:16" ht="15.75">
      <c r="A60" s="157" t="s">
        <v>58</v>
      </c>
      <c r="B60" s="27"/>
      <c r="C60" s="28"/>
      <c r="D60" s="47">
        <f t="shared" si="12"/>
        <v>0</v>
      </c>
      <c r="E60" s="89"/>
      <c r="F60" s="89"/>
      <c r="G60" s="47"/>
      <c r="H60" s="77">
        <f>B60*C60</f>
        <v>0</v>
      </c>
      <c r="I60" s="1"/>
      <c r="J60" s="159"/>
      <c r="K60" s="159"/>
      <c r="L60" s="168"/>
      <c r="M60" s="215">
        <f t="shared" si="18"/>
        <v>0</v>
      </c>
      <c r="N60" s="184">
        <f t="shared" si="19"/>
        <v>0</v>
      </c>
      <c r="O60" s="215"/>
      <c r="P60" s="177"/>
    </row>
    <row r="61" spans="1:16" ht="16.5" thickBot="1">
      <c r="A61" s="158" t="s">
        <v>59</v>
      </c>
      <c r="B61" s="31"/>
      <c r="C61" s="32"/>
      <c r="D61" s="49">
        <f t="shared" si="12"/>
        <v>0</v>
      </c>
      <c r="E61" s="90"/>
      <c r="F61" s="90"/>
      <c r="G61" s="49"/>
      <c r="H61" s="78">
        <f>B61*C61</f>
        <v>0</v>
      </c>
      <c r="I61" s="1"/>
      <c r="J61" s="159"/>
      <c r="K61" s="159"/>
      <c r="L61" s="168"/>
      <c r="M61" s="216">
        <f t="shared" si="18"/>
        <v>0</v>
      </c>
      <c r="N61" s="185">
        <f t="shared" si="19"/>
        <v>0</v>
      </c>
      <c r="O61" s="216"/>
      <c r="P61" s="182"/>
    </row>
    <row r="62" spans="1:16" ht="16.5" thickBot="1">
      <c r="A62" s="41" t="s">
        <v>68</v>
      </c>
      <c r="B62" s="40">
        <f aca="true" t="shared" si="22" ref="B62:H62">SUM(B2:B58)</f>
        <v>1653</v>
      </c>
      <c r="C62" s="39">
        <f t="shared" si="22"/>
        <v>26961516.7</v>
      </c>
      <c r="D62" s="39">
        <f t="shared" si="22"/>
        <v>63365</v>
      </c>
      <c r="E62" s="39">
        <f t="shared" si="22"/>
        <v>2732409</v>
      </c>
      <c r="F62" s="39">
        <f t="shared" si="22"/>
        <v>125678141</v>
      </c>
      <c r="G62" s="61">
        <f t="shared" si="22"/>
        <v>903228402.1999999</v>
      </c>
      <c r="H62" s="39">
        <f t="shared" si="22"/>
        <v>36246459825.4</v>
      </c>
      <c r="I62" s="1"/>
      <c r="J62" s="39">
        <f>SUM(J2:J58)</f>
        <v>26961516.7</v>
      </c>
      <c r="K62" s="39">
        <f>SUM(K2:K58)</f>
        <v>26961520.805808008</v>
      </c>
      <c r="L62" s="39">
        <f>SUM(L2:L58)</f>
        <v>-4.105808000953402</v>
      </c>
      <c r="M62" s="253">
        <f>SUM(M2:M58)</f>
        <v>752565.9105439985</v>
      </c>
      <c r="N62" s="190">
        <f>SUM(N2:N58)</f>
        <v>14669508308.244455</v>
      </c>
      <c r="O62" s="213">
        <f>SUM(O2:O58)/57</f>
        <v>0.028618341218600657</v>
      </c>
      <c r="P62" s="213">
        <f>SUM(P2:P58)/57</f>
        <v>0.028570428586601183</v>
      </c>
    </row>
    <row r="63" spans="1:10" ht="15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6.5" thickBot="1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3" ht="17.25" thickBot="1">
      <c r="A65" s="1"/>
      <c r="B65" s="92" t="s">
        <v>69</v>
      </c>
      <c r="C65" s="54"/>
      <c r="D65" s="93"/>
      <c r="E65" s="55"/>
      <c r="F65" s="1"/>
      <c r="G65" s="92" t="s">
        <v>81</v>
      </c>
      <c r="H65" s="54"/>
      <c r="I65" s="93"/>
      <c r="J65" s="55"/>
      <c r="L65" s="220" t="s">
        <v>122</v>
      </c>
      <c r="M65" s="254">
        <f>SQRT(M62)/(SQRT(J62)+SQRT(K62))</f>
        <v>0.08353531200258776</v>
      </c>
    </row>
    <row r="66" spans="1:10" ht="15.75">
      <c r="A66" s="1"/>
      <c r="B66" s="63"/>
      <c r="C66" s="94"/>
      <c r="D66" s="87"/>
      <c r="E66" s="96"/>
      <c r="F66" s="1"/>
      <c r="G66" s="1"/>
      <c r="H66" s="94"/>
      <c r="I66" s="87"/>
      <c r="J66" s="96"/>
    </row>
    <row r="67" spans="1:10" ht="16.5" thickBot="1">
      <c r="A67" s="1"/>
      <c r="B67" s="63"/>
      <c r="C67" s="56"/>
      <c r="D67" s="95"/>
      <c r="E67" s="57"/>
      <c r="F67" s="1"/>
      <c r="G67" s="1"/>
      <c r="H67" s="56"/>
      <c r="I67" s="95"/>
      <c r="J67" s="57"/>
    </row>
    <row r="68" spans="1:10" ht="16.5" thickBot="1">
      <c r="A68" s="1"/>
      <c r="B68" s="63"/>
      <c r="C68" s="1"/>
      <c r="D68" s="1"/>
      <c r="E68" s="1"/>
      <c r="F68" s="1"/>
      <c r="G68" s="1"/>
      <c r="H68" s="1"/>
      <c r="I68" s="1"/>
      <c r="J68" s="1"/>
    </row>
    <row r="69" spans="1:10" ht="16.5" thickBot="1">
      <c r="A69" s="1"/>
      <c r="B69" s="62" t="s">
        <v>71</v>
      </c>
      <c r="C69" s="35"/>
      <c r="D69" s="1"/>
      <c r="E69" s="1"/>
      <c r="F69" s="1"/>
      <c r="G69" s="1"/>
      <c r="H69" s="1"/>
      <c r="I69" s="1"/>
      <c r="J69" s="1"/>
    </row>
    <row r="70" spans="1:10" ht="16.5" thickBot="1">
      <c r="A70" s="1"/>
      <c r="B70" s="63"/>
      <c r="C70" s="1"/>
      <c r="D70" s="1"/>
      <c r="E70" s="1"/>
      <c r="F70" s="1"/>
      <c r="G70" s="1"/>
      <c r="H70" s="1"/>
      <c r="I70" s="1"/>
      <c r="J70" s="1"/>
    </row>
    <row r="71" spans="1:10" ht="16.5" thickBot="1">
      <c r="A71" s="1"/>
      <c r="B71" s="92" t="s">
        <v>70</v>
      </c>
      <c r="C71" s="54"/>
      <c r="D71" s="93"/>
      <c r="E71" s="55"/>
      <c r="F71" s="1"/>
      <c r="G71" s="1"/>
      <c r="H71" s="1"/>
      <c r="I71" s="1"/>
      <c r="J71" s="1"/>
    </row>
    <row r="72" spans="1:10" ht="15.75">
      <c r="A72" s="1"/>
      <c r="B72" s="63"/>
      <c r="C72" s="94"/>
      <c r="D72" s="87"/>
      <c r="E72" s="96"/>
      <c r="F72" s="1"/>
      <c r="G72" s="1"/>
      <c r="H72" s="1"/>
      <c r="I72" s="1"/>
      <c r="J72" s="1"/>
    </row>
    <row r="73" spans="1:10" ht="16.5" thickBot="1">
      <c r="A73" s="1"/>
      <c r="B73" s="63"/>
      <c r="C73" s="56"/>
      <c r="D73" s="95"/>
      <c r="E73" s="57"/>
      <c r="F73" s="1"/>
      <c r="G73" s="1"/>
      <c r="H73" s="1"/>
      <c r="I73" s="1"/>
      <c r="J73" s="1"/>
    </row>
    <row r="74" spans="1:10" ht="16.5" thickBot="1">
      <c r="A74" s="1"/>
      <c r="B74" s="63"/>
      <c r="C74" s="1"/>
      <c r="D74" s="1"/>
      <c r="E74" s="1"/>
      <c r="F74" s="1"/>
      <c r="G74" s="1"/>
      <c r="H74" s="1"/>
      <c r="I74" s="1"/>
      <c r="J74" s="1"/>
    </row>
    <row r="75" spans="1:10" ht="16.5" thickBot="1">
      <c r="A75" s="1"/>
      <c r="B75" s="92" t="s">
        <v>75</v>
      </c>
      <c r="C75" s="58"/>
      <c r="D75" s="1"/>
      <c r="E75" s="1"/>
      <c r="F75" s="1"/>
      <c r="G75" s="1"/>
      <c r="H75" s="1"/>
      <c r="I75" s="1"/>
      <c r="J75" s="1"/>
    </row>
    <row r="76" spans="1:10" ht="15.75">
      <c r="A76" s="1"/>
      <c r="B76" s="63"/>
      <c r="C76" s="101"/>
      <c r="D76" s="1"/>
      <c r="E76" s="1"/>
      <c r="F76" s="1"/>
      <c r="G76" s="1"/>
      <c r="H76" s="1"/>
      <c r="I76" s="1"/>
      <c r="J76" s="1"/>
    </row>
    <row r="77" spans="1:10" ht="16.5" thickBot="1">
      <c r="A77" s="1"/>
      <c r="B77" s="63"/>
      <c r="C77" s="59"/>
      <c r="D77" s="1"/>
      <c r="E77" s="1"/>
      <c r="F77" s="1"/>
      <c r="G77" s="1"/>
      <c r="H77" s="1"/>
      <c r="I77" s="1"/>
      <c r="J77" s="1"/>
    </row>
    <row r="78" spans="1:10" ht="16.5" thickBot="1">
      <c r="A78" s="1"/>
      <c r="B78" s="63"/>
      <c r="C78" s="1"/>
      <c r="D78" s="1"/>
      <c r="E78" s="1"/>
      <c r="F78" s="1"/>
      <c r="G78" s="1"/>
      <c r="H78" s="1"/>
      <c r="I78" s="1"/>
      <c r="J78" s="1"/>
    </row>
    <row r="79" spans="1:10" ht="15.75">
      <c r="A79" s="1"/>
      <c r="B79" s="97" t="s">
        <v>127</v>
      </c>
      <c r="C79" s="240">
        <v>177842</v>
      </c>
      <c r="D79" s="54" t="s">
        <v>125</v>
      </c>
      <c r="E79" s="55"/>
      <c r="F79" s="1"/>
      <c r="G79" s="1"/>
      <c r="H79" s="1"/>
      <c r="I79" s="1"/>
      <c r="J79" s="1"/>
    </row>
    <row r="80" spans="1:10" ht="15.75">
      <c r="A80" s="1"/>
      <c r="B80" s="98" t="s">
        <v>73</v>
      </c>
      <c r="C80" s="241">
        <v>-2058.54</v>
      </c>
      <c r="D80" s="94" t="s">
        <v>125</v>
      </c>
      <c r="E80" s="96"/>
      <c r="F80" s="1"/>
      <c r="G80" s="1"/>
      <c r="H80" s="1"/>
      <c r="I80" s="1"/>
      <c r="J80" s="1"/>
    </row>
    <row r="81" spans="2:5" ht="15.75">
      <c r="B81" s="98" t="s">
        <v>74</v>
      </c>
      <c r="C81" s="241">
        <v>1692.47</v>
      </c>
      <c r="D81" s="94" t="s">
        <v>125</v>
      </c>
      <c r="E81" s="222"/>
    </row>
    <row r="82" spans="2:5" ht="15.75">
      <c r="B82" s="98" t="s">
        <v>80</v>
      </c>
      <c r="C82" s="241">
        <v>-54.3003</v>
      </c>
      <c r="D82" s="94" t="s">
        <v>125</v>
      </c>
      <c r="E82" s="222"/>
    </row>
    <row r="83" spans="2:5" ht="16.5" thickBot="1">
      <c r="B83" s="99" t="s">
        <v>124</v>
      </c>
      <c r="C83" s="242">
        <v>0.488188</v>
      </c>
      <c r="D83" s="56" t="s">
        <v>125</v>
      </c>
      <c r="E83" s="22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2"/>
  <sheetViews>
    <sheetView zoomScalePageLayoutView="0" workbookViewId="0" topLeftCell="L40">
      <selection activeCell="M73" sqref="M73"/>
    </sheetView>
  </sheetViews>
  <sheetFormatPr defaultColWidth="9.140625" defaultRowHeight="12.75"/>
  <cols>
    <col min="3" max="5" width="13.140625" style="0" bestFit="1" customWidth="1"/>
    <col min="6" max="7" width="10.7109375" style="0" customWidth="1"/>
    <col min="8" max="8" width="12.421875" style="0" bestFit="1" customWidth="1"/>
    <col min="9" max="9" width="10.421875" style="0" customWidth="1"/>
    <col min="10" max="10" width="13.140625" style="0" bestFit="1" customWidth="1"/>
    <col min="11" max="11" width="12.421875" style="0" bestFit="1" customWidth="1"/>
    <col min="12" max="12" width="11.28125" style="0" customWidth="1"/>
    <col min="13" max="13" width="11.7109375" style="0" customWidth="1"/>
    <col min="14" max="14" width="11.00390625" style="0" customWidth="1"/>
  </cols>
  <sheetData>
    <row r="1" spans="1:16" ht="16.5" thickBot="1">
      <c r="A1" s="155" t="s">
        <v>91</v>
      </c>
      <c r="B1" s="21" t="s">
        <v>60</v>
      </c>
      <c r="C1" s="22" t="s">
        <v>61</v>
      </c>
      <c r="D1" s="104" t="s">
        <v>87</v>
      </c>
      <c r="E1" s="104" t="s">
        <v>88</v>
      </c>
      <c r="F1" s="104" t="s">
        <v>89</v>
      </c>
      <c r="G1" s="104" t="s">
        <v>85</v>
      </c>
      <c r="H1" s="104" t="s">
        <v>90</v>
      </c>
      <c r="I1" s="70"/>
      <c r="J1" s="160" t="s">
        <v>83</v>
      </c>
      <c r="K1" s="161" t="s">
        <v>82</v>
      </c>
      <c r="L1" s="167" t="s">
        <v>111</v>
      </c>
      <c r="M1" s="167" t="s">
        <v>112</v>
      </c>
      <c r="N1" s="180" t="s">
        <v>113</v>
      </c>
      <c r="O1" s="210" t="s">
        <v>119</v>
      </c>
      <c r="P1" s="210" t="s">
        <v>120</v>
      </c>
    </row>
    <row r="2" spans="1:16" ht="15.75">
      <c r="A2" s="156" t="s">
        <v>0</v>
      </c>
      <c r="B2" s="43">
        <v>1</v>
      </c>
      <c r="C2" s="44">
        <v>179342.9</v>
      </c>
      <c r="D2" s="88">
        <f aca="true" t="shared" si="0" ref="D2:D33">B2^2</f>
        <v>1</v>
      </c>
      <c r="E2" s="42">
        <f aca="true" t="shared" si="1" ref="E2:E33">B2*D2</f>
        <v>1</v>
      </c>
      <c r="F2" s="102">
        <f aca="true" t="shared" si="2" ref="F2:F33">D2^2</f>
        <v>1</v>
      </c>
      <c r="G2" s="88">
        <f aca="true" t="shared" si="3" ref="G2:G33">B2*C2</f>
        <v>179342.9</v>
      </c>
      <c r="H2" s="42">
        <f aca="true" t="shared" si="4" ref="H2:H33">D2*C2</f>
        <v>179342.9</v>
      </c>
      <c r="I2" s="1"/>
      <c r="J2" s="2">
        <v>179342.9</v>
      </c>
      <c r="K2" s="128">
        <f>C$79+C$80*B2+C$81*D2+C$82*E2</f>
        <v>115945.73251999999</v>
      </c>
      <c r="L2" s="224">
        <f aca="true" t="shared" si="5" ref="L2:L33">J2-K2</f>
        <v>63397.167480000004</v>
      </c>
      <c r="M2" s="188">
        <f aca="true" t="shared" si="6" ref="M2:M33">ABS(L2)</f>
        <v>63397.167480000004</v>
      </c>
      <c r="N2" s="181">
        <f aca="true" t="shared" si="7" ref="N2:N33">L2*L2</f>
        <v>4019200844.48717</v>
      </c>
      <c r="O2" s="214">
        <f aca="true" t="shared" si="8" ref="O2:O33">M2/J2</f>
        <v>0.35349694624097194</v>
      </c>
      <c r="P2" s="181">
        <f aca="true" t="shared" si="9" ref="P2:P33">M2/ABS(J2+K2)</f>
        <v>0.21469559101875044</v>
      </c>
    </row>
    <row r="3" spans="1:16" ht="15.75">
      <c r="A3" s="157" t="s">
        <v>1</v>
      </c>
      <c r="B3" s="45">
        <v>2</v>
      </c>
      <c r="C3" s="46">
        <v>179879.6</v>
      </c>
      <c r="D3" s="89">
        <f t="shared" si="0"/>
        <v>4</v>
      </c>
      <c r="E3" s="47">
        <f t="shared" si="1"/>
        <v>8</v>
      </c>
      <c r="F3" s="91">
        <f t="shared" si="2"/>
        <v>16</v>
      </c>
      <c r="G3" s="89">
        <f t="shared" si="3"/>
        <v>359759.2</v>
      </c>
      <c r="H3" s="47">
        <f t="shared" si="4"/>
        <v>719518.4</v>
      </c>
      <c r="I3" s="1"/>
      <c r="J3" s="3">
        <v>179879.6</v>
      </c>
      <c r="K3" s="127">
        <f aca="true" t="shared" si="10" ref="K3:K57">C$79+C$80*B3+C$81*D3+C$82*E3</f>
        <v>140547.74816</v>
      </c>
      <c r="L3" s="225">
        <f t="shared" si="5"/>
        <v>39331.85184000002</v>
      </c>
      <c r="M3" s="184">
        <f t="shared" si="6"/>
        <v>39331.85184000002</v>
      </c>
      <c r="N3" s="177">
        <f t="shared" si="7"/>
        <v>1546994569.1637127</v>
      </c>
      <c r="O3" s="215">
        <f t="shared" si="8"/>
        <v>0.21865654493338887</v>
      </c>
      <c r="P3" s="177">
        <f t="shared" si="9"/>
        <v>0.12274811143885359</v>
      </c>
    </row>
    <row r="4" spans="1:16" ht="15.75">
      <c r="A4" s="157" t="s">
        <v>2</v>
      </c>
      <c r="B4" s="45">
        <f aca="true" t="shared" si="11" ref="B4:B35">B3+1</f>
        <v>3</v>
      </c>
      <c r="C4" s="46">
        <v>184157.9</v>
      </c>
      <c r="D4" s="89">
        <f t="shared" si="0"/>
        <v>9</v>
      </c>
      <c r="E4" s="47">
        <f t="shared" si="1"/>
        <v>27</v>
      </c>
      <c r="F4" s="91">
        <f t="shared" si="2"/>
        <v>81</v>
      </c>
      <c r="G4" s="89">
        <f t="shared" si="3"/>
        <v>552473.7</v>
      </c>
      <c r="H4" s="47">
        <f t="shared" si="4"/>
        <v>1657421.0999999999</v>
      </c>
      <c r="I4" s="1"/>
      <c r="J4" s="3">
        <v>184157.9</v>
      </c>
      <c r="K4" s="127">
        <f t="shared" si="10"/>
        <v>164314.72404</v>
      </c>
      <c r="L4" s="225">
        <f t="shared" si="5"/>
        <v>19843.175959999993</v>
      </c>
      <c r="M4" s="184">
        <f t="shared" si="6"/>
        <v>19843.175959999993</v>
      </c>
      <c r="N4" s="177">
        <f t="shared" si="7"/>
        <v>393751632.1795217</v>
      </c>
      <c r="O4" s="215">
        <f t="shared" si="8"/>
        <v>0.10775088095596222</v>
      </c>
      <c r="P4" s="177">
        <f t="shared" si="9"/>
        <v>0.056943285041875374</v>
      </c>
    </row>
    <row r="5" spans="1:16" ht="16.5" thickBot="1">
      <c r="A5" s="158" t="s">
        <v>3</v>
      </c>
      <c r="B5" s="45">
        <f t="shared" si="11"/>
        <v>4</v>
      </c>
      <c r="C5" s="48">
        <v>204782.7</v>
      </c>
      <c r="D5" s="90">
        <f t="shared" si="0"/>
        <v>16</v>
      </c>
      <c r="E5" s="49">
        <f t="shared" si="1"/>
        <v>64</v>
      </c>
      <c r="F5" s="103">
        <f t="shared" si="2"/>
        <v>256</v>
      </c>
      <c r="G5" s="90">
        <f t="shared" si="3"/>
        <v>819130.8</v>
      </c>
      <c r="H5" s="49">
        <f t="shared" si="4"/>
        <v>3276523.2</v>
      </c>
      <c r="I5" s="1"/>
      <c r="J5" s="4">
        <v>204782.7</v>
      </c>
      <c r="K5" s="129">
        <f t="shared" si="10"/>
        <v>187260.63728</v>
      </c>
      <c r="L5" s="226">
        <f t="shared" si="5"/>
        <v>17522.062720000016</v>
      </c>
      <c r="M5" s="185">
        <f t="shared" si="6"/>
        <v>17522.062720000016</v>
      </c>
      <c r="N5" s="182">
        <f t="shared" si="7"/>
        <v>307022681.96361434</v>
      </c>
      <c r="O5" s="216">
        <f t="shared" si="8"/>
        <v>0.0855641747081175</v>
      </c>
      <c r="P5" s="177">
        <f t="shared" si="9"/>
        <v>0.04469419845665083</v>
      </c>
    </row>
    <row r="6" spans="1:16" ht="15.75">
      <c r="A6" s="156" t="s">
        <v>4</v>
      </c>
      <c r="B6" s="43">
        <f t="shared" si="11"/>
        <v>5</v>
      </c>
      <c r="C6" s="50">
        <v>215145.3</v>
      </c>
      <c r="D6" s="42">
        <f t="shared" si="0"/>
        <v>25</v>
      </c>
      <c r="E6" s="42">
        <f t="shared" si="1"/>
        <v>125</v>
      </c>
      <c r="F6" s="42">
        <f t="shared" si="2"/>
        <v>625</v>
      </c>
      <c r="G6" s="42">
        <f t="shared" si="3"/>
        <v>1075726.5</v>
      </c>
      <c r="H6" s="42">
        <f t="shared" si="4"/>
        <v>5378632.5</v>
      </c>
      <c r="I6" s="1"/>
      <c r="J6" s="131">
        <v>215145.3</v>
      </c>
      <c r="K6" s="128">
        <f>C$79+C$80*B6+C$81*D6+C$82*E6</f>
        <v>209399.46500000003</v>
      </c>
      <c r="L6" s="170">
        <f t="shared" si="5"/>
        <v>5745.834999999963</v>
      </c>
      <c r="M6" s="183">
        <f t="shared" si="6"/>
        <v>5745.834999999963</v>
      </c>
      <c r="N6" s="181">
        <f t="shared" si="7"/>
        <v>33014619.84722457</v>
      </c>
      <c r="O6" s="214">
        <f t="shared" si="8"/>
        <v>0.026706765148948004</v>
      </c>
      <c r="P6" s="181">
        <f t="shared" si="9"/>
        <v>0.013534108705827434</v>
      </c>
    </row>
    <row r="7" spans="1:16" ht="15.75">
      <c r="A7" s="157" t="s">
        <v>5</v>
      </c>
      <c r="B7" s="45">
        <f t="shared" si="11"/>
        <v>6</v>
      </c>
      <c r="C7" s="51">
        <v>220120.4</v>
      </c>
      <c r="D7" s="47">
        <f t="shared" si="0"/>
        <v>36</v>
      </c>
      <c r="E7" s="47">
        <f t="shared" si="1"/>
        <v>216</v>
      </c>
      <c r="F7" s="47">
        <f t="shared" si="2"/>
        <v>1296</v>
      </c>
      <c r="G7" s="47">
        <f t="shared" si="3"/>
        <v>1320722.4</v>
      </c>
      <c r="H7" s="47">
        <f t="shared" si="4"/>
        <v>7924334.399999999</v>
      </c>
      <c r="I7" s="1"/>
      <c r="J7" s="132">
        <v>220120.4</v>
      </c>
      <c r="K7" s="127">
        <f t="shared" si="10"/>
        <v>230745.18432000003</v>
      </c>
      <c r="L7" s="169">
        <f t="shared" si="5"/>
        <v>-10624.784320000035</v>
      </c>
      <c r="M7" s="183">
        <f t="shared" si="6"/>
        <v>10624.784320000035</v>
      </c>
      <c r="N7" s="177">
        <f t="shared" si="7"/>
        <v>112886041.8465186</v>
      </c>
      <c r="O7" s="215">
        <f t="shared" si="8"/>
        <v>0.048268058389863165</v>
      </c>
      <c r="P7" s="177">
        <f t="shared" si="9"/>
        <v>0.0235653034729285</v>
      </c>
    </row>
    <row r="8" spans="1:16" ht="15.75">
      <c r="A8" s="157" t="s">
        <v>6</v>
      </c>
      <c r="B8" s="45">
        <f t="shared" si="11"/>
        <v>7</v>
      </c>
      <c r="C8" s="51">
        <v>224857.6</v>
      </c>
      <c r="D8" s="47">
        <f t="shared" si="0"/>
        <v>49</v>
      </c>
      <c r="E8" s="47">
        <f t="shared" si="1"/>
        <v>343</v>
      </c>
      <c r="F8" s="47">
        <f t="shared" si="2"/>
        <v>2401</v>
      </c>
      <c r="G8" s="47">
        <f t="shared" si="3"/>
        <v>1574003.2</v>
      </c>
      <c r="H8" s="47">
        <f t="shared" si="4"/>
        <v>11018022.4</v>
      </c>
      <c r="I8" s="1"/>
      <c r="J8" s="132">
        <v>224857.6</v>
      </c>
      <c r="K8" s="127">
        <f t="shared" si="10"/>
        <v>251311.77235999997</v>
      </c>
      <c r="L8" s="169">
        <f t="shared" si="5"/>
        <v>-26454.172359999968</v>
      </c>
      <c r="M8" s="183">
        <f t="shared" si="6"/>
        <v>26454.172359999968</v>
      </c>
      <c r="N8" s="177">
        <f t="shared" si="7"/>
        <v>699823235.2525862</v>
      </c>
      <c r="O8" s="215">
        <f t="shared" si="8"/>
        <v>0.11764855784283015</v>
      </c>
      <c r="P8" s="177">
        <f t="shared" si="9"/>
        <v>0.05555622409918404</v>
      </c>
    </row>
    <row r="9" spans="1:16" ht="16.5" thickBot="1">
      <c r="A9" s="158" t="s">
        <v>7</v>
      </c>
      <c r="B9" s="52">
        <f t="shared" si="11"/>
        <v>8</v>
      </c>
      <c r="C9" s="53">
        <v>244498.9</v>
      </c>
      <c r="D9" s="49">
        <f t="shared" si="0"/>
        <v>64</v>
      </c>
      <c r="E9" s="49">
        <f t="shared" si="1"/>
        <v>512</v>
      </c>
      <c r="F9" s="49">
        <f t="shared" si="2"/>
        <v>4096</v>
      </c>
      <c r="G9" s="49">
        <f t="shared" si="3"/>
        <v>1955991.2</v>
      </c>
      <c r="H9" s="49">
        <f t="shared" si="4"/>
        <v>15647929.6</v>
      </c>
      <c r="I9" s="1"/>
      <c r="J9" s="133">
        <v>244498.9</v>
      </c>
      <c r="K9" s="129">
        <f t="shared" si="10"/>
        <v>271113.20623999997</v>
      </c>
      <c r="L9" s="171">
        <f t="shared" si="5"/>
        <v>-26614.306239999976</v>
      </c>
      <c r="M9" s="183">
        <f t="shared" si="6"/>
        <v>26614.306239999976</v>
      </c>
      <c r="N9" s="182">
        <f t="shared" si="7"/>
        <v>708321296.6365017</v>
      </c>
      <c r="O9" s="216">
        <f t="shared" si="8"/>
        <v>0.10885245798651845</v>
      </c>
      <c r="P9" s="182">
        <f t="shared" si="9"/>
        <v>0.0516169149597351</v>
      </c>
    </row>
    <row r="10" spans="1:16" ht="15.75">
      <c r="A10" s="156" t="s">
        <v>8</v>
      </c>
      <c r="B10" s="45">
        <f t="shared" si="11"/>
        <v>9</v>
      </c>
      <c r="C10" s="50">
        <v>257013.4</v>
      </c>
      <c r="D10" s="42">
        <f t="shared" si="0"/>
        <v>81</v>
      </c>
      <c r="E10" s="42">
        <f t="shared" si="1"/>
        <v>729</v>
      </c>
      <c r="F10" s="42">
        <f t="shared" si="2"/>
        <v>6561</v>
      </c>
      <c r="G10" s="42">
        <f t="shared" si="3"/>
        <v>2313120.6</v>
      </c>
      <c r="H10" s="42">
        <f t="shared" si="4"/>
        <v>20818085.4</v>
      </c>
      <c r="I10" s="1"/>
      <c r="J10" s="131">
        <v>257013.4</v>
      </c>
      <c r="K10" s="128">
        <f>C$79+C$80*B10+C$81*D10+C$82*E10</f>
        <v>290163.46308</v>
      </c>
      <c r="L10" s="170">
        <f t="shared" si="5"/>
        <v>-33150.06308000002</v>
      </c>
      <c r="M10" s="181">
        <f t="shared" si="6"/>
        <v>33150.06308000002</v>
      </c>
      <c r="N10" s="184">
        <f t="shared" si="7"/>
        <v>1098926682.2079806</v>
      </c>
      <c r="O10" s="214">
        <f t="shared" si="8"/>
        <v>0.12898184717217087</v>
      </c>
      <c r="P10" s="181">
        <f t="shared" si="9"/>
        <v>0.06058381725682234</v>
      </c>
    </row>
    <row r="11" spans="1:16" ht="15.75">
      <c r="A11" s="157" t="s">
        <v>9</v>
      </c>
      <c r="B11" s="45">
        <f t="shared" si="11"/>
        <v>10</v>
      </c>
      <c r="C11" s="51">
        <v>268251.6</v>
      </c>
      <c r="D11" s="47">
        <f t="shared" si="0"/>
        <v>100</v>
      </c>
      <c r="E11" s="47">
        <f t="shared" si="1"/>
        <v>1000</v>
      </c>
      <c r="F11" s="47">
        <f t="shared" si="2"/>
        <v>10000</v>
      </c>
      <c r="G11" s="47">
        <f t="shared" si="3"/>
        <v>2682516</v>
      </c>
      <c r="H11" s="47">
        <f t="shared" si="4"/>
        <v>26825159.999999996</v>
      </c>
      <c r="I11" s="1"/>
      <c r="J11" s="132">
        <v>268251.6</v>
      </c>
      <c r="K11" s="127">
        <f t="shared" si="10"/>
        <v>308476.52</v>
      </c>
      <c r="L11" s="169">
        <f t="shared" si="5"/>
        <v>-40224.92000000004</v>
      </c>
      <c r="M11" s="177">
        <f t="shared" si="6"/>
        <v>40224.92000000004</v>
      </c>
      <c r="N11" s="184">
        <f t="shared" si="7"/>
        <v>1618044189.0064034</v>
      </c>
      <c r="O11" s="215">
        <f t="shared" si="8"/>
        <v>0.14995220904553802</v>
      </c>
      <c r="P11" s="177">
        <f t="shared" si="9"/>
        <v>0.06974676386509478</v>
      </c>
    </row>
    <row r="12" spans="1:16" ht="15.75">
      <c r="A12" s="157" t="s">
        <v>10</v>
      </c>
      <c r="B12" s="45">
        <f t="shared" si="11"/>
        <v>11</v>
      </c>
      <c r="C12" s="51">
        <v>280707.7</v>
      </c>
      <c r="D12" s="47">
        <f t="shared" si="0"/>
        <v>121</v>
      </c>
      <c r="E12" s="47">
        <f t="shared" si="1"/>
        <v>1331</v>
      </c>
      <c r="F12" s="47">
        <f t="shared" si="2"/>
        <v>14641</v>
      </c>
      <c r="G12" s="47">
        <f t="shared" si="3"/>
        <v>3087784.7</v>
      </c>
      <c r="H12" s="47">
        <f t="shared" si="4"/>
        <v>33965631.7</v>
      </c>
      <c r="I12" s="1"/>
      <c r="J12" s="132">
        <v>280707.7</v>
      </c>
      <c r="K12" s="127">
        <f t="shared" si="10"/>
        <v>326066.35412000003</v>
      </c>
      <c r="L12" s="169">
        <f t="shared" si="5"/>
        <v>-45358.65412000002</v>
      </c>
      <c r="M12" s="177">
        <f t="shared" si="6"/>
        <v>45358.65412000002</v>
      </c>
      <c r="N12" s="184">
        <f t="shared" si="7"/>
        <v>2057407503.5777948</v>
      </c>
      <c r="O12" s="215">
        <f t="shared" si="8"/>
        <v>0.16158678269245916</v>
      </c>
      <c r="P12" s="177">
        <f t="shared" si="9"/>
        <v>0.0747537799482599</v>
      </c>
    </row>
    <row r="13" spans="1:16" ht="16.5" thickBot="1">
      <c r="A13" s="158" t="s">
        <v>11</v>
      </c>
      <c r="B13" s="45">
        <f t="shared" si="11"/>
        <v>12</v>
      </c>
      <c r="C13" s="53">
        <v>306236.9</v>
      </c>
      <c r="D13" s="49">
        <f t="shared" si="0"/>
        <v>144</v>
      </c>
      <c r="E13" s="49">
        <f t="shared" si="1"/>
        <v>1728</v>
      </c>
      <c r="F13" s="49">
        <f t="shared" si="2"/>
        <v>20736</v>
      </c>
      <c r="G13" s="49">
        <f t="shared" si="3"/>
        <v>3674842.8000000003</v>
      </c>
      <c r="H13" s="49">
        <f t="shared" si="4"/>
        <v>44098113.6</v>
      </c>
      <c r="I13" s="1"/>
      <c r="J13" s="133">
        <v>306236.9</v>
      </c>
      <c r="K13" s="129">
        <f t="shared" si="10"/>
        <v>342946.94256</v>
      </c>
      <c r="L13" s="171">
        <f t="shared" si="5"/>
        <v>-36710.04255999997</v>
      </c>
      <c r="M13" s="182">
        <f t="shared" si="6"/>
        <v>36710.04255999997</v>
      </c>
      <c r="N13" s="184">
        <f t="shared" si="7"/>
        <v>1347627224.7570093</v>
      </c>
      <c r="O13" s="216">
        <f t="shared" si="8"/>
        <v>0.11987465442603412</v>
      </c>
      <c r="P13" s="177">
        <f t="shared" si="9"/>
        <v>0.056547991729487775</v>
      </c>
    </row>
    <row r="14" spans="1:16" ht="15.75">
      <c r="A14" s="156" t="s">
        <v>12</v>
      </c>
      <c r="B14" s="43">
        <f t="shared" si="11"/>
        <v>13</v>
      </c>
      <c r="C14" s="50">
        <v>320848.6</v>
      </c>
      <c r="D14" s="42">
        <f t="shared" si="0"/>
        <v>169</v>
      </c>
      <c r="E14" s="42">
        <f t="shared" si="1"/>
        <v>2197</v>
      </c>
      <c r="F14" s="42">
        <f t="shared" si="2"/>
        <v>28561</v>
      </c>
      <c r="G14" s="42">
        <f t="shared" si="3"/>
        <v>4171031.8</v>
      </c>
      <c r="H14" s="42">
        <f t="shared" si="4"/>
        <v>54223413.4</v>
      </c>
      <c r="I14" s="1"/>
      <c r="J14" s="131">
        <v>320848.6</v>
      </c>
      <c r="K14" s="128">
        <f>C$79+C$80*B14+C$81*D14+C$82*E14</f>
        <v>359132.26244</v>
      </c>
      <c r="L14" s="170">
        <f t="shared" si="5"/>
        <v>-38283.662440000044</v>
      </c>
      <c r="M14" s="183">
        <f t="shared" si="6"/>
        <v>38283.662440000044</v>
      </c>
      <c r="N14" s="181">
        <f t="shared" si="7"/>
        <v>1465638809.81987</v>
      </c>
      <c r="O14" s="214">
        <f t="shared" si="8"/>
        <v>0.1193200233381104</v>
      </c>
      <c r="P14" s="181">
        <f t="shared" si="9"/>
        <v>0.056301088096252276</v>
      </c>
    </row>
    <row r="15" spans="1:16" ht="15.75">
      <c r="A15" s="157" t="s">
        <v>13</v>
      </c>
      <c r="B15" s="45">
        <f t="shared" si="11"/>
        <v>14</v>
      </c>
      <c r="C15" s="51">
        <v>329595.1</v>
      </c>
      <c r="D15" s="47">
        <f t="shared" si="0"/>
        <v>196</v>
      </c>
      <c r="E15" s="47">
        <f t="shared" si="1"/>
        <v>2744</v>
      </c>
      <c r="F15" s="47">
        <f t="shared" si="2"/>
        <v>38416</v>
      </c>
      <c r="G15" s="47">
        <f t="shared" si="3"/>
        <v>4614331.399999999</v>
      </c>
      <c r="H15" s="47">
        <f t="shared" si="4"/>
        <v>64600639.599999994</v>
      </c>
      <c r="I15" s="1"/>
      <c r="J15" s="132">
        <v>329595.1</v>
      </c>
      <c r="K15" s="127">
        <f t="shared" si="10"/>
        <v>374636.29088</v>
      </c>
      <c r="L15" s="169">
        <f t="shared" si="5"/>
        <v>-45041.19088000001</v>
      </c>
      <c r="M15" s="183">
        <f t="shared" si="6"/>
        <v>45041.19088000001</v>
      </c>
      <c r="N15" s="177">
        <f t="shared" si="7"/>
        <v>2028708875.888596</v>
      </c>
      <c r="O15" s="215">
        <f t="shared" si="8"/>
        <v>0.1366561301427115</v>
      </c>
      <c r="P15" s="177">
        <f t="shared" si="9"/>
        <v>0.06395794260706984</v>
      </c>
    </row>
    <row r="16" spans="1:16" ht="15.75">
      <c r="A16" s="157" t="s">
        <v>14</v>
      </c>
      <c r="B16" s="45">
        <f t="shared" si="11"/>
        <v>15</v>
      </c>
      <c r="C16" s="51">
        <v>336112.3</v>
      </c>
      <c r="D16" s="47">
        <f t="shared" si="0"/>
        <v>225</v>
      </c>
      <c r="E16" s="47">
        <f t="shared" si="1"/>
        <v>3375</v>
      </c>
      <c r="F16" s="47">
        <f t="shared" si="2"/>
        <v>50625</v>
      </c>
      <c r="G16" s="47">
        <f t="shared" si="3"/>
        <v>5041684.5</v>
      </c>
      <c r="H16" s="47">
        <f t="shared" si="4"/>
        <v>75625267.5</v>
      </c>
      <c r="I16" s="1"/>
      <c r="J16" s="132">
        <v>336112.3</v>
      </c>
      <c r="K16" s="127">
        <f t="shared" si="10"/>
        <v>389473.005</v>
      </c>
      <c r="L16" s="169">
        <f t="shared" si="5"/>
        <v>-53360.705000000016</v>
      </c>
      <c r="M16" s="183">
        <f t="shared" si="6"/>
        <v>53360.705000000016</v>
      </c>
      <c r="N16" s="177">
        <f t="shared" si="7"/>
        <v>2847364838.097027</v>
      </c>
      <c r="O16" s="215">
        <f t="shared" si="8"/>
        <v>0.15875856075484301</v>
      </c>
      <c r="P16" s="177">
        <f t="shared" si="9"/>
        <v>0.07354160101133804</v>
      </c>
    </row>
    <row r="17" spans="1:16" ht="16.5" thickBot="1">
      <c r="A17" s="158" t="s">
        <v>15</v>
      </c>
      <c r="B17" s="52">
        <f t="shared" si="11"/>
        <v>16</v>
      </c>
      <c r="C17" s="53">
        <v>365625.2</v>
      </c>
      <c r="D17" s="49">
        <f t="shared" si="0"/>
        <v>256</v>
      </c>
      <c r="E17" s="49">
        <f t="shared" si="1"/>
        <v>4096</v>
      </c>
      <c r="F17" s="49">
        <f t="shared" si="2"/>
        <v>65536</v>
      </c>
      <c r="G17" s="49">
        <f t="shared" si="3"/>
        <v>5850003.2</v>
      </c>
      <c r="H17" s="49">
        <f t="shared" si="4"/>
        <v>93600051.2</v>
      </c>
      <c r="I17" s="1"/>
      <c r="J17" s="133">
        <v>365625.2</v>
      </c>
      <c r="K17" s="129">
        <f t="shared" si="10"/>
        <v>403656.38192</v>
      </c>
      <c r="L17" s="171">
        <f t="shared" si="5"/>
        <v>-38031.18192</v>
      </c>
      <c r="M17" s="183">
        <f t="shared" si="6"/>
        <v>38031.18192</v>
      </c>
      <c r="N17" s="182">
        <f t="shared" si="7"/>
        <v>1446370798.232135</v>
      </c>
      <c r="O17" s="216">
        <f t="shared" si="8"/>
        <v>0.10401685091727814</v>
      </c>
      <c r="P17" s="182">
        <f t="shared" si="9"/>
        <v>0.049437270843116304</v>
      </c>
    </row>
    <row r="18" spans="1:16" ht="15.75">
      <c r="A18" s="156" t="s">
        <v>16</v>
      </c>
      <c r="B18" s="45">
        <f t="shared" si="11"/>
        <v>17</v>
      </c>
      <c r="C18" s="50">
        <v>414840.1</v>
      </c>
      <c r="D18" s="42">
        <f t="shared" si="0"/>
        <v>289</v>
      </c>
      <c r="E18" s="42">
        <f t="shared" si="1"/>
        <v>4913</v>
      </c>
      <c r="F18" s="42">
        <f t="shared" si="2"/>
        <v>83521</v>
      </c>
      <c r="G18" s="42">
        <f t="shared" si="3"/>
        <v>7052281.699999999</v>
      </c>
      <c r="H18" s="42">
        <f t="shared" si="4"/>
        <v>119888788.89999999</v>
      </c>
      <c r="I18" s="1"/>
      <c r="J18" s="131">
        <v>414840.1</v>
      </c>
      <c r="K18" s="128">
        <f>C$79+C$80*B18+C$81*D18+C$82*E18</f>
        <v>417200.39875999995</v>
      </c>
      <c r="L18" s="170">
        <f t="shared" si="5"/>
        <v>-2360.298759999976</v>
      </c>
      <c r="M18" s="181">
        <f t="shared" si="6"/>
        <v>2360.298759999976</v>
      </c>
      <c r="N18" s="184">
        <f t="shared" si="7"/>
        <v>5571010.236457424</v>
      </c>
      <c r="O18" s="214">
        <f t="shared" si="8"/>
        <v>0.005689659124081727</v>
      </c>
      <c r="P18" s="181">
        <f t="shared" si="9"/>
        <v>0.0028367594648548455</v>
      </c>
    </row>
    <row r="19" spans="1:16" ht="15.75">
      <c r="A19" s="157" t="s">
        <v>17</v>
      </c>
      <c r="B19" s="45">
        <f t="shared" si="11"/>
        <v>18</v>
      </c>
      <c r="C19" s="51">
        <v>441183</v>
      </c>
      <c r="D19" s="47">
        <f t="shared" si="0"/>
        <v>324</v>
      </c>
      <c r="E19" s="47">
        <f t="shared" si="1"/>
        <v>5832</v>
      </c>
      <c r="F19" s="47">
        <f t="shared" si="2"/>
        <v>104976</v>
      </c>
      <c r="G19" s="47">
        <f t="shared" si="3"/>
        <v>7941294</v>
      </c>
      <c r="H19" s="47">
        <f t="shared" si="4"/>
        <v>142943292</v>
      </c>
      <c r="I19" s="1"/>
      <c r="J19" s="132">
        <v>441183</v>
      </c>
      <c r="K19" s="127">
        <f t="shared" si="10"/>
        <v>430119.03264000005</v>
      </c>
      <c r="L19" s="169">
        <f t="shared" si="5"/>
        <v>11063.967359999951</v>
      </c>
      <c r="M19" s="177">
        <f t="shared" si="6"/>
        <v>11063.967359999951</v>
      </c>
      <c r="N19" s="184">
        <f t="shared" si="7"/>
        <v>122411373.74314429</v>
      </c>
      <c r="O19" s="215">
        <f t="shared" si="8"/>
        <v>0.025077954862267927</v>
      </c>
      <c r="P19" s="177">
        <f t="shared" si="9"/>
        <v>0.01269819987275446</v>
      </c>
    </row>
    <row r="20" spans="1:16" ht="15.75">
      <c r="A20" s="157" t="s">
        <v>18</v>
      </c>
      <c r="B20" s="45">
        <f t="shared" si="11"/>
        <v>19</v>
      </c>
      <c r="C20" s="51">
        <v>443649.1</v>
      </c>
      <c r="D20" s="47">
        <f t="shared" si="0"/>
        <v>361</v>
      </c>
      <c r="E20" s="47">
        <f t="shared" si="1"/>
        <v>6859</v>
      </c>
      <c r="F20" s="47">
        <f t="shared" si="2"/>
        <v>130321</v>
      </c>
      <c r="G20" s="47">
        <f t="shared" si="3"/>
        <v>8429332.9</v>
      </c>
      <c r="H20" s="47">
        <f t="shared" si="4"/>
        <v>160157325.1</v>
      </c>
      <c r="I20" s="1"/>
      <c r="J20" s="132">
        <v>443649.1</v>
      </c>
      <c r="K20" s="127">
        <f t="shared" si="10"/>
        <v>442426.26068</v>
      </c>
      <c r="L20" s="169">
        <f t="shared" si="5"/>
        <v>1222.83931999997</v>
      </c>
      <c r="M20" s="177">
        <f t="shared" si="6"/>
        <v>1222.83931999997</v>
      </c>
      <c r="N20" s="184">
        <f t="shared" si="7"/>
        <v>1495336.002537989</v>
      </c>
      <c r="O20" s="215">
        <f t="shared" si="8"/>
        <v>0.002756320975293244</v>
      </c>
      <c r="P20" s="177">
        <f t="shared" si="9"/>
        <v>0.0013800624351652524</v>
      </c>
    </row>
    <row r="21" spans="1:16" ht="16.5" thickBot="1">
      <c r="A21" s="158" t="s">
        <v>19</v>
      </c>
      <c r="B21" s="45">
        <f t="shared" si="11"/>
        <v>20</v>
      </c>
      <c r="C21" s="53">
        <v>473921.5</v>
      </c>
      <c r="D21" s="49">
        <f t="shared" si="0"/>
        <v>400</v>
      </c>
      <c r="E21" s="49">
        <f t="shared" si="1"/>
        <v>8000</v>
      </c>
      <c r="F21" s="49">
        <f t="shared" si="2"/>
        <v>160000</v>
      </c>
      <c r="G21" s="49">
        <f t="shared" si="3"/>
        <v>9478430</v>
      </c>
      <c r="H21" s="49">
        <f t="shared" si="4"/>
        <v>189568600</v>
      </c>
      <c r="I21" s="1"/>
      <c r="J21" s="133">
        <v>473921.5</v>
      </c>
      <c r="K21" s="129">
        <f t="shared" si="10"/>
        <v>454136.0599999999</v>
      </c>
      <c r="L21" s="171">
        <f t="shared" si="5"/>
        <v>19785.44000000012</v>
      </c>
      <c r="M21" s="182">
        <f t="shared" si="6"/>
        <v>19785.44000000012</v>
      </c>
      <c r="N21" s="184">
        <f t="shared" si="7"/>
        <v>391463635.9936047</v>
      </c>
      <c r="O21" s="216">
        <f t="shared" si="8"/>
        <v>0.041748348618917096</v>
      </c>
      <c r="P21" s="177">
        <f t="shared" si="9"/>
        <v>0.02131919489993716</v>
      </c>
    </row>
    <row r="22" spans="1:16" ht="15.75">
      <c r="A22" s="156" t="s">
        <v>20</v>
      </c>
      <c r="B22" s="43">
        <f t="shared" si="11"/>
        <v>21</v>
      </c>
      <c r="C22" s="50">
        <v>493387.1</v>
      </c>
      <c r="D22" s="42">
        <f t="shared" si="0"/>
        <v>441</v>
      </c>
      <c r="E22" s="42">
        <f t="shared" si="1"/>
        <v>9261</v>
      </c>
      <c r="F22" s="42">
        <f t="shared" si="2"/>
        <v>194481</v>
      </c>
      <c r="G22" s="42">
        <f t="shared" si="3"/>
        <v>10361129.1</v>
      </c>
      <c r="H22" s="42">
        <f t="shared" si="4"/>
        <v>217583711.1</v>
      </c>
      <c r="I22" s="1"/>
      <c r="J22" s="131">
        <v>493387.1</v>
      </c>
      <c r="K22" s="128">
        <f>C$79+C$80*B22+C$81*D22+C$82*E22</f>
        <v>465262.40772</v>
      </c>
      <c r="L22" s="170">
        <f t="shared" si="5"/>
        <v>28124.69227999996</v>
      </c>
      <c r="M22" s="183">
        <f t="shared" si="6"/>
        <v>28124.69227999996</v>
      </c>
      <c r="N22" s="181">
        <f t="shared" si="7"/>
        <v>790998315.8446892</v>
      </c>
      <c r="O22" s="214">
        <f t="shared" si="8"/>
        <v>0.057003298789125134</v>
      </c>
      <c r="P22" s="181">
        <f t="shared" si="9"/>
        <v>0.029337825820085386</v>
      </c>
    </row>
    <row r="23" spans="1:16" ht="15.75">
      <c r="A23" s="157" t="s">
        <v>21</v>
      </c>
      <c r="B23" s="45">
        <f t="shared" si="11"/>
        <v>22</v>
      </c>
      <c r="C23" s="51">
        <v>512073.8</v>
      </c>
      <c r="D23" s="47">
        <f t="shared" si="0"/>
        <v>484</v>
      </c>
      <c r="E23" s="47">
        <f t="shared" si="1"/>
        <v>10648</v>
      </c>
      <c r="F23" s="47">
        <f t="shared" si="2"/>
        <v>234256</v>
      </c>
      <c r="G23" s="47">
        <f t="shared" si="3"/>
        <v>11265623.6</v>
      </c>
      <c r="H23" s="47">
        <f t="shared" si="4"/>
        <v>247843719.2</v>
      </c>
      <c r="I23" s="1"/>
      <c r="J23" s="132">
        <v>512073.8</v>
      </c>
      <c r="K23" s="127">
        <f t="shared" si="10"/>
        <v>475819.28095999995</v>
      </c>
      <c r="L23" s="169">
        <f t="shared" si="5"/>
        <v>36254.51904000004</v>
      </c>
      <c r="M23" s="183">
        <f t="shared" si="6"/>
        <v>36254.51904000004</v>
      </c>
      <c r="N23" s="177">
        <f t="shared" si="7"/>
        <v>1314390150.8217256</v>
      </c>
      <c r="O23" s="215">
        <f t="shared" si="8"/>
        <v>0.07079940242988421</v>
      </c>
      <c r="P23" s="177">
        <f t="shared" si="9"/>
        <v>0.03669882878901143</v>
      </c>
    </row>
    <row r="24" spans="1:16" ht="15.75">
      <c r="A24" s="157" t="s">
        <v>22</v>
      </c>
      <c r="B24" s="45">
        <f t="shared" si="11"/>
        <v>23</v>
      </c>
      <c r="C24" s="51">
        <v>527451.8</v>
      </c>
      <c r="D24" s="47">
        <f t="shared" si="0"/>
        <v>529</v>
      </c>
      <c r="E24" s="47">
        <f t="shared" si="1"/>
        <v>12167</v>
      </c>
      <c r="F24" s="47">
        <f t="shared" si="2"/>
        <v>279841</v>
      </c>
      <c r="G24" s="47">
        <f t="shared" si="3"/>
        <v>12131391.4</v>
      </c>
      <c r="H24" s="47">
        <f t="shared" si="4"/>
        <v>279022002.20000005</v>
      </c>
      <c r="I24" s="1"/>
      <c r="J24" s="132">
        <v>527451.8</v>
      </c>
      <c r="K24" s="127">
        <f t="shared" si="10"/>
        <v>485820.65683999995</v>
      </c>
      <c r="L24" s="169">
        <f t="shared" si="5"/>
        <v>41631.143160000094</v>
      </c>
      <c r="M24" s="183">
        <f t="shared" si="6"/>
        <v>41631.143160000094</v>
      </c>
      <c r="N24" s="177">
        <f t="shared" si="7"/>
        <v>1733152080.8084226</v>
      </c>
      <c r="O24" s="215">
        <f t="shared" si="8"/>
        <v>0.07892881048088203</v>
      </c>
      <c r="P24" s="177">
        <f t="shared" si="9"/>
        <v>0.04108583321195893</v>
      </c>
    </row>
    <row r="25" spans="1:16" ht="16.5" thickBot="1">
      <c r="A25" s="158" t="s">
        <v>23</v>
      </c>
      <c r="B25" s="52">
        <f t="shared" si="11"/>
        <v>24</v>
      </c>
      <c r="C25" s="53">
        <v>549745.5</v>
      </c>
      <c r="D25" s="49">
        <f t="shared" si="0"/>
        <v>576</v>
      </c>
      <c r="E25" s="49">
        <f t="shared" si="1"/>
        <v>13824</v>
      </c>
      <c r="F25" s="49">
        <f t="shared" si="2"/>
        <v>331776</v>
      </c>
      <c r="G25" s="49">
        <f t="shared" si="3"/>
        <v>13193892</v>
      </c>
      <c r="H25" s="49">
        <f t="shared" si="4"/>
        <v>316653408</v>
      </c>
      <c r="I25" s="1"/>
      <c r="J25" s="133">
        <v>549745.5</v>
      </c>
      <c r="K25" s="129">
        <f t="shared" si="10"/>
        <v>495280.51248000003</v>
      </c>
      <c r="L25" s="171">
        <f t="shared" si="5"/>
        <v>54464.987519999966</v>
      </c>
      <c r="M25" s="183">
        <f t="shared" si="6"/>
        <v>54464.987519999966</v>
      </c>
      <c r="N25" s="182">
        <f t="shared" si="7"/>
        <v>2966434865.553752</v>
      </c>
      <c r="O25" s="216">
        <f t="shared" si="8"/>
        <v>0.09907309385888555</v>
      </c>
      <c r="P25" s="182">
        <f t="shared" si="9"/>
        <v>0.052118307936418314</v>
      </c>
    </row>
    <row r="26" spans="1:16" ht="15.75">
      <c r="A26" s="156" t="s">
        <v>24</v>
      </c>
      <c r="B26" s="43">
        <f t="shared" si="11"/>
        <v>25</v>
      </c>
      <c r="C26" s="50">
        <v>559644.4</v>
      </c>
      <c r="D26" s="42">
        <f t="shared" si="0"/>
        <v>625</v>
      </c>
      <c r="E26" s="42">
        <f t="shared" si="1"/>
        <v>15625</v>
      </c>
      <c r="F26" s="42">
        <f t="shared" si="2"/>
        <v>390625</v>
      </c>
      <c r="G26" s="42">
        <f t="shared" si="3"/>
        <v>13991110</v>
      </c>
      <c r="H26" s="42">
        <f t="shared" si="4"/>
        <v>349777750</v>
      </c>
      <c r="I26" s="1"/>
      <c r="J26" s="131">
        <v>559644.4</v>
      </c>
      <c r="K26" s="128">
        <f>C$79+C$80*B26+C$81*D26+C$82*E26</f>
        <v>504212.82499999995</v>
      </c>
      <c r="L26" s="170">
        <f t="shared" si="5"/>
        <v>55431.57500000007</v>
      </c>
      <c r="M26" s="181">
        <f t="shared" si="6"/>
        <v>55431.57500000007</v>
      </c>
      <c r="N26" s="184">
        <f t="shared" si="7"/>
        <v>3072659506.980633</v>
      </c>
      <c r="O26" s="214">
        <f t="shared" si="8"/>
        <v>0.09904785074236439</v>
      </c>
      <c r="P26" s="181">
        <f t="shared" si="9"/>
        <v>0.05210433665100132</v>
      </c>
    </row>
    <row r="27" spans="1:16" ht="15.75">
      <c r="A27" s="157" t="s">
        <v>25</v>
      </c>
      <c r="B27" s="45">
        <f t="shared" si="11"/>
        <v>26</v>
      </c>
      <c r="C27" s="51">
        <v>554565.3</v>
      </c>
      <c r="D27" s="47">
        <f t="shared" si="0"/>
        <v>676</v>
      </c>
      <c r="E27" s="47">
        <f t="shared" si="1"/>
        <v>17576</v>
      </c>
      <c r="F27" s="47">
        <f t="shared" si="2"/>
        <v>456976</v>
      </c>
      <c r="G27" s="47">
        <f t="shared" si="3"/>
        <v>14418697.8</v>
      </c>
      <c r="H27" s="47">
        <f t="shared" si="4"/>
        <v>374886142.8</v>
      </c>
      <c r="I27" s="1"/>
      <c r="J27" s="132">
        <v>554565.3</v>
      </c>
      <c r="K27" s="127">
        <f t="shared" si="10"/>
        <v>512631.57152</v>
      </c>
      <c r="L27" s="169">
        <f t="shared" si="5"/>
        <v>41933.72848000005</v>
      </c>
      <c r="M27" s="177">
        <f t="shared" si="6"/>
        <v>41933.72848000005</v>
      </c>
      <c r="N27" s="184">
        <f t="shared" si="7"/>
        <v>1758437584.2343671</v>
      </c>
      <c r="O27" s="215">
        <f t="shared" si="8"/>
        <v>0.07561549285539511</v>
      </c>
      <c r="P27" s="177">
        <f t="shared" si="9"/>
        <v>0.0392933390258858</v>
      </c>
    </row>
    <row r="28" spans="1:16" ht="15.75">
      <c r="A28" s="157" t="s">
        <v>26</v>
      </c>
      <c r="B28" s="45">
        <f t="shared" si="11"/>
        <v>27</v>
      </c>
      <c r="C28" s="51">
        <v>542409.4</v>
      </c>
      <c r="D28" s="47">
        <f t="shared" si="0"/>
        <v>729</v>
      </c>
      <c r="E28" s="47">
        <f t="shared" si="1"/>
        <v>19683</v>
      </c>
      <c r="F28" s="47">
        <f t="shared" si="2"/>
        <v>531441</v>
      </c>
      <c r="G28" s="47">
        <f t="shared" si="3"/>
        <v>14645053.8</v>
      </c>
      <c r="H28" s="47">
        <f t="shared" si="4"/>
        <v>395416452.6</v>
      </c>
      <c r="I28" s="1"/>
      <c r="J28" s="132">
        <v>542409.4</v>
      </c>
      <c r="K28" s="127">
        <f t="shared" si="10"/>
        <v>520550.72915999993</v>
      </c>
      <c r="L28" s="169">
        <f t="shared" si="5"/>
        <v>21858.670840000093</v>
      </c>
      <c r="M28" s="177">
        <f t="shared" si="6"/>
        <v>21858.670840000093</v>
      </c>
      <c r="N28" s="184">
        <f t="shared" si="7"/>
        <v>477801490.8914704</v>
      </c>
      <c r="O28" s="215">
        <f t="shared" si="8"/>
        <v>0.040299210965001886</v>
      </c>
      <c r="P28" s="177">
        <f t="shared" si="9"/>
        <v>0.020563961187588308</v>
      </c>
    </row>
    <row r="29" spans="1:16" ht="16.5" thickBot="1">
      <c r="A29" s="158" t="s">
        <v>27</v>
      </c>
      <c r="B29" s="52">
        <f t="shared" si="11"/>
        <v>28</v>
      </c>
      <c r="C29" s="53">
        <v>536933.7</v>
      </c>
      <c r="D29" s="49">
        <f t="shared" si="0"/>
        <v>784</v>
      </c>
      <c r="E29" s="49">
        <f t="shared" si="1"/>
        <v>21952</v>
      </c>
      <c r="F29" s="49">
        <f t="shared" si="2"/>
        <v>614656</v>
      </c>
      <c r="G29" s="49">
        <f t="shared" si="3"/>
        <v>15034143.599999998</v>
      </c>
      <c r="H29" s="49">
        <f t="shared" si="4"/>
        <v>420956020.79999995</v>
      </c>
      <c r="I29" s="1"/>
      <c r="J29" s="133">
        <v>536933.7</v>
      </c>
      <c r="K29" s="129">
        <f t="shared" si="10"/>
        <v>527984.27504</v>
      </c>
      <c r="L29" s="171">
        <f t="shared" si="5"/>
        <v>8949.424959999975</v>
      </c>
      <c r="M29" s="182">
        <f t="shared" si="6"/>
        <v>8949.424959999975</v>
      </c>
      <c r="N29" s="184">
        <f t="shared" si="7"/>
        <v>80092207.11467054</v>
      </c>
      <c r="O29" s="216">
        <f t="shared" si="8"/>
        <v>0.016667653678657114</v>
      </c>
      <c r="P29" s="177">
        <f t="shared" si="9"/>
        <v>0.008403863179850844</v>
      </c>
    </row>
    <row r="30" spans="1:16" ht="15.75">
      <c r="A30" s="156" t="s">
        <v>28</v>
      </c>
      <c r="B30" s="43">
        <f t="shared" si="11"/>
        <v>29</v>
      </c>
      <c r="C30" s="50">
        <v>548175</v>
      </c>
      <c r="D30" s="42">
        <f t="shared" si="0"/>
        <v>841</v>
      </c>
      <c r="E30" s="42">
        <f t="shared" si="1"/>
        <v>24389</v>
      </c>
      <c r="F30" s="42">
        <f t="shared" si="2"/>
        <v>707281</v>
      </c>
      <c r="G30" s="42">
        <f t="shared" si="3"/>
        <v>15897075</v>
      </c>
      <c r="H30" s="42">
        <f t="shared" si="4"/>
        <v>461015175</v>
      </c>
      <c r="I30" s="1"/>
      <c r="J30" s="131">
        <v>548175</v>
      </c>
      <c r="K30" s="128">
        <f>C$79+C$80*B30+C$81*D30+C$82*E30</f>
        <v>534946.18628</v>
      </c>
      <c r="L30" s="170">
        <f t="shared" si="5"/>
        <v>13228.813719999976</v>
      </c>
      <c r="M30" s="183">
        <f t="shared" si="6"/>
        <v>13228.813719999976</v>
      </c>
      <c r="N30" s="181">
        <f t="shared" si="7"/>
        <v>175001512.4384596</v>
      </c>
      <c r="O30" s="214">
        <f t="shared" si="8"/>
        <v>0.024132464486705845</v>
      </c>
      <c r="P30" s="181">
        <f t="shared" si="9"/>
        <v>0.01221360443094515</v>
      </c>
    </row>
    <row r="31" spans="1:16" ht="15.75">
      <c r="A31" s="157" t="s">
        <v>29</v>
      </c>
      <c r="B31" s="45">
        <f t="shared" si="11"/>
        <v>30</v>
      </c>
      <c r="C31" s="51">
        <v>543395.4</v>
      </c>
      <c r="D31" s="47">
        <f t="shared" si="0"/>
        <v>900</v>
      </c>
      <c r="E31" s="47">
        <f t="shared" si="1"/>
        <v>27000</v>
      </c>
      <c r="F31" s="47">
        <f t="shared" si="2"/>
        <v>810000</v>
      </c>
      <c r="G31" s="47">
        <f t="shared" si="3"/>
        <v>16301862</v>
      </c>
      <c r="H31" s="47">
        <f t="shared" si="4"/>
        <v>489055860</v>
      </c>
      <c r="I31" s="1"/>
      <c r="J31" s="132">
        <v>543395.4</v>
      </c>
      <c r="K31" s="127">
        <f t="shared" si="10"/>
        <v>541450.44</v>
      </c>
      <c r="L31" s="169">
        <f t="shared" si="5"/>
        <v>1944.9600000000792</v>
      </c>
      <c r="M31" s="183">
        <f t="shared" si="6"/>
        <v>1944.9600000000792</v>
      </c>
      <c r="N31" s="177">
        <f t="shared" si="7"/>
        <v>3782869.401600308</v>
      </c>
      <c r="O31" s="215">
        <f t="shared" si="8"/>
        <v>0.0035792721101431464</v>
      </c>
      <c r="P31" s="177">
        <f t="shared" si="9"/>
        <v>0.0017928445943988498</v>
      </c>
    </row>
    <row r="32" spans="1:16" ht="15.75">
      <c r="A32" s="157" t="s">
        <v>30</v>
      </c>
      <c r="B32" s="45">
        <f t="shared" si="11"/>
        <v>31</v>
      </c>
      <c r="C32" s="51">
        <v>547678.9</v>
      </c>
      <c r="D32" s="47">
        <f t="shared" si="0"/>
        <v>961</v>
      </c>
      <c r="E32" s="47">
        <f t="shared" si="1"/>
        <v>29791</v>
      </c>
      <c r="F32" s="47">
        <f t="shared" si="2"/>
        <v>923521</v>
      </c>
      <c r="G32" s="47">
        <f t="shared" si="3"/>
        <v>16978045.900000002</v>
      </c>
      <c r="H32" s="47">
        <f t="shared" si="4"/>
        <v>526319422.90000004</v>
      </c>
      <c r="I32" s="1"/>
      <c r="J32" s="132">
        <v>547678.9</v>
      </c>
      <c r="K32" s="127">
        <f t="shared" si="10"/>
        <v>547511.01332</v>
      </c>
      <c r="L32" s="169">
        <f t="shared" si="5"/>
        <v>167.88667999999598</v>
      </c>
      <c r="M32" s="183">
        <f t="shared" si="6"/>
        <v>167.88667999999598</v>
      </c>
      <c r="N32" s="177">
        <f t="shared" si="7"/>
        <v>28185.93732142105</v>
      </c>
      <c r="O32" s="215">
        <f t="shared" si="8"/>
        <v>0.0003065421727950373</v>
      </c>
      <c r="P32" s="177">
        <f t="shared" si="9"/>
        <v>0.00015329458202464444</v>
      </c>
    </row>
    <row r="33" spans="1:16" ht="16.5" thickBot="1">
      <c r="A33" s="158" t="s">
        <v>31</v>
      </c>
      <c r="B33" s="52">
        <f t="shared" si="11"/>
        <v>32</v>
      </c>
      <c r="C33" s="53">
        <v>549152.9</v>
      </c>
      <c r="D33" s="49">
        <f t="shared" si="0"/>
        <v>1024</v>
      </c>
      <c r="E33" s="49">
        <f t="shared" si="1"/>
        <v>32768</v>
      </c>
      <c r="F33" s="49">
        <f t="shared" si="2"/>
        <v>1048576</v>
      </c>
      <c r="G33" s="49">
        <f t="shared" si="3"/>
        <v>17572892.8</v>
      </c>
      <c r="H33" s="49">
        <f t="shared" si="4"/>
        <v>562332569.6</v>
      </c>
      <c r="I33" s="1"/>
      <c r="J33" s="133">
        <v>549152.9</v>
      </c>
      <c r="K33" s="129">
        <f t="shared" si="10"/>
        <v>553141.88336</v>
      </c>
      <c r="L33" s="171">
        <f t="shared" si="5"/>
        <v>-3988.9833599999547</v>
      </c>
      <c r="M33" s="183">
        <f t="shared" si="6"/>
        <v>3988.9833599999547</v>
      </c>
      <c r="N33" s="182">
        <f t="shared" si="7"/>
        <v>15911988.246356528</v>
      </c>
      <c r="O33" s="216">
        <f t="shared" si="8"/>
        <v>0.007263884721358941</v>
      </c>
      <c r="P33" s="182">
        <f t="shared" si="9"/>
        <v>0.0036187990909662023</v>
      </c>
    </row>
    <row r="34" spans="1:16" ht="15.75">
      <c r="A34" s="156" t="s">
        <v>32</v>
      </c>
      <c r="B34" s="45">
        <f t="shared" si="11"/>
        <v>33</v>
      </c>
      <c r="C34" s="50">
        <v>568758.9</v>
      </c>
      <c r="D34" s="42">
        <f aca="true" t="shared" si="12" ref="D34:D61">B34^2</f>
        <v>1089</v>
      </c>
      <c r="E34" s="42">
        <f aca="true" t="shared" si="13" ref="E34:E58">B34*D34</f>
        <v>35937</v>
      </c>
      <c r="F34" s="42">
        <f aca="true" t="shared" si="14" ref="F34:F58">D34^2</f>
        <v>1185921</v>
      </c>
      <c r="G34" s="42">
        <f aca="true" t="shared" si="15" ref="G34:G58">B34*C34</f>
        <v>18769043.7</v>
      </c>
      <c r="H34" s="42">
        <f aca="true" t="shared" si="16" ref="H34:H58">D34*C34</f>
        <v>619378442.1</v>
      </c>
      <c r="I34" s="1"/>
      <c r="J34" s="131">
        <v>568758.9</v>
      </c>
      <c r="K34" s="128">
        <f>C$79+C$80*B34+C$81*D34+C$82*E34</f>
        <v>558357.02724</v>
      </c>
      <c r="L34" s="170">
        <f aca="true" t="shared" si="17" ref="L34:L58">J34-K34</f>
        <v>10401.872760000057</v>
      </c>
      <c r="M34" s="181">
        <f aca="true" t="shared" si="18" ref="M34:M61">ABS(L34)</f>
        <v>10401.872760000057</v>
      </c>
      <c r="N34" s="184">
        <f aca="true" t="shared" si="19" ref="N34:N61">L34*L34</f>
        <v>108198956.9152312</v>
      </c>
      <c r="O34" s="214">
        <f aca="true" t="shared" si="20" ref="O34:O58">M34/J34</f>
        <v>0.018288720862214298</v>
      </c>
      <c r="P34" s="181">
        <f aca="true" t="shared" si="21" ref="P34:P58">M34/ABS(J34+K34)</f>
        <v>0.009228751460793752</v>
      </c>
    </row>
    <row r="35" spans="1:16" ht="15.75">
      <c r="A35" s="157" t="s">
        <v>33</v>
      </c>
      <c r="B35" s="45">
        <f t="shared" si="11"/>
        <v>34</v>
      </c>
      <c r="C35" s="51">
        <v>583195.2</v>
      </c>
      <c r="D35" s="47">
        <f t="shared" si="12"/>
        <v>1156</v>
      </c>
      <c r="E35" s="47">
        <f t="shared" si="13"/>
        <v>39304</v>
      </c>
      <c r="F35" s="47">
        <f t="shared" si="14"/>
        <v>1336336</v>
      </c>
      <c r="G35" s="47">
        <f t="shared" si="15"/>
        <v>19828636.799999997</v>
      </c>
      <c r="H35" s="47">
        <f t="shared" si="16"/>
        <v>674173651.1999999</v>
      </c>
      <c r="I35" s="1"/>
      <c r="J35" s="132">
        <v>583195.2</v>
      </c>
      <c r="K35" s="127">
        <f t="shared" si="10"/>
        <v>563170.4220799999</v>
      </c>
      <c r="L35" s="169">
        <f t="shared" si="17"/>
        <v>20024.777920000022</v>
      </c>
      <c r="M35" s="177">
        <f t="shared" si="18"/>
        <v>20024.777920000022</v>
      </c>
      <c r="N35" s="184">
        <f t="shared" si="19"/>
        <v>400991730.74532044</v>
      </c>
      <c r="O35" s="215">
        <f t="shared" si="20"/>
        <v>0.034336321560945675</v>
      </c>
      <c r="P35" s="177">
        <f t="shared" si="21"/>
        <v>0.01746805515998157</v>
      </c>
    </row>
    <row r="36" spans="1:16" ht="15.75">
      <c r="A36" s="157" t="s">
        <v>34</v>
      </c>
      <c r="B36" s="45">
        <f aca="true" t="shared" si="22" ref="B36:B58">B35+1</f>
        <v>35</v>
      </c>
      <c r="C36" s="51">
        <v>589675.9</v>
      </c>
      <c r="D36" s="47">
        <f t="shared" si="12"/>
        <v>1225</v>
      </c>
      <c r="E36" s="47">
        <f t="shared" si="13"/>
        <v>42875</v>
      </c>
      <c r="F36" s="47">
        <f t="shared" si="14"/>
        <v>1500625</v>
      </c>
      <c r="G36" s="47">
        <f t="shared" si="15"/>
        <v>20638656.5</v>
      </c>
      <c r="H36" s="47">
        <f t="shared" si="16"/>
        <v>722352977.5</v>
      </c>
      <c r="I36" s="1"/>
      <c r="J36" s="132">
        <v>589675.9</v>
      </c>
      <c r="K36" s="127">
        <f t="shared" si="10"/>
        <v>567596.0449999999</v>
      </c>
      <c r="L36" s="169">
        <f t="shared" si="17"/>
        <v>22079.855000000098</v>
      </c>
      <c r="M36" s="177">
        <f t="shared" si="18"/>
        <v>22079.855000000098</v>
      </c>
      <c r="N36" s="184">
        <f t="shared" si="19"/>
        <v>487519996.8210293</v>
      </c>
      <c r="O36" s="215">
        <f t="shared" si="20"/>
        <v>0.0374440518935912</v>
      </c>
      <c r="P36" s="177">
        <f t="shared" si="21"/>
        <v>0.019079227743657175</v>
      </c>
    </row>
    <row r="37" spans="1:16" ht="16.5" thickBot="1">
      <c r="A37" s="158" t="s">
        <v>35</v>
      </c>
      <c r="B37" s="45">
        <f t="shared" si="22"/>
        <v>36</v>
      </c>
      <c r="C37" s="53">
        <v>595970.9</v>
      </c>
      <c r="D37" s="49">
        <f t="shared" si="12"/>
        <v>1296</v>
      </c>
      <c r="E37" s="49">
        <f t="shared" si="13"/>
        <v>46656</v>
      </c>
      <c r="F37" s="49">
        <f t="shared" si="14"/>
        <v>1679616</v>
      </c>
      <c r="G37" s="49">
        <f t="shared" si="15"/>
        <v>21454952.400000002</v>
      </c>
      <c r="H37" s="49">
        <f t="shared" si="16"/>
        <v>772378286.4</v>
      </c>
      <c r="I37" s="1"/>
      <c r="J37" s="133">
        <v>595970.9</v>
      </c>
      <c r="K37" s="129">
        <f t="shared" si="10"/>
        <v>571647.8731200001</v>
      </c>
      <c r="L37" s="171">
        <f t="shared" si="17"/>
        <v>24323.026879999903</v>
      </c>
      <c r="M37" s="182">
        <f t="shared" si="18"/>
        <v>24323.026879999903</v>
      </c>
      <c r="N37" s="184">
        <f t="shared" si="19"/>
        <v>591609636.6051978</v>
      </c>
      <c r="O37" s="216">
        <f t="shared" si="20"/>
        <v>0.04081244047318401</v>
      </c>
      <c r="P37" s="177">
        <f t="shared" si="21"/>
        <v>0.02083130850577729</v>
      </c>
    </row>
    <row r="38" spans="1:16" ht="15.75">
      <c r="A38" s="156" t="s">
        <v>36</v>
      </c>
      <c r="B38" s="43">
        <f t="shared" si="22"/>
        <v>37</v>
      </c>
      <c r="C38" s="50">
        <v>596536.5</v>
      </c>
      <c r="D38" s="42">
        <f t="shared" si="12"/>
        <v>1369</v>
      </c>
      <c r="E38" s="42">
        <f t="shared" si="13"/>
        <v>50653</v>
      </c>
      <c r="F38" s="42">
        <f t="shared" si="14"/>
        <v>1874161</v>
      </c>
      <c r="G38" s="42">
        <f t="shared" si="15"/>
        <v>22071850.5</v>
      </c>
      <c r="H38" s="42">
        <f t="shared" si="16"/>
        <v>816658468.5</v>
      </c>
      <c r="I38" s="1"/>
      <c r="J38" s="131">
        <v>596536.5</v>
      </c>
      <c r="K38" s="128">
        <f>C$79+C$80*B38+C$81*D38+C$82*E38</f>
        <v>575339.88356</v>
      </c>
      <c r="L38" s="170">
        <f t="shared" si="17"/>
        <v>21196.616440000013</v>
      </c>
      <c r="M38" s="183">
        <f t="shared" si="18"/>
        <v>21196.616440000013</v>
      </c>
      <c r="N38" s="181">
        <f t="shared" si="19"/>
        <v>449296548.5044788</v>
      </c>
      <c r="O38" s="214">
        <f t="shared" si="20"/>
        <v>0.03553280719620679</v>
      </c>
      <c r="P38" s="181">
        <f t="shared" si="21"/>
        <v>0.018087758007041318</v>
      </c>
    </row>
    <row r="39" spans="1:16" ht="15.75">
      <c r="A39" s="157" t="s">
        <v>37</v>
      </c>
      <c r="B39" s="45">
        <f t="shared" si="22"/>
        <v>38</v>
      </c>
      <c r="C39" s="51">
        <v>594155.3</v>
      </c>
      <c r="D39" s="47">
        <f t="shared" si="12"/>
        <v>1444</v>
      </c>
      <c r="E39" s="47">
        <f t="shared" si="13"/>
        <v>54872</v>
      </c>
      <c r="F39" s="47">
        <f t="shared" si="14"/>
        <v>2085136</v>
      </c>
      <c r="G39" s="47">
        <f t="shared" si="15"/>
        <v>22577901.400000002</v>
      </c>
      <c r="H39" s="47">
        <f t="shared" si="16"/>
        <v>857960253.2</v>
      </c>
      <c r="I39" s="1"/>
      <c r="J39" s="132">
        <v>594155.3</v>
      </c>
      <c r="K39" s="127">
        <f t="shared" si="10"/>
        <v>578686.0534399999</v>
      </c>
      <c r="L39" s="169">
        <f t="shared" si="17"/>
        <v>15469.246560000116</v>
      </c>
      <c r="M39" s="183">
        <f t="shared" si="18"/>
        <v>15469.246560000116</v>
      </c>
      <c r="N39" s="177">
        <f t="shared" si="19"/>
        <v>239297589.13407543</v>
      </c>
      <c r="O39" s="215">
        <f t="shared" si="20"/>
        <v>0.026035695650615445</v>
      </c>
      <c r="P39" s="177">
        <f t="shared" si="21"/>
        <v>0.013189547345536609</v>
      </c>
    </row>
    <row r="40" spans="1:16" ht="15.75">
      <c r="A40" s="157" t="s">
        <v>38</v>
      </c>
      <c r="B40" s="45">
        <f t="shared" si="22"/>
        <v>39</v>
      </c>
      <c r="C40" s="51">
        <v>580665.6</v>
      </c>
      <c r="D40" s="47">
        <f t="shared" si="12"/>
        <v>1521</v>
      </c>
      <c r="E40" s="47">
        <f t="shared" si="13"/>
        <v>59319</v>
      </c>
      <c r="F40" s="47">
        <f t="shared" si="14"/>
        <v>2313441</v>
      </c>
      <c r="G40" s="47">
        <f t="shared" si="15"/>
        <v>22645958.4</v>
      </c>
      <c r="H40" s="47">
        <f t="shared" si="16"/>
        <v>883192377.6</v>
      </c>
      <c r="I40" s="1"/>
      <c r="J40" s="132">
        <v>580665.6</v>
      </c>
      <c r="K40" s="127">
        <f t="shared" si="10"/>
        <v>581700.35988</v>
      </c>
      <c r="L40" s="169">
        <f t="shared" si="17"/>
        <v>-1034.759880000027</v>
      </c>
      <c r="M40" s="183">
        <f t="shared" si="18"/>
        <v>1034.759880000027</v>
      </c>
      <c r="N40" s="177">
        <f t="shared" si="19"/>
        <v>1070728.00925767</v>
      </c>
      <c r="O40" s="215">
        <f t="shared" si="20"/>
        <v>0.001782023732764653</v>
      </c>
      <c r="P40" s="177">
        <f t="shared" si="21"/>
        <v>0.0008902186709828058</v>
      </c>
    </row>
    <row r="41" spans="1:16" ht="16.5" thickBot="1">
      <c r="A41" s="158" t="s">
        <v>39</v>
      </c>
      <c r="B41" s="52">
        <f t="shared" si="22"/>
        <v>40</v>
      </c>
      <c r="C41" s="53">
        <v>567335.8</v>
      </c>
      <c r="D41" s="49">
        <f t="shared" si="12"/>
        <v>1600</v>
      </c>
      <c r="E41" s="49">
        <f t="shared" si="13"/>
        <v>64000</v>
      </c>
      <c r="F41" s="49">
        <f t="shared" si="14"/>
        <v>2560000</v>
      </c>
      <c r="G41" s="49">
        <f t="shared" si="15"/>
        <v>22693432</v>
      </c>
      <c r="H41" s="49">
        <f t="shared" si="16"/>
        <v>907737280.0000001</v>
      </c>
      <c r="I41" s="1"/>
      <c r="J41" s="133">
        <v>567335.8</v>
      </c>
      <c r="K41" s="129">
        <f t="shared" si="10"/>
        <v>584396.7799999999</v>
      </c>
      <c r="L41" s="171">
        <f t="shared" si="17"/>
        <v>-17060.979999999865</v>
      </c>
      <c r="M41" s="183">
        <f t="shared" si="18"/>
        <v>17060.979999999865</v>
      </c>
      <c r="N41" s="182">
        <f t="shared" si="19"/>
        <v>291077038.5603954</v>
      </c>
      <c r="O41" s="216">
        <f t="shared" si="20"/>
        <v>0.030072101919180604</v>
      </c>
      <c r="P41" s="182">
        <f t="shared" si="21"/>
        <v>0.01481331716777506</v>
      </c>
    </row>
    <row r="42" spans="1:16" ht="15.75">
      <c r="A42" s="156" t="s">
        <v>40</v>
      </c>
      <c r="B42" s="45">
        <f t="shared" si="22"/>
        <v>41</v>
      </c>
      <c r="C42" s="50">
        <v>560701.5</v>
      </c>
      <c r="D42" s="42">
        <f t="shared" si="12"/>
        <v>1681</v>
      </c>
      <c r="E42" s="42">
        <f t="shared" si="13"/>
        <v>68921</v>
      </c>
      <c r="F42" s="42">
        <f t="shared" si="14"/>
        <v>2825761</v>
      </c>
      <c r="G42" s="42">
        <f t="shared" si="15"/>
        <v>22988761.5</v>
      </c>
      <c r="H42" s="42">
        <f t="shared" si="16"/>
        <v>942539221.5</v>
      </c>
      <c r="I42" s="1"/>
      <c r="J42" s="131">
        <v>560701.5</v>
      </c>
      <c r="K42" s="128">
        <f>C$79+C$80*B42+C$81*D42+C$82*E42</f>
        <v>586789.2909199998</v>
      </c>
      <c r="L42" s="170">
        <f t="shared" si="17"/>
        <v>-26087.790919999825</v>
      </c>
      <c r="M42" s="181">
        <f t="shared" si="18"/>
        <v>26087.790919999825</v>
      </c>
      <c r="N42" s="184">
        <f t="shared" si="19"/>
        <v>680572835.0856253</v>
      </c>
      <c r="O42" s="214">
        <f t="shared" si="20"/>
        <v>0.04652705748067345</v>
      </c>
      <c r="P42" s="181">
        <f t="shared" si="21"/>
        <v>0.022734640771351167</v>
      </c>
    </row>
    <row r="43" spans="1:16" ht="15.75">
      <c r="A43" s="157" t="s">
        <v>41</v>
      </c>
      <c r="B43" s="45">
        <f t="shared" si="22"/>
        <v>42</v>
      </c>
      <c r="C43" s="51">
        <v>553728.3</v>
      </c>
      <c r="D43" s="47">
        <f t="shared" si="12"/>
        <v>1764</v>
      </c>
      <c r="E43" s="47">
        <f t="shared" si="13"/>
        <v>74088</v>
      </c>
      <c r="F43" s="47">
        <f t="shared" si="14"/>
        <v>3111696</v>
      </c>
      <c r="G43" s="47">
        <f t="shared" si="15"/>
        <v>23256588.6</v>
      </c>
      <c r="H43" s="47">
        <f t="shared" si="16"/>
        <v>976776721.2</v>
      </c>
      <c r="I43" s="1"/>
      <c r="J43" s="132">
        <v>553728.3</v>
      </c>
      <c r="K43" s="127">
        <f t="shared" si="10"/>
        <v>588891.8697600001</v>
      </c>
      <c r="L43" s="169">
        <f t="shared" si="17"/>
        <v>-35163.5697600001</v>
      </c>
      <c r="M43" s="177">
        <f t="shared" si="18"/>
        <v>35163.5697600001</v>
      </c>
      <c r="N43" s="184">
        <f t="shared" si="19"/>
        <v>1236476638.2663934</v>
      </c>
      <c r="O43" s="215">
        <f t="shared" si="20"/>
        <v>0.06350329170461415</v>
      </c>
      <c r="P43" s="177">
        <f t="shared" si="21"/>
        <v>0.03077450467847594</v>
      </c>
    </row>
    <row r="44" spans="1:16" ht="15.75">
      <c r="A44" s="157" t="s">
        <v>42</v>
      </c>
      <c r="B44" s="45">
        <f t="shared" si="22"/>
        <v>43</v>
      </c>
      <c r="C44" s="51">
        <v>548450.7</v>
      </c>
      <c r="D44" s="47">
        <f t="shared" si="12"/>
        <v>1849</v>
      </c>
      <c r="E44" s="47">
        <f t="shared" si="13"/>
        <v>79507</v>
      </c>
      <c r="F44" s="47">
        <f t="shared" si="14"/>
        <v>3418801</v>
      </c>
      <c r="G44" s="47">
        <f t="shared" si="15"/>
        <v>23583380.099999998</v>
      </c>
      <c r="H44" s="47">
        <f t="shared" si="16"/>
        <v>1014085344.3</v>
      </c>
      <c r="I44" s="1"/>
      <c r="J44" s="132">
        <v>548450.7</v>
      </c>
      <c r="K44" s="127">
        <f t="shared" si="10"/>
        <v>590718.49364</v>
      </c>
      <c r="L44" s="169">
        <f t="shared" si="17"/>
        <v>-42267.79364000005</v>
      </c>
      <c r="M44" s="177">
        <f t="shared" si="18"/>
        <v>42267.79364000005</v>
      </c>
      <c r="N44" s="184">
        <f t="shared" si="19"/>
        <v>1786566379.1936285</v>
      </c>
      <c r="O44" s="215">
        <f t="shared" si="20"/>
        <v>0.07706762638829716</v>
      </c>
      <c r="P44" s="177">
        <f t="shared" si="21"/>
        <v>0.03710405256390519</v>
      </c>
    </row>
    <row r="45" spans="1:16" ht="16.5" thickBot="1">
      <c r="A45" s="158" t="s">
        <v>43</v>
      </c>
      <c r="B45" s="45">
        <f t="shared" si="22"/>
        <v>44</v>
      </c>
      <c r="C45" s="51">
        <v>558026.2</v>
      </c>
      <c r="D45" s="49">
        <f t="shared" si="12"/>
        <v>1936</v>
      </c>
      <c r="E45" s="49">
        <f t="shared" si="13"/>
        <v>85184</v>
      </c>
      <c r="F45" s="49">
        <f t="shared" si="14"/>
        <v>3748096</v>
      </c>
      <c r="G45" s="49">
        <f t="shared" si="15"/>
        <v>24553152.799999997</v>
      </c>
      <c r="H45" s="49">
        <f t="shared" si="16"/>
        <v>1080338723.1999998</v>
      </c>
      <c r="I45" s="1"/>
      <c r="J45" s="132">
        <v>558026.2</v>
      </c>
      <c r="K45" s="129">
        <f t="shared" si="10"/>
        <v>592283.13968</v>
      </c>
      <c r="L45" s="171">
        <f t="shared" si="17"/>
        <v>-34256.93968000007</v>
      </c>
      <c r="M45" s="182">
        <f t="shared" si="18"/>
        <v>34256.93968000007</v>
      </c>
      <c r="N45" s="184">
        <f t="shared" si="19"/>
        <v>1173537916.2391632</v>
      </c>
      <c r="O45" s="216">
        <f t="shared" si="20"/>
        <v>0.0613894825726822</v>
      </c>
      <c r="P45" s="177">
        <f t="shared" si="21"/>
        <v>0.029780632477112524</v>
      </c>
    </row>
    <row r="46" spans="1:16" ht="15.75">
      <c r="A46" s="156" t="s">
        <v>44</v>
      </c>
      <c r="B46" s="43">
        <f t="shared" si="22"/>
        <v>45</v>
      </c>
      <c r="C46" s="50">
        <v>557442.5</v>
      </c>
      <c r="D46" s="42">
        <f t="shared" si="12"/>
        <v>2025</v>
      </c>
      <c r="E46" s="42">
        <f t="shared" si="13"/>
        <v>91125</v>
      </c>
      <c r="F46" s="42">
        <f t="shared" si="14"/>
        <v>4100625</v>
      </c>
      <c r="G46" s="42">
        <f t="shared" si="15"/>
        <v>25084912.5</v>
      </c>
      <c r="H46" s="42">
        <f t="shared" si="16"/>
        <v>1128821062.5</v>
      </c>
      <c r="I46" s="1"/>
      <c r="J46" s="131">
        <v>557442.5</v>
      </c>
      <c r="K46" s="128">
        <f>C$79+C$80*B46+C$81*D46+C$82*E46</f>
        <v>593599.7849999999</v>
      </c>
      <c r="L46" s="170">
        <f t="shared" si="17"/>
        <v>-36157.284999999916</v>
      </c>
      <c r="M46" s="183">
        <f t="shared" si="18"/>
        <v>36157.284999999916</v>
      </c>
      <c r="N46" s="181">
        <f t="shared" si="19"/>
        <v>1307349258.571219</v>
      </c>
      <c r="O46" s="214">
        <f t="shared" si="20"/>
        <v>0.064862806477798</v>
      </c>
      <c r="P46" s="181">
        <f t="shared" si="21"/>
        <v>0.031412647016699234</v>
      </c>
    </row>
    <row r="47" spans="1:16" ht="15.75">
      <c r="A47" s="157" t="s">
        <v>45</v>
      </c>
      <c r="B47" s="45">
        <f t="shared" si="22"/>
        <v>46</v>
      </c>
      <c r="C47" s="51">
        <v>563668.2</v>
      </c>
      <c r="D47" s="47">
        <f t="shared" si="12"/>
        <v>2116</v>
      </c>
      <c r="E47" s="47">
        <f t="shared" si="13"/>
        <v>97336</v>
      </c>
      <c r="F47" s="47">
        <f t="shared" si="14"/>
        <v>4477456</v>
      </c>
      <c r="G47" s="47">
        <f t="shared" si="15"/>
        <v>25928737.2</v>
      </c>
      <c r="H47" s="47">
        <f t="shared" si="16"/>
        <v>1192721911.1999998</v>
      </c>
      <c r="I47" s="1"/>
      <c r="J47" s="132">
        <v>563668.2</v>
      </c>
      <c r="K47" s="127">
        <f t="shared" si="10"/>
        <v>594682.4067199999</v>
      </c>
      <c r="L47" s="169">
        <f t="shared" si="17"/>
        <v>-31014.2067199999</v>
      </c>
      <c r="M47" s="183">
        <f t="shared" si="18"/>
        <v>31014.2067199999</v>
      </c>
      <c r="N47" s="177">
        <f t="shared" si="19"/>
        <v>961881018.470887</v>
      </c>
      <c r="O47" s="215">
        <f t="shared" si="20"/>
        <v>0.0550220976099058</v>
      </c>
      <c r="P47" s="177">
        <f t="shared" si="21"/>
        <v>0.02677445545422566</v>
      </c>
    </row>
    <row r="48" spans="1:16" ht="15.75">
      <c r="A48" s="157" t="s">
        <v>46</v>
      </c>
      <c r="B48" s="45">
        <f t="shared" si="22"/>
        <v>47</v>
      </c>
      <c r="C48" s="51">
        <v>569176.8</v>
      </c>
      <c r="D48" s="47">
        <f t="shared" si="12"/>
        <v>2209</v>
      </c>
      <c r="E48" s="47">
        <f t="shared" si="13"/>
        <v>103823</v>
      </c>
      <c r="F48" s="47">
        <f t="shared" si="14"/>
        <v>4879681</v>
      </c>
      <c r="G48" s="47">
        <f t="shared" si="15"/>
        <v>26751309.6</v>
      </c>
      <c r="H48" s="47">
        <f t="shared" si="16"/>
        <v>1257311551.2</v>
      </c>
      <c r="I48" s="1"/>
      <c r="J48" s="132">
        <v>569176.8</v>
      </c>
      <c r="K48" s="127">
        <f t="shared" si="10"/>
        <v>595544.98196</v>
      </c>
      <c r="L48" s="169">
        <f t="shared" si="17"/>
        <v>-26368.181959999958</v>
      </c>
      <c r="M48" s="183">
        <f t="shared" si="18"/>
        <v>26368.181959999958</v>
      </c>
      <c r="N48" s="177">
        <f t="shared" si="19"/>
        <v>695281019.8756672</v>
      </c>
      <c r="O48" s="215">
        <f t="shared" si="20"/>
        <v>0.04632687411011825</v>
      </c>
      <c r="P48" s="177">
        <f t="shared" si="21"/>
        <v>0.022639039097927267</v>
      </c>
    </row>
    <row r="49" spans="1:16" ht="16.5" thickBot="1">
      <c r="A49" s="158" t="s">
        <v>47</v>
      </c>
      <c r="B49" s="52">
        <f t="shared" si="22"/>
        <v>48</v>
      </c>
      <c r="C49" s="51">
        <v>587564.8</v>
      </c>
      <c r="D49" s="49">
        <f t="shared" si="12"/>
        <v>2304</v>
      </c>
      <c r="E49" s="49">
        <f t="shared" si="13"/>
        <v>110592</v>
      </c>
      <c r="F49" s="49">
        <f t="shared" si="14"/>
        <v>5308416</v>
      </c>
      <c r="G49" s="49">
        <f t="shared" si="15"/>
        <v>28203110.400000002</v>
      </c>
      <c r="H49" s="49">
        <f t="shared" si="16"/>
        <v>1353749299.2</v>
      </c>
      <c r="I49" s="1"/>
      <c r="J49" s="132">
        <v>587564.8</v>
      </c>
      <c r="K49" s="129">
        <f t="shared" si="10"/>
        <v>596201.4878400001</v>
      </c>
      <c r="L49" s="171">
        <f t="shared" si="17"/>
        <v>-8636.687840000028</v>
      </c>
      <c r="M49" s="183">
        <f t="shared" si="18"/>
        <v>8636.687840000028</v>
      </c>
      <c r="N49" s="182">
        <f t="shared" si="19"/>
        <v>74592376.84560435</v>
      </c>
      <c r="O49" s="216">
        <f t="shared" si="20"/>
        <v>0.01469912397747453</v>
      </c>
      <c r="P49" s="182">
        <f t="shared" si="21"/>
        <v>0.007295940025255541</v>
      </c>
    </row>
    <row r="50" spans="1:16" ht="15.75">
      <c r="A50" s="156" t="s">
        <v>48</v>
      </c>
      <c r="B50" s="23">
        <f t="shared" si="22"/>
        <v>49</v>
      </c>
      <c r="C50" s="24">
        <v>584631.3</v>
      </c>
      <c r="D50" s="42">
        <f t="shared" si="12"/>
        <v>2401</v>
      </c>
      <c r="E50" s="42">
        <f t="shared" si="13"/>
        <v>117649</v>
      </c>
      <c r="F50" s="42">
        <f t="shared" si="14"/>
        <v>5764801</v>
      </c>
      <c r="G50" s="42">
        <f t="shared" si="15"/>
        <v>28646933.700000003</v>
      </c>
      <c r="H50" s="42">
        <f t="shared" si="16"/>
        <v>1403699751.3000002</v>
      </c>
      <c r="I50" s="1"/>
      <c r="J50" s="131">
        <v>584631.3</v>
      </c>
      <c r="K50" s="128">
        <f>C$79+C$80*B50+C$81*D50+C$82*E50</f>
        <v>596665.90148</v>
      </c>
      <c r="L50" s="170">
        <f t="shared" si="17"/>
        <v>-12034.601479999954</v>
      </c>
      <c r="M50" s="181">
        <f t="shared" si="18"/>
        <v>12034.601479999954</v>
      </c>
      <c r="N50" s="184">
        <f t="shared" si="19"/>
        <v>144831632.7824171</v>
      </c>
      <c r="O50" s="214">
        <f t="shared" si="20"/>
        <v>0.02058494213361473</v>
      </c>
      <c r="P50" s="181">
        <f t="shared" si="21"/>
        <v>0.010187615330775593</v>
      </c>
    </row>
    <row r="51" spans="1:16" ht="15.75">
      <c r="A51" s="157" t="s">
        <v>49</v>
      </c>
      <c r="B51" s="27">
        <f t="shared" si="22"/>
        <v>50</v>
      </c>
      <c r="C51" s="28">
        <v>589489.7</v>
      </c>
      <c r="D51" s="47">
        <f t="shared" si="12"/>
        <v>2500</v>
      </c>
      <c r="E51" s="47">
        <f t="shared" si="13"/>
        <v>125000</v>
      </c>
      <c r="F51" s="47">
        <f t="shared" si="14"/>
        <v>6250000</v>
      </c>
      <c r="G51" s="47">
        <f t="shared" si="15"/>
        <v>29474484.999999996</v>
      </c>
      <c r="H51" s="47">
        <f t="shared" si="16"/>
        <v>1473724250</v>
      </c>
      <c r="I51" s="1"/>
      <c r="J51" s="132">
        <v>589489.7</v>
      </c>
      <c r="K51" s="127">
        <f t="shared" si="10"/>
        <v>596952.2</v>
      </c>
      <c r="L51" s="169">
        <f t="shared" si="17"/>
        <v>-7462.5</v>
      </c>
      <c r="M51" s="177">
        <f t="shared" si="18"/>
        <v>7462.5</v>
      </c>
      <c r="N51" s="184">
        <f t="shared" si="19"/>
        <v>55688906.25</v>
      </c>
      <c r="O51" s="215">
        <f t="shared" si="20"/>
        <v>0.012659254266868447</v>
      </c>
      <c r="P51" s="177">
        <f t="shared" si="21"/>
        <v>0.00628981495006203</v>
      </c>
    </row>
    <row r="52" spans="1:16" ht="15.75">
      <c r="A52" s="157" t="s">
        <v>50</v>
      </c>
      <c r="B52" s="27">
        <f t="shared" si="22"/>
        <v>51</v>
      </c>
      <c r="C52" s="28">
        <v>582149.8</v>
      </c>
      <c r="D52" s="47">
        <f t="shared" si="12"/>
        <v>2601</v>
      </c>
      <c r="E52" s="47">
        <f t="shared" si="13"/>
        <v>132651</v>
      </c>
      <c r="F52" s="47">
        <f t="shared" si="14"/>
        <v>6765201</v>
      </c>
      <c r="G52" s="47">
        <f t="shared" si="15"/>
        <v>29689639.8</v>
      </c>
      <c r="H52" s="47">
        <f t="shared" si="16"/>
        <v>1514171629.8000002</v>
      </c>
      <c r="I52" s="1"/>
      <c r="J52" s="132">
        <v>582149.8</v>
      </c>
      <c r="K52" s="127">
        <f t="shared" si="10"/>
        <v>597074.36052</v>
      </c>
      <c r="L52" s="169">
        <f t="shared" si="17"/>
        <v>-14924.56051999994</v>
      </c>
      <c r="M52" s="177">
        <f t="shared" si="18"/>
        <v>14924.56051999994</v>
      </c>
      <c r="N52" s="184">
        <f t="shared" si="19"/>
        <v>222742506.7151409</v>
      </c>
      <c r="O52" s="215">
        <f t="shared" si="20"/>
        <v>0.025636976118517844</v>
      </c>
      <c r="P52" s="177">
        <f t="shared" si="21"/>
        <v>0.012656254018251024</v>
      </c>
    </row>
    <row r="53" spans="1:16" ht="16.5" thickBot="1">
      <c r="A53" s="158" t="s">
        <v>51</v>
      </c>
      <c r="B53" s="31">
        <f t="shared" si="22"/>
        <v>52</v>
      </c>
      <c r="C53" s="28">
        <v>599177.5</v>
      </c>
      <c r="D53" s="49">
        <f t="shared" si="12"/>
        <v>2704</v>
      </c>
      <c r="E53" s="49">
        <f t="shared" si="13"/>
        <v>140608</v>
      </c>
      <c r="F53" s="49">
        <f t="shared" si="14"/>
        <v>7311616</v>
      </c>
      <c r="G53" s="49">
        <f t="shared" si="15"/>
        <v>31157230</v>
      </c>
      <c r="H53" s="49">
        <f t="shared" si="16"/>
        <v>1620175960</v>
      </c>
      <c r="I53" s="1"/>
      <c r="J53" s="132">
        <v>599177.5</v>
      </c>
      <c r="K53" s="129">
        <f t="shared" si="10"/>
        <v>597046.36016</v>
      </c>
      <c r="L53" s="171">
        <f t="shared" si="17"/>
        <v>2131.13983999996</v>
      </c>
      <c r="M53" s="182">
        <f t="shared" si="18"/>
        <v>2131.13983999996</v>
      </c>
      <c r="N53" s="184">
        <f t="shared" si="19"/>
        <v>4541757.017635054</v>
      </c>
      <c r="O53" s="216">
        <f t="shared" si="20"/>
        <v>0.003556775479720049</v>
      </c>
      <c r="P53" s="177">
        <f t="shared" si="21"/>
        <v>0.0017815560372745872</v>
      </c>
    </row>
    <row r="54" spans="1:16" ht="15.75">
      <c r="A54" s="156" t="s">
        <v>52</v>
      </c>
      <c r="B54" s="23">
        <f t="shared" si="22"/>
        <v>53</v>
      </c>
      <c r="C54" s="24">
        <v>597108</v>
      </c>
      <c r="D54" s="42">
        <f t="shared" si="12"/>
        <v>2809</v>
      </c>
      <c r="E54" s="42">
        <f t="shared" si="13"/>
        <v>148877</v>
      </c>
      <c r="F54" s="42">
        <f t="shared" si="14"/>
        <v>7890481</v>
      </c>
      <c r="G54" s="42">
        <f t="shared" si="15"/>
        <v>31646724</v>
      </c>
      <c r="H54" s="42">
        <f t="shared" si="16"/>
        <v>1677276372</v>
      </c>
      <c r="I54" s="1"/>
      <c r="J54" s="131">
        <v>597108</v>
      </c>
      <c r="K54" s="128">
        <f>C$79+C$80*B54+C$81*D54+C$82*E54</f>
        <v>596882.1760399999</v>
      </c>
      <c r="L54" s="170">
        <f t="shared" si="17"/>
        <v>225.82396000006702</v>
      </c>
      <c r="M54" s="183">
        <f t="shared" si="18"/>
        <v>225.82396000006702</v>
      </c>
      <c r="N54" s="181">
        <f t="shared" si="19"/>
        <v>50996.46091011187</v>
      </c>
      <c r="O54" s="214">
        <f t="shared" si="20"/>
        <v>0.0003781961722168636</v>
      </c>
      <c r="P54" s="181">
        <f t="shared" si="21"/>
        <v>0.00018913385095766625</v>
      </c>
    </row>
    <row r="55" spans="1:16" ht="15.75">
      <c r="A55" s="157" t="s">
        <v>53</v>
      </c>
      <c r="B55" s="27">
        <f t="shared" si="22"/>
        <v>54</v>
      </c>
      <c r="C55" s="28">
        <v>604796.4</v>
      </c>
      <c r="D55" s="47">
        <f t="shared" si="12"/>
        <v>2916</v>
      </c>
      <c r="E55" s="47">
        <f t="shared" si="13"/>
        <v>157464</v>
      </c>
      <c r="F55" s="47">
        <f t="shared" si="14"/>
        <v>8503056</v>
      </c>
      <c r="G55" s="47">
        <f t="shared" si="15"/>
        <v>32659005.6</v>
      </c>
      <c r="H55" s="47">
        <f t="shared" si="16"/>
        <v>1763586302.4</v>
      </c>
      <c r="I55" s="1"/>
      <c r="J55" s="132">
        <v>604796.4</v>
      </c>
      <c r="K55" s="127">
        <f t="shared" si="10"/>
        <v>596595.78528</v>
      </c>
      <c r="L55" s="169">
        <f t="shared" si="17"/>
        <v>8200.61472000007</v>
      </c>
      <c r="M55" s="183">
        <f t="shared" si="18"/>
        <v>8200.61472000007</v>
      </c>
      <c r="N55" s="177">
        <f t="shared" si="19"/>
        <v>67250081.78588183</v>
      </c>
      <c r="O55" s="215">
        <f t="shared" si="20"/>
        <v>0.013559298170425733</v>
      </c>
      <c r="P55" s="177">
        <f t="shared" si="21"/>
        <v>0.006825926471370223</v>
      </c>
    </row>
    <row r="56" spans="1:16" ht="15.75">
      <c r="A56" s="157" t="s">
        <v>54</v>
      </c>
      <c r="B56" s="27">
        <f t="shared" si="22"/>
        <v>55</v>
      </c>
      <c r="C56" s="28">
        <v>606284.6</v>
      </c>
      <c r="D56" s="47">
        <f t="shared" si="12"/>
        <v>3025</v>
      </c>
      <c r="E56" s="47">
        <f t="shared" si="13"/>
        <v>166375</v>
      </c>
      <c r="F56" s="47">
        <f t="shared" si="14"/>
        <v>9150625</v>
      </c>
      <c r="G56" s="47">
        <f t="shared" si="15"/>
        <v>33345653</v>
      </c>
      <c r="H56" s="47">
        <f t="shared" si="16"/>
        <v>1834010915</v>
      </c>
      <c r="I56" s="1"/>
      <c r="J56" s="132">
        <v>606284.6</v>
      </c>
      <c r="K56" s="127">
        <f t="shared" si="10"/>
        <v>596201.1649999999</v>
      </c>
      <c r="L56" s="169">
        <f t="shared" si="17"/>
        <v>10083.435000000056</v>
      </c>
      <c r="M56" s="183">
        <f t="shared" si="18"/>
        <v>10083.435000000056</v>
      </c>
      <c r="N56" s="177">
        <f t="shared" si="19"/>
        <v>101675661.39922613</v>
      </c>
      <c r="O56" s="215">
        <f t="shared" si="20"/>
        <v>0.016631520906188375</v>
      </c>
      <c r="P56" s="177">
        <f t="shared" si="21"/>
        <v>0.008385492197489804</v>
      </c>
    </row>
    <row r="57" spans="1:16" ht="16.5" thickBot="1">
      <c r="A57" s="158" t="s">
        <v>55</v>
      </c>
      <c r="B57" s="31">
        <f t="shared" si="22"/>
        <v>56</v>
      </c>
      <c r="C57" s="28">
        <v>630641.9</v>
      </c>
      <c r="D57" s="49">
        <f t="shared" si="12"/>
        <v>3136</v>
      </c>
      <c r="E57" s="49">
        <f t="shared" si="13"/>
        <v>175616</v>
      </c>
      <c r="F57" s="47">
        <f t="shared" si="14"/>
        <v>9834496</v>
      </c>
      <c r="G57" s="47">
        <f t="shared" si="15"/>
        <v>35315946.4</v>
      </c>
      <c r="H57" s="49">
        <f t="shared" si="16"/>
        <v>1977692998.4</v>
      </c>
      <c r="I57" s="1"/>
      <c r="J57" s="132">
        <v>630641.9</v>
      </c>
      <c r="K57" s="129">
        <f t="shared" si="10"/>
        <v>595712.29232</v>
      </c>
      <c r="L57" s="171">
        <f t="shared" si="17"/>
        <v>34929.607680000016</v>
      </c>
      <c r="M57" s="183">
        <f t="shared" si="18"/>
        <v>34929.607680000016</v>
      </c>
      <c r="N57" s="182">
        <f t="shared" si="19"/>
        <v>1220077492.6787162</v>
      </c>
      <c r="O57" s="216">
        <f t="shared" si="20"/>
        <v>0.05538738811994575</v>
      </c>
      <c r="P57" s="182">
        <f t="shared" si="21"/>
        <v>0.028482479122871236</v>
      </c>
    </row>
    <row r="58" spans="1:16" ht="16.5" thickBot="1">
      <c r="A58" s="156" t="s">
        <v>56</v>
      </c>
      <c r="B58" s="27">
        <f t="shared" si="22"/>
        <v>57</v>
      </c>
      <c r="C58" s="24">
        <v>636801.4</v>
      </c>
      <c r="D58" s="42">
        <f t="shared" si="12"/>
        <v>3249</v>
      </c>
      <c r="E58" s="88">
        <f t="shared" si="13"/>
        <v>185193</v>
      </c>
      <c r="F58" s="88">
        <f t="shared" si="14"/>
        <v>10556001</v>
      </c>
      <c r="G58" s="42">
        <f t="shared" si="15"/>
        <v>36297679.800000004</v>
      </c>
      <c r="H58" s="42">
        <f t="shared" si="16"/>
        <v>2068967748.6000001</v>
      </c>
      <c r="I58" s="1"/>
      <c r="J58" s="41">
        <v>636801.4</v>
      </c>
      <c r="K58" s="162">
        <f>C$79+C$80*B58+C$81*D58+C$82*E58</f>
        <v>595143.14436</v>
      </c>
      <c r="L58" s="172">
        <f t="shared" si="17"/>
        <v>41658.25563999999</v>
      </c>
      <c r="M58" s="227">
        <f t="shared" si="18"/>
        <v>41658.25563999999</v>
      </c>
      <c r="N58" s="228">
        <f t="shared" si="19"/>
        <v>1735410262.9675908</v>
      </c>
      <c r="O58" s="229">
        <f t="shared" si="20"/>
        <v>0.06541797119164623</v>
      </c>
      <c r="P58" s="227">
        <f t="shared" si="21"/>
        <v>0.033815041294445285</v>
      </c>
    </row>
    <row r="59" spans="1:16" ht="15.75">
      <c r="A59" s="157" t="s">
        <v>57</v>
      </c>
      <c r="B59" s="27"/>
      <c r="C59" s="28"/>
      <c r="D59" s="47">
        <f t="shared" si="12"/>
        <v>0</v>
      </c>
      <c r="E59" s="89"/>
      <c r="F59" s="89"/>
      <c r="G59" s="47"/>
      <c r="H59" s="77">
        <f>B59*C59</f>
        <v>0</v>
      </c>
      <c r="I59" s="1"/>
      <c r="J59" s="159"/>
      <c r="K59" s="159"/>
      <c r="L59" s="168"/>
      <c r="M59" s="177">
        <f t="shared" si="18"/>
        <v>0</v>
      </c>
      <c r="N59" s="184">
        <f t="shared" si="19"/>
        <v>0</v>
      </c>
      <c r="O59" s="215"/>
      <c r="P59" s="177"/>
    </row>
    <row r="60" spans="1:16" ht="15.75">
      <c r="A60" s="157" t="s">
        <v>58</v>
      </c>
      <c r="B60" s="27"/>
      <c r="C60" s="28"/>
      <c r="D60" s="47">
        <f t="shared" si="12"/>
        <v>0</v>
      </c>
      <c r="E60" s="89"/>
      <c r="F60" s="89"/>
      <c r="G60" s="47"/>
      <c r="H60" s="77">
        <f>B60*C60</f>
        <v>0</v>
      </c>
      <c r="I60" s="1"/>
      <c r="J60" s="159"/>
      <c r="K60" s="159"/>
      <c r="L60" s="168"/>
      <c r="M60" s="177">
        <f t="shared" si="18"/>
        <v>0</v>
      </c>
      <c r="N60" s="184">
        <f t="shared" si="19"/>
        <v>0</v>
      </c>
      <c r="O60" s="215"/>
      <c r="P60" s="177"/>
    </row>
    <row r="61" spans="1:16" ht="16.5" thickBot="1">
      <c r="A61" s="158" t="s">
        <v>59</v>
      </c>
      <c r="B61" s="31"/>
      <c r="C61" s="32"/>
      <c r="D61" s="49">
        <f t="shared" si="12"/>
        <v>0</v>
      </c>
      <c r="E61" s="90"/>
      <c r="F61" s="90"/>
      <c r="G61" s="49"/>
      <c r="H61" s="78">
        <f>B61*C61</f>
        <v>0</v>
      </c>
      <c r="I61" s="1"/>
      <c r="J61" s="159"/>
      <c r="K61" s="159"/>
      <c r="L61" s="168"/>
      <c r="M61" s="182">
        <f t="shared" si="18"/>
        <v>0</v>
      </c>
      <c r="N61" s="185">
        <f t="shared" si="19"/>
        <v>0</v>
      </c>
      <c r="O61" s="216"/>
      <c r="P61" s="182"/>
    </row>
    <row r="62" spans="1:16" ht="16.5" thickBot="1">
      <c r="A62" s="41" t="s">
        <v>68</v>
      </c>
      <c r="B62" s="40">
        <f aca="true" t="shared" si="23" ref="B62:H62">SUM(B2:B58)</f>
        <v>1653</v>
      </c>
      <c r="C62" s="39">
        <f t="shared" si="23"/>
        <v>26961516.7</v>
      </c>
      <c r="D62" s="39">
        <f t="shared" si="23"/>
        <v>63365</v>
      </c>
      <c r="E62" s="39">
        <f t="shared" si="23"/>
        <v>2732409</v>
      </c>
      <c r="F62" s="39">
        <f t="shared" si="23"/>
        <v>125678141</v>
      </c>
      <c r="G62" s="61">
        <f t="shared" si="23"/>
        <v>903228402.1999999</v>
      </c>
      <c r="H62" s="39">
        <f t="shared" si="23"/>
        <v>36246459825.4</v>
      </c>
      <c r="I62" s="1"/>
      <c r="J62" s="39">
        <f>SUM(J2:J58)</f>
        <v>26961516.7</v>
      </c>
      <c r="K62" s="39">
        <f>SUM(K2:K58)</f>
        <v>26961562.50868001</v>
      </c>
      <c r="L62" s="39">
        <f>SUM(L2:L58)</f>
        <v>-45.80867999896873</v>
      </c>
      <c r="M62" s="179">
        <f>SUM(M2:M58)</f>
        <v>1385299.8362000003</v>
      </c>
      <c r="N62" s="190">
        <f>SUM(N2:N58)</f>
        <v>48678324923.11356</v>
      </c>
      <c r="O62" s="213">
        <f>SUM(O2:O58)/57</f>
        <v>0.06423851845152481</v>
      </c>
      <c r="P62" s="213">
        <f>SUM(P2:P58)/57</f>
        <v>0.03253614837094893</v>
      </c>
    </row>
    <row r="63" spans="1:10" ht="15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6.5" thickBot="1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3" ht="17.25" thickBot="1">
      <c r="A65" s="1"/>
      <c r="B65" s="92" t="s">
        <v>69</v>
      </c>
      <c r="C65" s="54"/>
      <c r="D65" s="93"/>
      <c r="E65" s="55"/>
      <c r="F65" s="1"/>
      <c r="G65" s="92" t="s">
        <v>81</v>
      </c>
      <c r="H65" s="54"/>
      <c r="I65" s="93"/>
      <c r="J65" s="55"/>
      <c r="L65" s="220" t="s">
        <v>122</v>
      </c>
      <c r="M65" s="221">
        <f>SQRT(M62)/(SQRT(J62)+SQRT(K62))</f>
        <v>0.11333643598919531</v>
      </c>
    </row>
    <row r="66" spans="1:10" ht="15.75">
      <c r="A66" s="1"/>
      <c r="B66" s="63"/>
      <c r="C66" s="94"/>
      <c r="D66" s="87"/>
      <c r="E66" s="96"/>
      <c r="F66" s="1"/>
      <c r="G66" s="1"/>
      <c r="H66" s="94"/>
      <c r="I66" s="87"/>
      <c r="J66" s="96"/>
    </row>
    <row r="67" spans="1:10" ht="16.5" thickBot="1">
      <c r="A67" s="1"/>
      <c r="B67" s="63"/>
      <c r="C67" s="56"/>
      <c r="D67" s="95"/>
      <c r="E67" s="57"/>
      <c r="F67" s="1"/>
      <c r="G67" s="1"/>
      <c r="H67" s="56"/>
      <c r="I67" s="95"/>
      <c r="J67" s="57"/>
    </row>
    <row r="68" spans="1:10" ht="16.5" thickBot="1">
      <c r="A68" s="1"/>
      <c r="B68" s="63"/>
      <c r="C68" s="1"/>
      <c r="D68" s="1"/>
      <c r="E68" s="1"/>
      <c r="F68" s="1"/>
      <c r="G68" s="1"/>
      <c r="H68" s="1"/>
      <c r="I68" s="1"/>
      <c r="J68" s="1"/>
    </row>
    <row r="69" spans="1:10" ht="16.5" thickBot="1">
      <c r="A69" s="1"/>
      <c r="B69" s="62" t="s">
        <v>71</v>
      </c>
      <c r="C69" s="35"/>
      <c r="D69" s="1"/>
      <c r="E69" s="1"/>
      <c r="F69" s="1"/>
      <c r="G69" s="1"/>
      <c r="H69" s="1"/>
      <c r="I69" s="1"/>
      <c r="J69" s="1"/>
    </row>
    <row r="70" spans="1:10" ht="16.5" thickBot="1">
      <c r="A70" s="1"/>
      <c r="B70" s="63"/>
      <c r="C70" s="1"/>
      <c r="D70" s="1"/>
      <c r="E70" s="1"/>
      <c r="F70" s="1"/>
      <c r="G70" s="1"/>
      <c r="H70" s="1"/>
      <c r="I70" s="1"/>
      <c r="J70" s="1"/>
    </row>
    <row r="71" spans="1:10" ht="16.5" thickBot="1">
      <c r="A71" s="1"/>
      <c r="B71" s="92" t="s">
        <v>70</v>
      </c>
      <c r="C71" s="54"/>
      <c r="D71" s="93"/>
      <c r="E71" s="55"/>
      <c r="F71" s="1"/>
      <c r="G71" s="1"/>
      <c r="H71" s="1"/>
      <c r="I71" s="1"/>
      <c r="J71" s="1"/>
    </row>
    <row r="72" spans="1:10" ht="15.75">
      <c r="A72" s="1"/>
      <c r="B72" s="63"/>
      <c r="C72" s="94"/>
      <c r="D72" s="87"/>
      <c r="E72" s="96"/>
      <c r="F72" s="1"/>
      <c r="G72" s="1"/>
      <c r="H72" s="1"/>
      <c r="I72" s="1"/>
      <c r="J72" s="1"/>
    </row>
    <row r="73" spans="1:10" ht="16.5" thickBot="1">
      <c r="A73" s="1"/>
      <c r="B73" s="63"/>
      <c r="C73" s="56"/>
      <c r="D73" s="95"/>
      <c r="E73" s="57"/>
      <c r="F73" s="1"/>
      <c r="G73" s="1"/>
      <c r="H73" s="1"/>
      <c r="I73" s="1"/>
      <c r="J73" s="1"/>
    </row>
    <row r="74" spans="1:10" ht="16.5" thickBot="1">
      <c r="A74" s="1"/>
      <c r="B74" s="63"/>
      <c r="C74" s="1"/>
      <c r="D74" s="1"/>
      <c r="E74" s="1"/>
      <c r="F74" s="1"/>
      <c r="G74" s="1"/>
      <c r="H74" s="1"/>
      <c r="I74" s="1"/>
      <c r="J74" s="1"/>
    </row>
    <row r="75" spans="1:10" ht="16.5" thickBot="1">
      <c r="A75" s="1"/>
      <c r="B75" s="92" t="s">
        <v>75</v>
      </c>
      <c r="C75" s="58"/>
      <c r="D75" s="1"/>
      <c r="E75" s="1"/>
      <c r="F75" s="1"/>
      <c r="G75" s="1"/>
      <c r="H75" s="1"/>
      <c r="I75" s="1"/>
      <c r="J75" s="1"/>
    </row>
    <row r="76" spans="1:10" ht="15.75">
      <c r="A76" s="1"/>
      <c r="B76" s="63"/>
      <c r="C76" s="101"/>
      <c r="D76" s="1"/>
      <c r="E76" s="1"/>
      <c r="F76" s="1"/>
      <c r="G76" s="1"/>
      <c r="H76" s="1"/>
      <c r="I76" s="1"/>
      <c r="J76" s="1"/>
    </row>
    <row r="77" spans="1:10" ht="16.5" thickBot="1">
      <c r="A77" s="1"/>
      <c r="B77" s="63"/>
      <c r="C77" s="59"/>
      <c r="D77" s="1"/>
      <c r="E77" s="1"/>
      <c r="F77" s="1"/>
      <c r="G77" s="1"/>
      <c r="H77" s="1"/>
      <c r="I77" s="1"/>
      <c r="J77" s="1"/>
    </row>
    <row r="78" spans="1:10" ht="16.5" thickBot="1">
      <c r="A78" s="1"/>
      <c r="B78" s="63"/>
      <c r="C78" s="1"/>
      <c r="D78" s="1"/>
      <c r="E78" s="1"/>
      <c r="F78" s="1"/>
      <c r="G78" s="1"/>
      <c r="H78" s="1"/>
      <c r="I78" s="1"/>
      <c r="J78" s="1"/>
    </row>
    <row r="79" spans="1:10" ht="15.75">
      <c r="A79" s="1"/>
      <c r="B79" s="97" t="s">
        <v>73</v>
      </c>
      <c r="C79" s="60">
        <v>90494.7</v>
      </c>
      <c r="D79" s="54" t="s">
        <v>125</v>
      </c>
      <c r="E79" s="55"/>
      <c r="F79" s="1"/>
      <c r="G79" s="1"/>
      <c r="H79" s="1"/>
      <c r="I79" s="1"/>
      <c r="J79" s="1"/>
    </row>
    <row r="80" spans="1:10" ht="15.75">
      <c r="A80" s="1"/>
      <c r="B80" s="98" t="s">
        <v>74</v>
      </c>
      <c r="C80" s="100">
        <v>25880.2</v>
      </c>
      <c r="D80" s="94" t="s">
        <v>125</v>
      </c>
      <c r="E80" s="96"/>
      <c r="F80" s="1"/>
      <c r="G80" s="1"/>
      <c r="H80" s="1"/>
      <c r="I80" s="1"/>
      <c r="J80" s="1"/>
    </row>
    <row r="81" spans="2:5" ht="15.75">
      <c r="B81" s="98" t="s">
        <v>80</v>
      </c>
      <c r="C81" s="100">
        <v>-431.497</v>
      </c>
      <c r="D81" s="94" t="s">
        <v>125</v>
      </c>
      <c r="E81" s="222"/>
    </row>
    <row r="82" spans="2:5" ht="16.5" thickBot="1">
      <c r="B82" s="99" t="s">
        <v>124</v>
      </c>
      <c r="C82" s="61">
        <v>2.32952</v>
      </c>
      <c r="D82" s="56" t="s">
        <v>125</v>
      </c>
      <c r="E82" s="223"/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1"/>
  <sheetViews>
    <sheetView zoomScalePageLayoutView="0" workbookViewId="0" topLeftCell="M1">
      <selection activeCell="Z26" sqref="Z26"/>
    </sheetView>
  </sheetViews>
  <sheetFormatPr defaultColWidth="9.140625" defaultRowHeight="12.75"/>
  <cols>
    <col min="3" max="5" width="13.140625" style="0" bestFit="1" customWidth="1"/>
    <col min="6" max="7" width="10.7109375" style="0" customWidth="1"/>
    <col min="8" max="8" width="12.421875" style="0" bestFit="1" customWidth="1"/>
    <col min="9" max="9" width="10.421875" style="0" customWidth="1"/>
    <col min="10" max="10" width="13.140625" style="0" bestFit="1" customWidth="1"/>
    <col min="11" max="11" width="12.421875" style="0" bestFit="1" customWidth="1"/>
    <col min="12" max="12" width="11.28125" style="0" customWidth="1"/>
    <col min="13" max="13" width="11.7109375" style="0" customWidth="1"/>
    <col min="14" max="14" width="11.00390625" style="0" customWidth="1"/>
  </cols>
  <sheetData>
    <row r="1" spans="1:16" ht="16.5" thickBot="1">
      <c r="A1" s="155" t="s">
        <v>91</v>
      </c>
      <c r="B1" s="21" t="s">
        <v>60</v>
      </c>
      <c r="C1" s="22" t="s">
        <v>61</v>
      </c>
      <c r="D1" s="104" t="s">
        <v>87</v>
      </c>
      <c r="E1" s="104" t="s">
        <v>88</v>
      </c>
      <c r="F1" s="104" t="s">
        <v>89</v>
      </c>
      <c r="G1" s="104" t="s">
        <v>85</v>
      </c>
      <c r="H1" s="104" t="s">
        <v>90</v>
      </c>
      <c r="I1" s="70"/>
      <c r="J1" s="160" t="s">
        <v>83</v>
      </c>
      <c r="K1" s="161" t="s">
        <v>82</v>
      </c>
      <c r="L1" s="167" t="s">
        <v>111</v>
      </c>
      <c r="M1" s="167" t="s">
        <v>112</v>
      </c>
      <c r="N1" s="180" t="s">
        <v>113</v>
      </c>
      <c r="O1" s="210" t="s">
        <v>119</v>
      </c>
      <c r="P1" s="210" t="s">
        <v>120</v>
      </c>
    </row>
    <row r="2" spans="1:16" ht="15.75">
      <c r="A2" s="156" t="s">
        <v>0</v>
      </c>
      <c r="B2" s="43">
        <v>1</v>
      </c>
      <c r="C2" s="44">
        <v>179342.9</v>
      </c>
      <c r="D2" s="88">
        <f aca="true" t="shared" si="0" ref="D2:D33">B2^2</f>
        <v>1</v>
      </c>
      <c r="E2" s="42">
        <f>B2*D2</f>
        <v>1</v>
      </c>
      <c r="F2" s="102">
        <f>D2^2</f>
        <v>1</v>
      </c>
      <c r="G2" s="88">
        <f>B2*C2</f>
        <v>179342.9</v>
      </c>
      <c r="H2" s="42">
        <f>D2*C2</f>
        <v>179342.9</v>
      </c>
      <c r="I2" s="1"/>
      <c r="J2" s="131">
        <v>179342.9</v>
      </c>
      <c r="K2" s="128">
        <f>C$79+C$80*B2+C$81*D2</f>
        <v>135317.97287828173</v>
      </c>
      <c r="L2" s="170">
        <f>J2-K2</f>
        <v>44024.92712171827</v>
      </c>
      <c r="M2" s="188">
        <f aca="true" t="shared" si="1" ref="M2:M33">ABS(L2)</f>
        <v>44024.92712171827</v>
      </c>
      <c r="N2" s="181">
        <f>L2*L2</f>
        <v>1938194208.072605</v>
      </c>
      <c r="O2" s="214">
        <f>M2/J2</f>
        <v>0.2454790634127042</v>
      </c>
      <c r="P2" s="181">
        <f>M2/ABS(J2+K2)</f>
        <v>0.13991230215250863</v>
      </c>
    </row>
    <row r="3" spans="1:16" ht="15.75">
      <c r="A3" s="157" t="s">
        <v>1</v>
      </c>
      <c r="B3" s="45">
        <v>2</v>
      </c>
      <c r="C3" s="46">
        <v>179879.6</v>
      </c>
      <c r="D3" s="89">
        <f t="shared" si="0"/>
        <v>4</v>
      </c>
      <c r="E3" s="47">
        <f aca="true" t="shared" si="2" ref="E3:E57">B3*D3</f>
        <v>8</v>
      </c>
      <c r="F3" s="91">
        <f aca="true" t="shared" si="3" ref="F3:F58">D3^2</f>
        <v>16</v>
      </c>
      <c r="G3" s="89">
        <f aca="true" t="shared" si="4" ref="G3:G58">B3*C3</f>
        <v>359759.2</v>
      </c>
      <c r="H3" s="47">
        <f aca="true" t="shared" si="5" ref="H3:H57">D3*C3</f>
        <v>719518.4</v>
      </c>
      <c r="I3" s="1"/>
      <c r="J3" s="132">
        <v>179879.6</v>
      </c>
      <c r="K3" s="127">
        <f aca="true" t="shared" si="6" ref="K3:K57">C$79+C$80*B3+C$81*D3</f>
        <v>155768.74675254943</v>
      </c>
      <c r="L3" s="169">
        <f aca="true" t="shared" si="7" ref="L3:L57">J3-K3</f>
        <v>24110.853247450577</v>
      </c>
      <c r="M3" s="184">
        <f t="shared" si="1"/>
        <v>24110.853247450577</v>
      </c>
      <c r="N3" s="177">
        <f aca="true" t="shared" si="8" ref="N3:N61">L3*L3</f>
        <v>581333244.320098</v>
      </c>
      <c r="O3" s="215">
        <f aca="true" t="shared" si="9" ref="O3:O57">M3/J3</f>
        <v>0.13403884180001832</v>
      </c>
      <c r="P3" s="177">
        <f aca="true" t="shared" si="10" ref="P3:P57">M3/ABS(J3+K3)</f>
        <v>0.07183367199846767</v>
      </c>
    </row>
    <row r="4" spans="1:16" ht="15.75">
      <c r="A4" s="157" t="s">
        <v>2</v>
      </c>
      <c r="B4" s="45">
        <f aca="true" t="shared" si="11" ref="B4:B35">B3+1</f>
        <v>3</v>
      </c>
      <c r="C4" s="46">
        <v>184157.9</v>
      </c>
      <c r="D4" s="89">
        <f t="shared" si="0"/>
        <v>9</v>
      </c>
      <c r="E4" s="47">
        <f t="shared" si="2"/>
        <v>27</v>
      </c>
      <c r="F4" s="91">
        <f t="shared" si="3"/>
        <v>81</v>
      </c>
      <c r="G4" s="89">
        <f t="shared" si="4"/>
        <v>552473.7</v>
      </c>
      <c r="H4" s="47">
        <f t="shared" si="5"/>
        <v>1657421.0999999999</v>
      </c>
      <c r="I4" s="1"/>
      <c r="J4" s="132">
        <v>184157.9</v>
      </c>
      <c r="K4" s="127">
        <f t="shared" si="6"/>
        <v>175761.86365971554</v>
      </c>
      <c r="L4" s="169">
        <f t="shared" si="7"/>
        <v>8396.036340284452</v>
      </c>
      <c r="M4" s="184">
        <f t="shared" si="1"/>
        <v>8396.036340284452</v>
      </c>
      <c r="N4" s="177">
        <f t="shared" si="8"/>
        <v>70493426.22737715</v>
      </c>
      <c r="O4" s="215">
        <f t="shared" si="9"/>
        <v>0.04559150783259612</v>
      </c>
      <c r="P4" s="177">
        <f t="shared" si="10"/>
        <v>0.023327522375854986</v>
      </c>
    </row>
    <row r="5" spans="1:16" ht="16.5" thickBot="1">
      <c r="A5" s="158" t="s">
        <v>3</v>
      </c>
      <c r="B5" s="45">
        <f t="shared" si="11"/>
        <v>4</v>
      </c>
      <c r="C5" s="48">
        <v>204782.7</v>
      </c>
      <c r="D5" s="90">
        <f t="shared" si="0"/>
        <v>16</v>
      </c>
      <c r="E5" s="49">
        <f t="shared" si="2"/>
        <v>64</v>
      </c>
      <c r="F5" s="103">
        <f t="shared" si="3"/>
        <v>256</v>
      </c>
      <c r="G5" s="90">
        <f t="shared" si="4"/>
        <v>819130.8</v>
      </c>
      <c r="H5" s="49">
        <f t="shared" si="5"/>
        <v>3276523.2</v>
      </c>
      <c r="I5" s="1"/>
      <c r="J5" s="133">
        <v>204782.7</v>
      </c>
      <c r="K5" s="129">
        <f t="shared" si="6"/>
        <v>195297.32359978</v>
      </c>
      <c r="L5" s="171">
        <f t="shared" si="7"/>
        <v>9485.376400220004</v>
      </c>
      <c r="M5" s="185">
        <f t="shared" si="1"/>
        <v>9485.376400220004</v>
      </c>
      <c r="N5" s="182">
        <f t="shared" si="8"/>
        <v>89972365.4538506</v>
      </c>
      <c r="O5" s="216">
        <f t="shared" si="9"/>
        <v>0.04631922716235309</v>
      </c>
      <c r="P5" s="177">
        <f t="shared" si="10"/>
        <v>0.023708697862177438</v>
      </c>
    </row>
    <row r="6" spans="1:16" ht="15.75">
      <c r="A6" s="156" t="s">
        <v>4</v>
      </c>
      <c r="B6" s="43">
        <f t="shared" si="11"/>
        <v>5</v>
      </c>
      <c r="C6" s="50">
        <v>215145.3</v>
      </c>
      <c r="D6" s="42">
        <f t="shared" si="0"/>
        <v>25</v>
      </c>
      <c r="E6" s="42">
        <f>B6*D6</f>
        <v>125</v>
      </c>
      <c r="F6" s="42">
        <f>D6^2</f>
        <v>625</v>
      </c>
      <c r="G6" s="42">
        <f>B6*C6</f>
        <v>1075726.5</v>
      </c>
      <c r="H6" s="42">
        <f>D6*C6</f>
        <v>5378632.5</v>
      </c>
      <c r="I6" s="1"/>
      <c r="J6" s="131">
        <v>215145.3</v>
      </c>
      <c r="K6" s="128">
        <f>C$79+C$80*B6+C$81*D6</f>
        <v>214375.12657274288</v>
      </c>
      <c r="L6" s="170">
        <f>J6-K6</f>
        <v>770.1734272571048</v>
      </c>
      <c r="M6" s="183">
        <f t="shared" si="1"/>
        <v>770.1734272571048</v>
      </c>
      <c r="N6" s="181">
        <f>L6*L6</f>
        <v>593167.1080529549</v>
      </c>
      <c r="O6" s="214">
        <f>M6/J6</f>
        <v>0.003579782720129628</v>
      </c>
      <c r="P6" s="181">
        <f>M6/ABS(J6+K6)</f>
        <v>0.001793100815722601</v>
      </c>
    </row>
    <row r="7" spans="1:16" ht="15.75">
      <c r="A7" s="157" t="s">
        <v>5</v>
      </c>
      <c r="B7" s="45">
        <f t="shared" si="11"/>
        <v>6</v>
      </c>
      <c r="C7" s="51">
        <v>220120.4</v>
      </c>
      <c r="D7" s="47">
        <f t="shared" si="0"/>
        <v>36</v>
      </c>
      <c r="E7" s="47">
        <f t="shared" si="2"/>
        <v>216</v>
      </c>
      <c r="F7" s="47">
        <f t="shared" si="3"/>
        <v>1296</v>
      </c>
      <c r="G7" s="47">
        <f t="shared" si="4"/>
        <v>1320722.4</v>
      </c>
      <c r="H7" s="47">
        <f t="shared" si="5"/>
        <v>7924334.399999999</v>
      </c>
      <c r="I7" s="1"/>
      <c r="J7" s="132">
        <v>220120.4</v>
      </c>
      <c r="K7" s="127">
        <f t="shared" si="6"/>
        <v>232995.2725786041</v>
      </c>
      <c r="L7" s="169">
        <f t="shared" si="7"/>
        <v>-12874.872578604118</v>
      </c>
      <c r="M7" s="183">
        <f t="shared" si="1"/>
        <v>12874.872578604118</v>
      </c>
      <c r="N7" s="177">
        <f t="shared" si="8"/>
        <v>165762343.91529223</v>
      </c>
      <c r="O7" s="215">
        <f t="shared" si="9"/>
        <v>0.05849013802720746</v>
      </c>
      <c r="P7" s="177">
        <f t="shared" si="10"/>
        <v>0.028414096791963543</v>
      </c>
    </row>
    <row r="8" spans="1:16" ht="15.75">
      <c r="A8" s="157" t="s">
        <v>6</v>
      </c>
      <c r="B8" s="45">
        <f t="shared" si="11"/>
        <v>7</v>
      </c>
      <c r="C8" s="51">
        <v>224857.6</v>
      </c>
      <c r="D8" s="47">
        <f t="shared" si="0"/>
        <v>49</v>
      </c>
      <c r="E8" s="47">
        <f t="shared" si="2"/>
        <v>343</v>
      </c>
      <c r="F8" s="47">
        <f t="shared" si="3"/>
        <v>2401</v>
      </c>
      <c r="G8" s="47">
        <f t="shared" si="4"/>
        <v>1574003.2</v>
      </c>
      <c r="H8" s="47">
        <f t="shared" si="5"/>
        <v>11018022.4</v>
      </c>
      <c r="I8" s="1"/>
      <c r="J8" s="132">
        <v>224857.6</v>
      </c>
      <c r="K8" s="127">
        <f t="shared" si="6"/>
        <v>251157.76161736375</v>
      </c>
      <c r="L8" s="169">
        <f t="shared" si="7"/>
        <v>-26300.161617363745</v>
      </c>
      <c r="M8" s="183">
        <f t="shared" si="1"/>
        <v>26300.161617363745</v>
      </c>
      <c r="N8" s="177">
        <f t="shared" si="8"/>
        <v>691698501.0994532</v>
      </c>
      <c r="O8" s="215">
        <f t="shared" si="9"/>
        <v>0.11696363217148872</v>
      </c>
      <c r="P8" s="177">
        <f t="shared" si="10"/>
        <v>0.055250657306527534</v>
      </c>
    </row>
    <row r="9" spans="1:16" ht="16.5" thickBot="1">
      <c r="A9" s="158" t="s">
        <v>7</v>
      </c>
      <c r="B9" s="52">
        <f t="shared" si="11"/>
        <v>8</v>
      </c>
      <c r="C9" s="53">
        <v>244498.9</v>
      </c>
      <c r="D9" s="49">
        <f t="shared" si="0"/>
        <v>64</v>
      </c>
      <c r="E9" s="49">
        <f t="shared" si="2"/>
        <v>512</v>
      </c>
      <c r="F9" s="49">
        <f t="shared" si="3"/>
        <v>4096</v>
      </c>
      <c r="G9" s="49">
        <f t="shared" si="4"/>
        <v>1955991.2</v>
      </c>
      <c r="H9" s="49">
        <f t="shared" si="5"/>
        <v>15647929.6</v>
      </c>
      <c r="I9" s="1"/>
      <c r="J9" s="133">
        <v>244498.9</v>
      </c>
      <c r="K9" s="129">
        <f t="shared" si="6"/>
        <v>268862.59368902177</v>
      </c>
      <c r="L9" s="171">
        <f t="shared" si="7"/>
        <v>-24363.693689021777</v>
      </c>
      <c r="M9" s="183">
        <f t="shared" si="1"/>
        <v>24363.693689021777</v>
      </c>
      <c r="N9" s="182">
        <f t="shared" si="8"/>
        <v>593589570.1724795</v>
      </c>
      <c r="O9" s="216">
        <f t="shared" si="9"/>
        <v>0.09964745726472297</v>
      </c>
      <c r="P9" s="182">
        <f t="shared" si="10"/>
        <v>0.0474591374470726</v>
      </c>
    </row>
    <row r="10" spans="1:16" ht="15.75">
      <c r="A10" s="156" t="s">
        <v>8</v>
      </c>
      <c r="B10" s="45">
        <f t="shared" si="11"/>
        <v>9</v>
      </c>
      <c r="C10" s="50">
        <v>257013.4</v>
      </c>
      <c r="D10" s="42">
        <f t="shared" si="0"/>
        <v>81</v>
      </c>
      <c r="E10" s="42">
        <f>B10*D10</f>
        <v>729</v>
      </c>
      <c r="F10" s="42">
        <f>D10^2</f>
        <v>6561</v>
      </c>
      <c r="G10" s="42">
        <f>B10*C10</f>
        <v>2313120.6</v>
      </c>
      <c r="H10" s="42">
        <f>D10*C10</f>
        <v>20818085.4</v>
      </c>
      <c r="I10" s="1"/>
      <c r="J10" s="131">
        <v>257013.4</v>
      </c>
      <c r="K10" s="128">
        <f>C$79+C$80*B10+C$81*D10</f>
        <v>286109.76879357814</v>
      </c>
      <c r="L10" s="170">
        <f>J10-K10</f>
        <v>-29096.36879357815</v>
      </c>
      <c r="M10" s="181">
        <f t="shared" si="1"/>
        <v>29096.36879357815</v>
      </c>
      <c r="N10" s="184">
        <f>L10*L10</f>
        <v>846598676.9719083</v>
      </c>
      <c r="O10" s="214">
        <f>M10/J10</f>
        <v>0.11320954002234183</v>
      </c>
      <c r="P10" s="181">
        <f>M10/ABS(J10+K10)</f>
        <v>0.05357232109653685</v>
      </c>
    </row>
    <row r="11" spans="1:16" ht="15.75">
      <c r="A11" s="157" t="s">
        <v>9</v>
      </c>
      <c r="B11" s="45">
        <f t="shared" si="11"/>
        <v>10</v>
      </c>
      <c r="C11" s="51">
        <v>268251.6</v>
      </c>
      <c r="D11" s="47">
        <f t="shared" si="0"/>
        <v>100</v>
      </c>
      <c r="E11" s="47">
        <f t="shared" si="2"/>
        <v>1000</v>
      </c>
      <c r="F11" s="47">
        <f t="shared" si="3"/>
        <v>10000</v>
      </c>
      <c r="G11" s="47">
        <f t="shared" si="4"/>
        <v>2682516</v>
      </c>
      <c r="H11" s="47">
        <f t="shared" si="5"/>
        <v>26825159.999999996</v>
      </c>
      <c r="I11" s="1"/>
      <c r="J11" s="132">
        <v>268251.6</v>
      </c>
      <c r="K11" s="127">
        <f t="shared" si="6"/>
        <v>302899.28693103296</v>
      </c>
      <c r="L11" s="169">
        <f t="shared" si="7"/>
        <v>-34647.68693103298</v>
      </c>
      <c r="M11" s="177">
        <f t="shared" si="1"/>
        <v>34647.68693103298</v>
      </c>
      <c r="N11" s="184">
        <f t="shared" si="8"/>
        <v>1200462209.6708734</v>
      </c>
      <c r="O11" s="215">
        <f t="shared" si="9"/>
        <v>0.12916115665678407</v>
      </c>
      <c r="P11" s="177">
        <f t="shared" si="10"/>
        <v>0.06066293115153076</v>
      </c>
    </row>
    <row r="12" spans="1:16" ht="15.75">
      <c r="A12" s="157" t="s">
        <v>10</v>
      </c>
      <c r="B12" s="45">
        <f t="shared" si="11"/>
        <v>11</v>
      </c>
      <c r="C12" s="51">
        <v>280707.7</v>
      </c>
      <c r="D12" s="47">
        <f t="shared" si="0"/>
        <v>121</v>
      </c>
      <c r="E12" s="47">
        <f t="shared" si="2"/>
        <v>1331</v>
      </c>
      <c r="F12" s="47">
        <f t="shared" si="3"/>
        <v>14641</v>
      </c>
      <c r="G12" s="47">
        <f t="shared" si="4"/>
        <v>3087784.7</v>
      </c>
      <c r="H12" s="47">
        <f t="shared" si="5"/>
        <v>33965631.7</v>
      </c>
      <c r="I12" s="1"/>
      <c r="J12" s="132">
        <v>280707.7</v>
      </c>
      <c r="K12" s="127">
        <f t="shared" si="6"/>
        <v>319231.14810138615</v>
      </c>
      <c r="L12" s="169">
        <f t="shared" si="7"/>
        <v>-38523.44810138614</v>
      </c>
      <c r="M12" s="177">
        <f t="shared" si="1"/>
        <v>38523.44810138614</v>
      </c>
      <c r="N12" s="184">
        <f t="shared" si="8"/>
        <v>1484056053.620191</v>
      </c>
      <c r="O12" s="215">
        <f t="shared" si="9"/>
        <v>0.13723687701258688</v>
      </c>
      <c r="P12" s="177">
        <f t="shared" si="10"/>
        <v>0.0642122913415267</v>
      </c>
    </row>
    <row r="13" spans="1:16" ht="16.5" thickBot="1">
      <c r="A13" s="158" t="s">
        <v>11</v>
      </c>
      <c r="B13" s="45">
        <f t="shared" si="11"/>
        <v>12</v>
      </c>
      <c r="C13" s="53">
        <v>306236.9</v>
      </c>
      <c r="D13" s="49">
        <f t="shared" si="0"/>
        <v>144</v>
      </c>
      <c r="E13" s="49">
        <f t="shared" si="2"/>
        <v>1728</v>
      </c>
      <c r="F13" s="49">
        <f t="shared" si="3"/>
        <v>20736</v>
      </c>
      <c r="G13" s="49">
        <f t="shared" si="4"/>
        <v>3674842.8000000003</v>
      </c>
      <c r="H13" s="49">
        <f t="shared" si="5"/>
        <v>44098113.6</v>
      </c>
      <c r="I13" s="1"/>
      <c r="J13" s="133">
        <v>306236.9</v>
      </c>
      <c r="K13" s="129">
        <f t="shared" si="6"/>
        <v>335105.35230463766</v>
      </c>
      <c r="L13" s="171">
        <f t="shared" si="7"/>
        <v>-28868.45230463764</v>
      </c>
      <c r="M13" s="182">
        <f t="shared" si="1"/>
        <v>28868.45230463764</v>
      </c>
      <c r="N13" s="184">
        <f t="shared" si="8"/>
        <v>833387538.4651383</v>
      </c>
      <c r="O13" s="216">
        <f t="shared" si="9"/>
        <v>0.09426836643342994</v>
      </c>
      <c r="P13" s="177">
        <f t="shared" si="10"/>
        <v>0.04501255328321191</v>
      </c>
    </row>
    <row r="14" spans="1:16" ht="15.75">
      <c r="A14" s="156" t="s">
        <v>12</v>
      </c>
      <c r="B14" s="43">
        <f t="shared" si="11"/>
        <v>13</v>
      </c>
      <c r="C14" s="50">
        <v>320848.6</v>
      </c>
      <c r="D14" s="42">
        <f t="shared" si="0"/>
        <v>169</v>
      </c>
      <c r="E14" s="42">
        <f>B14*D14</f>
        <v>2197</v>
      </c>
      <c r="F14" s="42">
        <f>D14^2</f>
        <v>28561</v>
      </c>
      <c r="G14" s="42">
        <f>B14*C14</f>
        <v>4171031.8</v>
      </c>
      <c r="H14" s="42">
        <f>D14*C14</f>
        <v>54223413.4</v>
      </c>
      <c r="I14" s="1"/>
      <c r="J14" s="131">
        <v>320848.6</v>
      </c>
      <c r="K14" s="128">
        <f>C$79+C$80*B14+C$81*D14</f>
        <v>350521.8995407876</v>
      </c>
      <c r="L14" s="170">
        <f>J14-K14</f>
        <v>-29673.299540787644</v>
      </c>
      <c r="M14" s="183">
        <f t="shared" si="1"/>
        <v>29673.299540787644</v>
      </c>
      <c r="N14" s="181">
        <f>L14*L14</f>
        <v>880504705.6373082</v>
      </c>
      <c r="O14" s="214">
        <f>M14/J14</f>
        <v>0.09248380557305734</v>
      </c>
      <c r="P14" s="181">
        <f>M14/ABS(J14+K14)</f>
        <v>0.04419809860737694</v>
      </c>
    </row>
    <row r="15" spans="1:16" ht="15.75">
      <c r="A15" s="157" t="s">
        <v>13</v>
      </c>
      <c r="B15" s="45">
        <f t="shared" si="11"/>
        <v>14</v>
      </c>
      <c r="C15" s="51">
        <v>329595.1</v>
      </c>
      <c r="D15" s="47">
        <f t="shared" si="0"/>
        <v>196</v>
      </c>
      <c r="E15" s="47">
        <f t="shared" si="2"/>
        <v>2744</v>
      </c>
      <c r="F15" s="47">
        <f t="shared" si="3"/>
        <v>38416</v>
      </c>
      <c r="G15" s="47">
        <f t="shared" si="4"/>
        <v>4614331.399999999</v>
      </c>
      <c r="H15" s="47">
        <f t="shared" si="5"/>
        <v>64600639.599999994</v>
      </c>
      <c r="I15" s="1"/>
      <c r="J15" s="132">
        <v>329595.1</v>
      </c>
      <c r="K15" s="127">
        <f t="shared" si="6"/>
        <v>365480.78980983596</v>
      </c>
      <c r="L15" s="169">
        <f t="shared" si="7"/>
        <v>-35885.68980983598</v>
      </c>
      <c r="M15" s="183">
        <f t="shared" si="1"/>
        <v>35885.68980983598</v>
      </c>
      <c r="N15" s="177">
        <f t="shared" si="8"/>
        <v>1287782733.127766</v>
      </c>
      <c r="O15" s="215">
        <f t="shared" si="9"/>
        <v>0.10887810471040371</v>
      </c>
      <c r="P15" s="177">
        <f t="shared" si="10"/>
        <v>0.05162844854200576</v>
      </c>
    </row>
    <row r="16" spans="1:16" ht="15.75">
      <c r="A16" s="157" t="s">
        <v>14</v>
      </c>
      <c r="B16" s="45">
        <f t="shared" si="11"/>
        <v>15</v>
      </c>
      <c r="C16" s="51">
        <v>336112.3</v>
      </c>
      <c r="D16" s="47">
        <f t="shared" si="0"/>
        <v>225</v>
      </c>
      <c r="E16" s="47">
        <f t="shared" si="2"/>
        <v>3375</v>
      </c>
      <c r="F16" s="47">
        <f t="shared" si="3"/>
        <v>50625</v>
      </c>
      <c r="G16" s="47">
        <f t="shared" si="4"/>
        <v>5041684.5</v>
      </c>
      <c r="H16" s="47">
        <f t="shared" si="5"/>
        <v>75625267.5</v>
      </c>
      <c r="I16" s="1"/>
      <c r="J16" s="132">
        <v>336112.3</v>
      </c>
      <c r="K16" s="127">
        <f t="shared" si="6"/>
        <v>379982.0231117827</v>
      </c>
      <c r="L16" s="169">
        <f t="shared" si="7"/>
        <v>-43869.72311178269</v>
      </c>
      <c r="M16" s="183">
        <f t="shared" si="1"/>
        <v>43869.72311178269</v>
      </c>
      <c r="N16" s="177">
        <f t="shared" si="8"/>
        <v>1924552605.9044802</v>
      </c>
      <c r="O16" s="215">
        <f t="shared" si="9"/>
        <v>0.13052102857224412</v>
      </c>
      <c r="P16" s="177">
        <f t="shared" si="10"/>
        <v>0.061262492517950885</v>
      </c>
    </row>
    <row r="17" spans="1:16" ht="16.5" thickBot="1">
      <c r="A17" s="158" t="s">
        <v>15</v>
      </c>
      <c r="B17" s="52">
        <f t="shared" si="11"/>
        <v>16</v>
      </c>
      <c r="C17" s="53">
        <v>365625.2</v>
      </c>
      <c r="D17" s="49">
        <f t="shared" si="0"/>
        <v>256</v>
      </c>
      <c r="E17" s="49">
        <f t="shared" si="2"/>
        <v>4096</v>
      </c>
      <c r="F17" s="49">
        <f t="shared" si="3"/>
        <v>65536</v>
      </c>
      <c r="G17" s="49">
        <f t="shared" si="4"/>
        <v>5850003.2</v>
      </c>
      <c r="H17" s="49">
        <f t="shared" si="5"/>
        <v>93600051.2</v>
      </c>
      <c r="I17" s="1"/>
      <c r="J17" s="133">
        <v>365625.2</v>
      </c>
      <c r="K17" s="129">
        <f t="shared" si="6"/>
        <v>394025.5994466278</v>
      </c>
      <c r="L17" s="171">
        <f t="shared" si="7"/>
        <v>-28400.399446627765</v>
      </c>
      <c r="M17" s="183">
        <f t="shared" si="1"/>
        <v>28400.399446627765</v>
      </c>
      <c r="N17" s="182">
        <f t="shared" si="8"/>
        <v>806582688.7280147</v>
      </c>
      <c r="O17" s="216">
        <f t="shared" si="9"/>
        <v>0.07767626368923085</v>
      </c>
      <c r="P17" s="182">
        <f t="shared" si="10"/>
        <v>0.03738612460793329</v>
      </c>
    </row>
    <row r="18" spans="1:16" ht="15.75">
      <c r="A18" s="156" t="s">
        <v>16</v>
      </c>
      <c r="B18" s="45">
        <f t="shared" si="11"/>
        <v>17</v>
      </c>
      <c r="C18" s="50">
        <v>414840.1</v>
      </c>
      <c r="D18" s="42">
        <f t="shared" si="0"/>
        <v>289</v>
      </c>
      <c r="E18" s="42">
        <f>B18*D18</f>
        <v>4913</v>
      </c>
      <c r="F18" s="42">
        <f>D18^2</f>
        <v>83521</v>
      </c>
      <c r="G18" s="42">
        <f>B18*C18</f>
        <v>7052281.699999999</v>
      </c>
      <c r="H18" s="42">
        <f>D18*C18</f>
        <v>119888788.89999999</v>
      </c>
      <c r="I18" s="1"/>
      <c r="J18" s="131">
        <v>414840.1</v>
      </c>
      <c r="K18" s="128">
        <f>C$79+C$80*B18+C$81*D18</f>
        <v>407611.51881437126</v>
      </c>
      <c r="L18" s="170">
        <f>J18-K18</f>
        <v>7228.581185628718</v>
      </c>
      <c r="M18" s="181">
        <f t="shared" si="1"/>
        <v>7228.581185628718</v>
      </c>
      <c r="N18" s="184">
        <f>L18*L18</f>
        <v>52252385.95722549</v>
      </c>
      <c r="O18" s="214">
        <f>M18/J18</f>
        <v>0.01742498178365283</v>
      </c>
      <c r="P18" s="181">
        <f>M18/ABS(J18+K18)</f>
        <v>0.008789065545337836</v>
      </c>
    </row>
    <row r="19" spans="1:16" ht="15.75">
      <c r="A19" s="157" t="s">
        <v>17</v>
      </c>
      <c r="B19" s="45">
        <f t="shared" si="11"/>
        <v>18</v>
      </c>
      <c r="C19" s="51">
        <v>441183</v>
      </c>
      <c r="D19" s="47">
        <f t="shared" si="0"/>
        <v>324</v>
      </c>
      <c r="E19" s="47">
        <f t="shared" si="2"/>
        <v>5832</v>
      </c>
      <c r="F19" s="47">
        <f t="shared" si="3"/>
        <v>104976</v>
      </c>
      <c r="G19" s="47">
        <f t="shared" si="4"/>
        <v>7941294</v>
      </c>
      <c r="H19" s="47">
        <f t="shared" si="5"/>
        <v>142943292</v>
      </c>
      <c r="I19" s="1"/>
      <c r="J19" s="132">
        <v>441183</v>
      </c>
      <c r="K19" s="127">
        <f t="shared" si="6"/>
        <v>420739.7812150131</v>
      </c>
      <c r="L19" s="169">
        <f t="shared" si="7"/>
        <v>20443.21878498688</v>
      </c>
      <c r="M19" s="177">
        <f t="shared" si="1"/>
        <v>20443.21878498688</v>
      </c>
      <c r="N19" s="184">
        <f t="shared" si="8"/>
        <v>417925194.2908404</v>
      </c>
      <c r="O19" s="215">
        <f t="shared" si="9"/>
        <v>0.046337276787607136</v>
      </c>
      <c r="P19" s="177">
        <f t="shared" si="10"/>
        <v>0.023718155768164068</v>
      </c>
    </row>
    <row r="20" spans="1:16" ht="15.75">
      <c r="A20" s="157" t="s">
        <v>18</v>
      </c>
      <c r="B20" s="45">
        <f t="shared" si="11"/>
        <v>19</v>
      </c>
      <c r="C20" s="51">
        <v>443649.1</v>
      </c>
      <c r="D20" s="47">
        <f t="shared" si="0"/>
        <v>361</v>
      </c>
      <c r="E20" s="47">
        <f t="shared" si="2"/>
        <v>6859</v>
      </c>
      <c r="F20" s="47">
        <f t="shared" si="3"/>
        <v>130321</v>
      </c>
      <c r="G20" s="47">
        <f t="shared" si="4"/>
        <v>8429332.9</v>
      </c>
      <c r="H20" s="47">
        <f t="shared" si="5"/>
        <v>160157325.1</v>
      </c>
      <c r="I20" s="1"/>
      <c r="J20" s="132">
        <v>443649.1</v>
      </c>
      <c r="K20" s="127">
        <f t="shared" si="6"/>
        <v>433410.38664855337</v>
      </c>
      <c r="L20" s="169">
        <f t="shared" si="7"/>
        <v>10238.713351446611</v>
      </c>
      <c r="M20" s="177">
        <f t="shared" si="1"/>
        <v>10238.713351446611</v>
      </c>
      <c r="N20" s="184">
        <f t="shared" si="8"/>
        <v>104831251.0930911</v>
      </c>
      <c r="O20" s="215">
        <f t="shared" si="9"/>
        <v>0.023078404422428925</v>
      </c>
      <c r="P20" s="177">
        <f t="shared" si="10"/>
        <v>0.011673909817190506</v>
      </c>
    </row>
    <row r="21" spans="1:16" ht="16.5" thickBot="1">
      <c r="A21" s="158" t="s">
        <v>19</v>
      </c>
      <c r="B21" s="45">
        <f t="shared" si="11"/>
        <v>20</v>
      </c>
      <c r="C21" s="53">
        <v>473921.5</v>
      </c>
      <c r="D21" s="49">
        <f t="shared" si="0"/>
        <v>400</v>
      </c>
      <c r="E21" s="49">
        <f t="shared" si="2"/>
        <v>8000</v>
      </c>
      <c r="F21" s="49">
        <f t="shared" si="3"/>
        <v>160000</v>
      </c>
      <c r="G21" s="49">
        <f t="shared" si="4"/>
        <v>9478430</v>
      </c>
      <c r="H21" s="49">
        <f t="shared" si="5"/>
        <v>189568600</v>
      </c>
      <c r="I21" s="1"/>
      <c r="J21" s="133">
        <v>473921.5</v>
      </c>
      <c r="K21" s="129">
        <f t="shared" si="6"/>
        <v>445623.335114992</v>
      </c>
      <c r="L21" s="171">
        <f t="shared" si="7"/>
        <v>28298.16488500801</v>
      </c>
      <c r="M21" s="182">
        <f t="shared" si="1"/>
        <v>28298.16488500801</v>
      </c>
      <c r="N21" s="184">
        <f t="shared" si="8"/>
        <v>800786135.8591003</v>
      </c>
      <c r="O21" s="216">
        <f t="shared" si="9"/>
        <v>0.05971065859009986</v>
      </c>
      <c r="P21" s="177">
        <f t="shared" si="10"/>
        <v>0.03077410018998066</v>
      </c>
    </row>
    <row r="22" spans="1:16" ht="15.75">
      <c r="A22" s="156" t="s">
        <v>20</v>
      </c>
      <c r="B22" s="43">
        <f t="shared" si="11"/>
        <v>21</v>
      </c>
      <c r="C22" s="50">
        <v>493387.1</v>
      </c>
      <c r="D22" s="42">
        <f t="shared" si="0"/>
        <v>441</v>
      </c>
      <c r="E22" s="42">
        <f>B22*D22</f>
        <v>9261</v>
      </c>
      <c r="F22" s="42">
        <f>D22^2</f>
        <v>194481</v>
      </c>
      <c r="G22" s="42">
        <f>B22*C22</f>
        <v>10361129.1</v>
      </c>
      <c r="H22" s="42">
        <f>D22*C22</f>
        <v>217583711.1</v>
      </c>
      <c r="I22" s="1"/>
      <c r="J22" s="131">
        <v>493387.1</v>
      </c>
      <c r="K22" s="128">
        <f>C$79+C$80*B22+C$81*D22</f>
        <v>457378.62661432906</v>
      </c>
      <c r="L22" s="170">
        <f>J22-K22</f>
        <v>36008.47338567092</v>
      </c>
      <c r="M22" s="183">
        <f t="shared" si="1"/>
        <v>36008.47338567092</v>
      </c>
      <c r="N22" s="181">
        <f>L22*L22</f>
        <v>1296610155.566571</v>
      </c>
      <c r="O22" s="214">
        <f>M22/J22</f>
        <v>0.07298219468176392</v>
      </c>
      <c r="P22" s="181">
        <f>M22/ABS(J22+K22)</f>
        <v>0.03787312939213414</v>
      </c>
    </row>
    <row r="23" spans="1:16" ht="15.75">
      <c r="A23" s="157" t="s">
        <v>21</v>
      </c>
      <c r="B23" s="45">
        <f t="shared" si="11"/>
        <v>22</v>
      </c>
      <c r="C23" s="51">
        <v>512073.8</v>
      </c>
      <c r="D23" s="47">
        <f t="shared" si="0"/>
        <v>484</v>
      </c>
      <c r="E23" s="47">
        <f t="shared" si="2"/>
        <v>10648</v>
      </c>
      <c r="F23" s="47">
        <f t="shared" si="3"/>
        <v>234256</v>
      </c>
      <c r="G23" s="47">
        <f t="shared" si="4"/>
        <v>11265623.6</v>
      </c>
      <c r="H23" s="47">
        <f t="shared" si="5"/>
        <v>247843719.2</v>
      </c>
      <c r="I23" s="1"/>
      <c r="J23" s="132">
        <v>512073.8</v>
      </c>
      <c r="K23" s="127">
        <f t="shared" si="6"/>
        <v>468676.26114656444</v>
      </c>
      <c r="L23" s="169">
        <f t="shared" si="7"/>
        <v>43397.538853435544</v>
      </c>
      <c r="M23" s="183">
        <f t="shared" si="1"/>
        <v>43397.538853435544</v>
      </c>
      <c r="N23" s="177">
        <f t="shared" si="8"/>
        <v>1883346378.5354476</v>
      </c>
      <c r="O23" s="215">
        <f t="shared" si="9"/>
        <v>0.08474860235660474</v>
      </c>
      <c r="P23" s="177">
        <f t="shared" si="10"/>
        <v>0.044249335863105456</v>
      </c>
    </row>
    <row r="24" spans="1:16" ht="15.75">
      <c r="A24" s="157" t="s">
        <v>22</v>
      </c>
      <c r="B24" s="45">
        <f t="shared" si="11"/>
        <v>23</v>
      </c>
      <c r="C24" s="51">
        <v>527451.8</v>
      </c>
      <c r="D24" s="47">
        <f t="shared" si="0"/>
        <v>529</v>
      </c>
      <c r="E24" s="47">
        <f t="shared" si="2"/>
        <v>12167</v>
      </c>
      <c r="F24" s="47">
        <f t="shared" si="3"/>
        <v>279841</v>
      </c>
      <c r="G24" s="47">
        <f t="shared" si="4"/>
        <v>12131391.4</v>
      </c>
      <c r="H24" s="47">
        <f t="shared" si="5"/>
        <v>279022002.20000005</v>
      </c>
      <c r="I24" s="1"/>
      <c r="J24" s="132">
        <v>527451.8</v>
      </c>
      <c r="K24" s="127">
        <f t="shared" si="6"/>
        <v>479516.2387116982</v>
      </c>
      <c r="L24" s="169">
        <f t="shared" si="7"/>
        <v>47935.56128830183</v>
      </c>
      <c r="M24" s="183">
        <f t="shared" si="1"/>
        <v>47935.56128830183</v>
      </c>
      <c r="N24" s="177">
        <f t="shared" si="8"/>
        <v>2297818036.0245414</v>
      </c>
      <c r="O24" s="215">
        <f t="shared" si="9"/>
        <v>0.0908814062029968</v>
      </c>
      <c r="P24" s="177">
        <f t="shared" si="10"/>
        <v>0.04760385577841176</v>
      </c>
    </row>
    <row r="25" spans="1:16" ht="16.5" thickBot="1">
      <c r="A25" s="158" t="s">
        <v>23</v>
      </c>
      <c r="B25" s="52">
        <f t="shared" si="11"/>
        <v>24</v>
      </c>
      <c r="C25" s="53">
        <v>549745.5</v>
      </c>
      <c r="D25" s="49">
        <f t="shared" si="0"/>
        <v>576</v>
      </c>
      <c r="E25" s="49">
        <f t="shared" si="2"/>
        <v>13824</v>
      </c>
      <c r="F25" s="49">
        <f t="shared" si="3"/>
        <v>331776</v>
      </c>
      <c r="G25" s="49">
        <f t="shared" si="4"/>
        <v>13193892</v>
      </c>
      <c r="H25" s="49">
        <f t="shared" si="5"/>
        <v>316653408</v>
      </c>
      <c r="I25" s="1"/>
      <c r="J25" s="133">
        <v>549745.5</v>
      </c>
      <c r="K25" s="129">
        <f t="shared" si="6"/>
        <v>489898.5593097304</v>
      </c>
      <c r="L25" s="171">
        <f t="shared" si="7"/>
        <v>59846.94069026958</v>
      </c>
      <c r="M25" s="183">
        <f t="shared" si="1"/>
        <v>59846.94069026958</v>
      </c>
      <c r="N25" s="182">
        <f t="shared" si="8"/>
        <v>3581656309.9846444</v>
      </c>
      <c r="O25" s="216">
        <f t="shared" si="9"/>
        <v>0.10886299331285036</v>
      </c>
      <c r="P25" s="182">
        <f t="shared" si="10"/>
        <v>0.057564836882735455</v>
      </c>
    </row>
    <row r="26" spans="1:16" ht="15.75">
      <c r="A26" s="156" t="s">
        <v>24</v>
      </c>
      <c r="B26" s="43">
        <f t="shared" si="11"/>
        <v>25</v>
      </c>
      <c r="C26" s="50">
        <v>559644.4</v>
      </c>
      <c r="D26" s="42">
        <f t="shared" si="0"/>
        <v>625</v>
      </c>
      <c r="E26" s="42">
        <f>B26*D26</f>
        <v>15625</v>
      </c>
      <c r="F26" s="42">
        <f>D26^2</f>
        <v>390625</v>
      </c>
      <c r="G26" s="42">
        <f>B26*C26</f>
        <v>13991110</v>
      </c>
      <c r="H26" s="42">
        <f>D26*C26</f>
        <v>349777750</v>
      </c>
      <c r="I26" s="1"/>
      <c r="J26" s="131">
        <v>559644.4</v>
      </c>
      <c r="K26" s="128">
        <f>C$79+C$80*B26+C$81*D26</f>
        <v>499823.222940661</v>
      </c>
      <c r="L26" s="170">
        <f>J26-K26</f>
        <v>59821.17705933901</v>
      </c>
      <c r="M26" s="181">
        <f t="shared" si="1"/>
        <v>59821.17705933901</v>
      </c>
      <c r="N26" s="184">
        <f>L26*L26</f>
        <v>3578573224.7647877</v>
      </c>
      <c r="O26" s="214">
        <f>M26/J26</f>
        <v>0.10689140650623682</v>
      </c>
      <c r="P26" s="181">
        <f>M26/ABS(J26+K26)</f>
        <v>0.05646343103274756</v>
      </c>
    </row>
    <row r="27" spans="1:16" ht="15.75">
      <c r="A27" s="157" t="s">
        <v>25</v>
      </c>
      <c r="B27" s="45">
        <f t="shared" si="11"/>
        <v>26</v>
      </c>
      <c r="C27" s="51">
        <v>554565.3</v>
      </c>
      <c r="D27" s="47">
        <f t="shared" si="0"/>
        <v>676</v>
      </c>
      <c r="E27" s="47">
        <f t="shared" si="2"/>
        <v>17576</v>
      </c>
      <c r="F27" s="47">
        <f t="shared" si="3"/>
        <v>456976</v>
      </c>
      <c r="G27" s="47">
        <f t="shared" si="4"/>
        <v>14418697.8</v>
      </c>
      <c r="H27" s="47">
        <f t="shared" si="5"/>
        <v>374886142.8</v>
      </c>
      <c r="I27" s="1"/>
      <c r="J27" s="132">
        <v>554565.3</v>
      </c>
      <c r="K27" s="127">
        <f t="shared" si="6"/>
        <v>509290.2296044899</v>
      </c>
      <c r="L27" s="169">
        <f t="shared" si="7"/>
        <v>45275.07039551012</v>
      </c>
      <c r="M27" s="177">
        <f t="shared" si="1"/>
        <v>45275.07039551012</v>
      </c>
      <c r="N27" s="184">
        <f t="shared" si="8"/>
        <v>2049831999.3183968</v>
      </c>
      <c r="O27" s="215">
        <f t="shared" si="9"/>
        <v>0.08164064790117614</v>
      </c>
      <c r="P27" s="177">
        <f t="shared" si="10"/>
        <v>0.0425575363718249</v>
      </c>
    </row>
    <row r="28" spans="1:16" ht="15.75">
      <c r="A28" s="157" t="s">
        <v>26</v>
      </c>
      <c r="B28" s="45">
        <f t="shared" si="11"/>
        <v>27</v>
      </c>
      <c r="C28" s="51">
        <v>542409.4</v>
      </c>
      <c r="D28" s="47">
        <f t="shared" si="0"/>
        <v>729</v>
      </c>
      <c r="E28" s="47">
        <f t="shared" si="2"/>
        <v>19683</v>
      </c>
      <c r="F28" s="47">
        <f t="shared" si="3"/>
        <v>531441</v>
      </c>
      <c r="G28" s="47">
        <f t="shared" si="4"/>
        <v>14645053.8</v>
      </c>
      <c r="H28" s="47">
        <f t="shared" si="5"/>
        <v>395416452.6</v>
      </c>
      <c r="I28" s="1"/>
      <c r="J28" s="132">
        <v>542409.4</v>
      </c>
      <c r="K28" s="127">
        <f t="shared" si="6"/>
        <v>518299.5793012173</v>
      </c>
      <c r="L28" s="169">
        <f t="shared" si="7"/>
        <v>24109.820698782743</v>
      </c>
      <c r="M28" s="177">
        <f t="shared" si="1"/>
        <v>24109.820698782743</v>
      </c>
      <c r="N28" s="184">
        <f t="shared" si="8"/>
        <v>581283454.1274529</v>
      </c>
      <c r="O28" s="215">
        <f t="shared" si="9"/>
        <v>0.044449489073719484</v>
      </c>
      <c r="P28" s="177">
        <f t="shared" si="10"/>
        <v>0.02272991100222986</v>
      </c>
    </row>
    <row r="29" spans="1:16" ht="16.5" thickBot="1">
      <c r="A29" s="158" t="s">
        <v>27</v>
      </c>
      <c r="B29" s="52">
        <f t="shared" si="11"/>
        <v>28</v>
      </c>
      <c r="C29" s="53">
        <v>536933.7</v>
      </c>
      <c r="D29" s="49">
        <f t="shared" si="0"/>
        <v>784</v>
      </c>
      <c r="E29" s="49">
        <f t="shared" si="2"/>
        <v>21952</v>
      </c>
      <c r="F29" s="49">
        <f t="shared" si="3"/>
        <v>614656</v>
      </c>
      <c r="G29" s="49">
        <f t="shared" si="4"/>
        <v>15034143.599999998</v>
      </c>
      <c r="H29" s="49">
        <f t="shared" si="5"/>
        <v>420956020.79999995</v>
      </c>
      <c r="I29" s="1"/>
      <c r="J29" s="133">
        <v>536933.7</v>
      </c>
      <c r="K29" s="129">
        <f t="shared" si="6"/>
        <v>526851.272030843</v>
      </c>
      <c r="L29" s="171">
        <f t="shared" si="7"/>
        <v>10082.427969156997</v>
      </c>
      <c r="M29" s="182">
        <f t="shared" si="1"/>
        <v>10082.427969156997</v>
      </c>
      <c r="N29" s="184">
        <f t="shared" si="8"/>
        <v>101655353.75323929</v>
      </c>
      <c r="O29" s="216">
        <f t="shared" si="9"/>
        <v>0.01877778945362714</v>
      </c>
      <c r="P29" s="177">
        <f t="shared" si="10"/>
        <v>0.009477881559004269</v>
      </c>
    </row>
    <row r="30" spans="1:16" ht="15.75">
      <c r="A30" s="156" t="s">
        <v>28</v>
      </c>
      <c r="B30" s="43">
        <f t="shared" si="11"/>
        <v>29</v>
      </c>
      <c r="C30" s="50">
        <v>548175</v>
      </c>
      <c r="D30" s="42">
        <f t="shared" si="0"/>
        <v>841</v>
      </c>
      <c r="E30" s="42">
        <f>B30*D30</f>
        <v>24389</v>
      </c>
      <c r="F30" s="42">
        <f>D30^2</f>
        <v>707281</v>
      </c>
      <c r="G30" s="42">
        <f>B30*C30</f>
        <v>15897075</v>
      </c>
      <c r="H30" s="42">
        <f>D30*C30</f>
        <v>461015175</v>
      </c>
      <c r="I30" s="1"/>
      <c r="J30" s="131">
        <v>548175</v>
      </c>
      <c r="K30" s="128">
        <f>C$79+C$80*B30+C$81*D30</f>
        <v>534945.3077933671</v>
      </c>
      <c r="L30" s="170">
        <f>J30-K30</f>
        <v>13229.692206632928</v>
      </c>
      <c r="M30" s="183">
        <f t="shared" si="1"/>
        <v>13229.692206632928</v>
      </c>
      <c r="N30" s="181">
        <f>L30*L30</f>
        <v>175024755.88224402</v>
      </c>
      <c r="O30" s="214">
        <f>M30/J30</f>
        <v>0.024134067052734853</v>
      </c>
      <c r="P30" s="181">
        <f>M30/ABS(J30+K30)</f>
        <v>0.012214425407262171</v>
      </c>
    </row>
    <row r="31" spans="1:16" ht="15.75">
      <c r="A31" s="157" t="s">
        <v>29</v>
      </c>
      <c r="B31" s="45">
        <f t="shared" si="11"/>
        <v>30</v>
      </c>
      <c r="C31" s="51">
        <v>543395.4</v>
      </c>
      <c r="D31" s="47">
        <f t="shared" si="0"/>
        <v>900</v>
      </c>
      <c r="E31" s="47">
        <f t="shared" si="2"/>
        <v>27000</v>
      </c>
      <c r="F31" s="47">
        <f t="shared" si="3"/>
        <v>810000</v>
      </c>
      <c r="G31" s="47">
        <f t="shared" si="4"/>
        <v>16301862</v>
      </c>
      <c r="H31" s="47">
        <f t="shared" si="5"/>
        <v>489055860</v>
      </c>
      <c r="I31" s="1"/>
      <c r="J31" s="132">
        <v>543395.4</v>
      </c>
      <c r="K31" s="127">
        <f t="shared" si="6"/>
        <v>542581.6865887896</v>
      </c>
      <c r="L31" s="169">
        <f t="shared" si="7"/>
        <v>813.7134112104541</v>
      </c>
      <c r="M31" s="183">
        <f t="shared" si="1"/>
        <v>813.7134112104541</v>
      </c>
      <c r="N31" s="177">
        <f t="shared" si="8"/>
        <v>662129.5155837535</v>
      </c>
      <c r="O31" s="215">
        <f t="shared" si="9"/>
        <v>0.0014974609855189316</v>
      </c>
      <c r="P31" s="177">
        <f t="shared" si="10"/>
        <v>0.0007492915101610891</v>
      </c>
    </row>
    <row r="32" spans="1:16" ht="15.75">
      <c r="A32" s="157" t="s">
        <v>30</v>
      </c>
      <c r="B32" s="45">
        <f t="shared" si="11"/>
        <v>31</v>
      </c>
      <c r="C32" s="51">
        <v>547678.9</v>
      </c>
      <c r="D32" s="47">
        <f t="shared" si="0"/>
        <v>961</v>
      </c>
      <c r="E32" s="47">
        <f t="shared" si="2"/>
        <v>29791</v>
      </c>
      <c r="F32" s="47">
        <f t="shared" si="3"/>
        <v>923521</v>
      </c>
      <c r="G32" s="47">
        <f t="shared" si="4"/>
        <v>16978045.900000002</v>
      </c>
      <c r="H32" s="47">
        <f t="shared" si="5"/>
        <v>526319422.90000004</v>
      </c>
      <c r="I32" s="1"/>
      <c r="J32" s="132">
        <v>547678.9</v>
      </c>
      <c r="K32" s="127">
        <f t="shared" si="6"/>
        <v>549760.4084171104</v>
      </c>
      <c r="L32" s="169">
        <f t="shared" si="7"/>
        <v>-2081.5084171104245</v>
      </c>
      <c r="M32" s="183">
        <f t="shared" si="1"/>
        <v>2081.5084171104245</v>
      </c>
      <c r="N32" s="177">
        <f t="shared" si="8"/>
        <v>4332677.290501545</v>
      </c>
      <c r="O32" s="215">
        <f t="shared" si="9"/>
        <v>0.003800599981321947</v>
      </c>
      <c r="P32" s="177">
        <f t="shared" si="10"/>
        <v>0.0018966956998402802</v>
      </c>
    </row>
    <row r="33" spans="1:16" ht="16.5" thickBot="1">
      <c r="A33" s="158" t="s">
        <v>31</v>
      </c>
      <c r="B33" s="52">
        <f t="shared" si="11"/>
        <v>32</v>
      </c>
      <c r="C33" s="53">
        <v>549152.9</v>
      </c>
      <c r="D33" s="49">
        <f t="shared" si="0"/>
        <v>1024</v>
      </c>
      <c r="E33" s="49">
        <f t="shared" si="2"/>
        <v>32768</v>
      </c>
      <c r="F33" s="49">
        <f t="shared" si="3"/>
        <v>1048576</v>
      </c>
      <c r="G33" s="49">
        <f t="shared" si="4"/>
        <v>17572892.8</v>
      </c>
      <c r="H33" s="49">
        <f t="shared" si="5"/>
        <v>562332569.6</v>
      </c>
      <c r="I33" s="1"/>
      <c r="J33" s="133">
        <v>549152.9</v>
      </c>
      <c r="K33" s="129">
        <f t="shared" si="6"/>
        <v>556481.4732783297</v>
      </c>
      <c r="L33" s="171">
        <f t="shared" si="7"/>
        <v>-7328.573278329684</v>
      </c>
      <c r="M33" s="183">
        <f t="shared" si="1"/>
        <v>7328.573278329684</v>
      </c>
      <c r="N33" s="182">
        <f t="shared" si="8"/>
        <v>53707986.2958479</v>
      </c>
      <c r="O33" s="216">
        <f t="shared" si="9"/>
        <v>0.013345232772748144</v>
      </c>
      <c r="P33" s="182">
        <f t="shared" si="10"/>
        <v>0.006628387698005124</v>
      </c>
    </row>
    <row r="34" spans="1:16" ht="15.75">
      <c r="A34" s="156" t="s">
        <v>32</v>
      </c>
      <c r="B34" s="45">
        <f t="shared" si="11"/>
        <v>33</v>
      </c>
      <c r="C34" s="50">
        <v>568758.9</v>
      </c>
      <c r="D34" s="42">
        <f aca="true" t="shared" si="12" ref="D34:D61">B34^2</f>
        <v>1089</v>
      </c>
      <c r="E34" s="42">
        <f>B34*D34</f>
        <v>35937</v>
      </c>
      <c r="F34" s="42">
        <f>D34^2</f>
        <v>1185921</v>
      </c>
      <c r="G34" s="42">
        <f>B34*C34</f>
        <v>18769043.7</v>
      </c>
      <c r="H34" s="42">
        <f>D34*C34</f>
        <v>619378442.1</v>
      </c>
      <c r="I34" s="1"/>
      <c r="J34" s="131">
        <v>568758.9</v>
      </c>
      <c r="K34" s="128">
        <f>C$79+C$80*B34+C$81*D34</f>
        <v>562744.8811724473</v>
      </c>
      <c r="L34" s="170">
        <f>J34-K34</f>
        <v>6014.018827552674</v>
      </c>
      <c r="M34" s="181">
        <f aca="true" t="shared" si="13" ref="M34:M61">ABS(L34)</f>
        <v>6014.018827552674</v>
      </c>
      <c r="N34" s="184">
        <f>L34*L34</f>
        <v>36168422.458158046</v>
      </c>
      <c r="O34" s="214">
        <f>M34/J34</f>
        <v>0.010573933572824398</v>
      </c>
      <c r="P34" s="181">
        <f>M34/ABS(J34+K34)</f>
        <v>0.005315067371070592</v>
      </c>
    </row>
    <row r="35" spans="1:16" ht="15.75">
      <c r="A35" s="157" t="s">
        <v>33</v>
      </c>
      <c r="B35" s="45">
        <f t="shared" si="11"/>
        <v>34</v>
      </c>
      <c r="C35" s="51">
        <v>583195.2</v>
      </c>
      <c r="D35" s="47">
        <f t="shared" si="12"/>
        <v>1156</v>
      </c>
      <c r="E35" s="47">
        <f t="shared" si="2"/>
        <v>39304</v>
      </c>
      <c r="F35" s="47">
        <f t="shared" si="3"/>
        <v>1336336</v>
      </c>
      <c r="G35" s="47">
        <f t="shared" si="4"/>
        <v>19828636.799999997</v>
      </c>
      <c r="H35" s="47">
        <f t="shared" si="5"/>
        <v>674173651.1999999</v>
      </c>
      <c r="I35" s="1"/>
      <c r="J35" s="132">
        <v>583195.2</v>
      </c>
      <c r="K35" s="127">
        <f t="shared" si="6"/>
        <v>568550.6320994634</v>
      </c>
      <c r="L35" s="169">
        <f t="shared" si="7"/>
        <v>14644.567900536582</v>
      </c>
      <c r="M35" s="177">
        <f t="shared" si="13"/>
        <v>14644.567900536582</v>
      </c>
      <c r="N35" s="184">
        <f t="shared" si="8"/>
        <v>214463368.99342644</v>
      </c>
      <c r="O35" s="215">
        <f t="shared" si="9"/>
        <v>0.02511091980958791</v>
      </c>
      <c r="P35" s="177">
        <f t="shared" si="10"/>
        <v>0.012715103881766767</v>
      </c>
    </row>
    <row r="36" spans="1:16" ht="15.75">
      <c r="A36" s="157" t="s">
        <v>34</v>
      </c>
      <c r="B36" s="45">
        <f aca="true" t="shared" si="14" ref="B36:B58">B35+1</f>
        <v>35</v>
      </c>
      <c r="C36" s="51">
        <v>589675.9</v>
      </c>
      <c r="D36" s="47">
        <f t="shared" si="12"/>
        <v>1225</v>
      </c>
      <c r="E36" s="47">
        <f t="shared" si="2"/>
        <v>42875</v>
      </c>
      <c r="F36" s="47">
        <f t="shared" si="3"/>
        <v>1500625</v>
      </c>
      <c r="G36" s="47">
        <f t="shared" si="4"/>
        <v>20638656.5</v>
      </c>
      <c r="H36" s="47">
        <f t="shared" si="5"/>
        <v>722352977.5</v>
      </c>
      <c r="I36" s="1"/>
      <c r="J36" s="132">
        <v>589675.9</v>
      </c>
      <c r="K36" s="127">
        <f t="shared" si="6"/>
        <v>573898.7260593778</v>
      </c>
      <c r="L36" s="169">
        <f t="shared" si="7"/>
        <v>15777.173940622248</v>
      </c>
      <c r="M36" s="177">
        <f t="shared" si="13"/>
        <v>15777.173940622248</v>
      </c>
      <c r="N36" s="184">
        <f t="shared" si="8"/>
        <v>248919217.55264974</v>
      </c>
      <c r="O36" s="215">
        <f t="shared" si="9"/>
        <v>0.026755670259921167</v>
      </c>
      <c r="P36" s="177">
        <f t="shared" si="10"/>
        <v>0.013559228249978296</v>
      </c>
    </row>
    <row r="37" spans="1:16" ht="16.5" thickBot="1">
      <c r="A37" s="158" t="s">
        <v>35</v>
      </c>
      <c r="B37" s="45">
        <f t="shared" si="14"/>
        <v>36</v>
      </c>
      <c r="C37" s="53">
        <v>595970.9</v>
      </c>
      <c r="D37" s="49">
        <f t="shared" si="12"/>
        <v>1296</v>
      </c>
      <c r="E37" s="49">
        <f t="shared" si="2"/>
        <v>46656</v>
      </c>
      <c r="F37" s="49">
        <f t="shared" si="3"/>
        <v>1679616</v>
      </c>
      <c r="G37" s="49">
        <f t="shared" si="4"/>
        <v>21454952.400000002</v>
      </c>
      <c r="H37" s="49">
        <f t="shared" si="5"/>
        <v>772378286.4</v>
      </c>
      <c r="I37" s="1"/>
      <c r="J37" s="133">
        <v>595970.9</v>
      </c>
      <c r="K37" s="129">
        <f t="shared" si="6"/>
        <v>578789.1630521906</v>
      </c>
      <c r="L37" s="171">
        <f t="shared" si="7"/>
        <v>17181.736947809462</v>
      </c>
      <c r="M37" s="182">
        <f t="shared" si="13"/>
        <v>17181.736947809462</v>
      </c>
      <c r="N37" s="184">
        <f t="shared" si="8"/>
        <v>295212084.54372084</v>
      </c>
      <c r="O37" s="216">
        <f t="shared" si="9"/>
        <v>0.0288298253284002</v>
      </c>
      <c r="P37" s="177">
        <f t="shared" si="10"/>
        <v>0.014625741449848843</v>
      </c>
    </row>
    <row r="38" spans="1:16" ht="15.75">
      <c r="A38" s="156" t="s">
        <v>36</v>
      </c>
      <c r="B38" s="43">
        <f t="shared" si="14"/>
        <v>37</v>
      </c>
      <c r="C38" s="50">
        <v>596536.5</v>
      </c>
      <c r="D38" s="42">
        <f t="shared" si="12"/>
        <v>1369</v>
      </c>
      <c r="E38" s="42">
        <f>B38*D38</f>
        <v>50653</v>
      </c>
      <c r="F38" s="42">
        <f>D38^2</f>
        <v>1874161</v>
      </c>
      <c r="G38" s="42">
        <f>B38*C38</f>
        <v>22071850.5</v>
      </c>
      <c r="H38" s="42">
        <f>D38*C38</f>
        <v>816658468.5</v>
      </c>
      <c r="I38" s="1"/>
      <c r="J38" s="131">
        <v>596536.5</v>
      </c>
      <c r="K38" s="128">
        <f>C$79+C$80*B38+C$81*D38</f>
        <v>583221.9430779018</v>
      </c>
      <c r="L38" s="170">
        <f>J38-K38</f>
        <v>13314.556922098156</v>
      </c>
      <c r="M38" s="183">
        <f t="shared" si="13"/>
        <v>13314.556922098156</v>
      </c>
      <c r="N38" s="181">
        <f>L38*L38</f>
        <v>177277426.03179193</v>
      </c>
      <c r="O38" s="214">
        <f>M38/J38</f>
        <v>0.022319769070456134</v>
      </c>
      <c r="P38" s="181">
        <f>M38/ABS(J38+K38)</f>
        <v>0.011285833129840944</v>
      </c>
    </row>
    <row r="39" spans="1:16" ht="15.75">
      <c r="A39" s="157" t="s">
        <v>37</v>
      </c>
      <c r="B39" s="45">
        <f t="shared" si="14"/>
        <v>38</v>
      </c>
      <c r="C39" s="51">
        <v>594155.3</v>
      </c>
      <c r="D39" s="47">
        <f t="shared" si="12"/>
        <v>1444</v>
      </c>
      <c r="E39" s="47">
        <f t="shared" si="2"/>
        <v>54872</v>
      </c>
      <c r="F39" s="47">
        <f t="shared" si="3"/>
        <v>2085136</v>
      </c>
      <c r="G39" s="47">
        <f t="shared" si="4"/>
        <v>22577901.400000002</v>
      </c>
      <c r="H39" s="47">
        <f t="shared" si="5"/>
        <v>857960253.2</v>
      </c>
      <c r="I39" s="1"/>
      <c r="J39" s="132">
        <v>594155.3</v>
      </c>
      <c r="K39" s="127">
        <f t="shared" si="6"/>
        <v>587197.0661365113</v>
      </c>
      <c r="L39" s="169">
        <f t="shared" si="7"/>
        <v>6958.233863488771</v>
      </c>
      <c r="M39" s="183">
        <f t="shared" si="13"/>
        <v>6958.233863488771</v>
      </c>
      <c r="N39" s="177">
        <f t="shared" si="8"/>
        <v>48417018.49900187</v>
      </c>
      <c r="O39" s="215">
        <f t="shared" si="9"/>
        <v>0.01171113657235536</v>
      </c>
      <c r="P39" s="177">
        <f t="shared" si="10"/>
        <v>0.005890057922552729</v>
      </c>
    </row>
    <row r="40" spans="1:16" ht="15.75">
      <c r="A40" s="157" t="s">
        <v>38</v>
      </c>
      <c r="B40" s="45">
        <f t="shared" si="14"/>
        <v>39</v>
      </c>
      <c r="C40" s="51">
        <v>580665.6</v>
      </c>
      <c r="D40" s="47">
        <f t="shared" si="12"/>
        <v>1521</v>
      </c>
      <c r="E40" s="47">
        <f t="shared" si="2"/>
        <v>59319</v>
      </c>
      <c r="F40" s="47">
        <f t="shared" si="3"/>
        <v>2313441</v>
      </c>
      <c r="G40" s="47">
        <f t="shared" si="4"/>
        <v>22645958.4</v>
      </c>
      <c r="H40" s="47">
        <f t="shared" si="5"/>
        <v>883192377.6</v>
      </c>
      <c r="I40" s="1"/>
      <c r="J40" s="132">
        <v>580665.6</v>
      </c>
      <c r="K40" s="127">
        <f t="shared" si="6"/>
        <v>590714.5322280193</v>
      </c>
      <c r="L40" s="169">
        <f t="shared" si="7"/>
        <v>-10048.932228019345</v>
      </c>
      <c r="M40" s="183">
        <f t="shared" si="13"/>
        <v>10048.932228019345</v>
      </c>
      <c r="N40" s="177">
        <f t="shared" si="8"/>
        <v>100981038.92332584</v>
      </c>
      <c r="O40" s="215">
        <f t="shared" si="9"/>
        <v>0.017305885225540045</v>
      </c>
      <c r="P40" s="177">
        <f t="shared" si="10"/>
        <v>0.008578711514344887</v>
      </c>
    </row>
    <row r="41" spans="1:16" ht="16.5" thickBot="1">
      <c r="A41" s="158" t="s">
        <v>39</v>
      </c>
      <c r="B41" s="52">
        <f t="shared" si="14"/>
        <v>40</v>
      </c>
      <c r="C41" s="53">
        <v>567335.8</v>
      </c>
      <c r="D41" s="49">
        <f t="shared" si="12"/>
        <v>1600</v>
      </c>
      <c r="E41" s="49">
        <f t="shared" si="2"/>
        <v>64000</v>
      </c>
      <c r="F41" s="49">
        <f t="shared" si="3"/>
        <v>2560000</v>
      </c>
      <c r="G41" s="49">
        <f t="shared" si="4"/>
        <v>22693432</v>
      </c>
      <c r="H41" s="49">
        <f t="shared" si="5"/>
        <v>907737280.0000001</v>
      </c>
      <c r="I41" s="1"/>
      <c r="J41" s="133">
        <v>567335.8</v>
      </c>
      <c r="K41" s="129">
        <f t="shared" si="6"/>
        <v>593774.3413524256</v>
      </c>
      <c r="L41" s="171">
        <f t="shared" si="7"/>
        <v>-26438.541352425586</v>
      </c>
      <c r="M41" s="183">
        <f t="shared" si="13"/>
        <v>26438.541352425586</v>
      </c>
      <c r="N41" s="182">
        <f t="shared" si="8"/>
        <v>698996468.8439177</v>
      </c>
      <c r="O41" s="216">
        <f t="shared" si="9"/>
        <v>0.046601221626461055</v>
      </c>
      <c r="P41" s="182">
        <f t="shared" si="10"/>
        <v>0.02277005463205306</v>
      </c>
    </row>
    <row r="42" spans="1:16" ht="15.75">
      <c r="A42" s="156" t="s">
        <v>40</v>
      </c>
      <c r="B42" s="45">
        <f t="shared" si="14"/>
        <v>41</v>
      </c>
      <c r="C42" s="50">
        <v>560701.5</v>
      </c>
      <c r="D42" s="42">
        <f t="shared" si="12"/>
        <v>1681</v>
      </c>
      <c r="E42" s="42">
        <f>B42*D42</f>
        <v>68921</v>
      </c>
      <c r="F42" s="42">
        <f>D42^2</f>
        <v>2825761</v>
      </c>
      <c r="G42" s="42">
        <f>B42*C42</f>
        <v>22988761.5</v>
      </c>
      <c r="H42" s="42">
        <f>D42*C42</f>
        <v>942539221.5</v>
      </c>
      <c r="I42" s="1"/>
      <c r="J42" s="131">
        <v>560701.5</v>
      </c>
      <c r="K42" s="128">
        <f>C$79+C$80*B42+C$81*D42</f>
        <v>596376.4935097303</v>
      </c>
      <c r="L42" s="170">
        <f>J42-K42</f>
        <v>-35674.993509730324</v>
      </c>
      <c r="M42" s="181">
        <f t="shared" si="13"/>
        <v>35674.993509730324</v>
      </c>
      <c r="N42" s="184">
        <f>L42*L42</f>
        <v>1272705161.9193008</v>
      </c>
      <c r="O42" s="214">
        <f>M42/J42</f>
        <v>0.06362564307341843</v>
      </c>
      <c r="P42" s="181">
        <f>M42/ABS(J42+K42)</f>
        <v>0.03083196959050135</v>
      </c>
    </row>
    <row r="43" spans="1:16" ht="15.75">
      <c r="A43" s="157" t="s">
        <v>41</v>
      </c>
      <c r="B43" s="45">
        <f t="shared" si="14"/>
        <v>42</v>
      </c>
      <c r="C43" s="51">
        <v>553728.3</v>
      </c>
      <c r="D43" s="47">
        <f t="shared" si="12"/>
        <v>1764</v>
      </c>
      <c r="E43" s="47">
        <f t="shared" si="2"/>
        <v>74088</v>
      </c>
      <c r="F43" s="47">
        <f t="shared" si="3"/>
        <v>3111696</v>
      </c>
      <c r="G43" s="47">
        <f t="shared" si="4"/>
        <v>23256588.6</v>
      </c>
      <c r="H43" s="47">
        <f t="shared" si="5"/>
        <v>976776721.2</v>
      </c>
      <c r="I43" s="1"/>
      <c r="J43" s="132">
        <v>553728.3</v>
      </c>
      <c r="K43" s="127">
        <f t="shared" si="6"/>
        <v>598520.9886999335</v>
      </c>
      <c r="L43" s="169">
        <f t="shared" si="7"/>
        <v>-44792.68869993347</v>
      </c>
      <c r="M43" s="177">
        <f t="shared" si="13"/>
        <v>44792.68869993347</v>
      </c>
      <c r="N43" s="184">
        <f t="shared" si="8"/>
        <v>2006384960.9691474</v>
      </c>
      <c r="O43" s="215">
        <f t="shared" si="9"/>
        <v>0.08089290126571726</v>
      </c>
      <c r="P43" s="177">
        <f t="shared" si="10"/>
        <v>0.03887413005086115</v>
      </c>
    </row>
    <row r="44" spans="1:16" ht="15.75">
      <c r="A44" s="157" t="s">
        <v>42</v>
      </c>
      <c r="B44" s="45">
        <f t="shared" si="14"/>
        <v>43</v>
      </c>
      <c r="C44" s="51">
        <v>548450.7</v>
      </c>
      <c r="D44" s="47">
        <f t="shared" si="12"/>
        <v>1849</v>
      </c>
      <c r="E44" s="47">
        <f t="shared" si="2"/>
        <v>79507</v>
      </c>
      <c r="F44" s="47">
        <f t="shared" si="3"/>
        <v>3418801</v>
      </c>
      <c r="G44" s="47">
        <f t="shared" si="4"/>
        <v>23583380.099999998</v>
      </c>
      <c r="H44" s="47">
        <f t="shared" si="5"/>
        <v>1014085344.3</v>
      </c>
      <c r="I44" s="1"/>
      <c r="J44" s="132">
        <v>548450.7</v>
      </c>
      <c r="K44" s="127">
        <f t="shared" si="6"/>
        <v>600207.826923035</v>
      </c>
      <c r="L44" s="169">
        <f t="shared" si="7"/>
        <v>-51757.126923035015</v>
      </c>
      <c r="M44" s="177">
        <f t="shared" si="13"/>
        <v>51757.126923035015</v>
      </c>
      <c r="N44" s="184">
        <f t="shared" si="8"/>
        <v>2678800187.327156</v>
      </c>
      <c r="O44" s="215">
        <f t="shared" si="9"/>
        <v>0.09436969799297369</v>
      </c>
      <c r="P44" s="177">
        <f t="shared" si="10"/>
        <v>0.04505875829057679</v>
      </c>
    </row>
    <row r="45" spans="1:16" ht="16.5" thickBot="1">
      <c r="A45" s="158" t="s">
        <v>43</v>
      </c>
      <c r="B45" s="45">
        <f t="shared" si="14"/>
        <v>44</v>
      </c>
      <c r="C45" s="51">
        <v>558026.2</v>
      </c>
      <c r="D45" s="49">
        <f t="shared" si="12"/>
        <v>1936</v>
      </c>
      <c r="E45" s="49">
        <f t="shared" si="2"/>
        <v>85184</v>
      </c>
      <c r="F45" s="49">
        <f t="shared" si="3"/>
        <v>3748096</v>
      </c>
      <c r="G45" s="49">
        <f t="shared" si="4"/>
        <v>24553152.799999997</v>
      </c>
      <c r="H45" s="49">
        <f t="shared" si="5"/>
        <v>1080338723.1999998</v>
      </c>
      <c r="I45" s="1"/>
      <c r="J45" s="132">
        <v>558026.2</v>
      </c>
      <c r="K45" s="129">
        <f t="shared" si="6"/>
        <v>601437.0081790348</v>
      </c>
      <c r="L45" s="171">
        <f t="shared" si="7"/>
        <v>-43410.80817903485</v>
      </c>
      <c r="M45" s="182">
        <f t="shared" si="13"/>
        <v>43410.80817903485</v>
      </c>
      <c r="N45" s="184">
        <f t="shared" si="8"/>
        <v>1884498266.7569592</v>
      </c>
      <c r="O45" s="216">
        <f t="shared" si="9"/>
        <v>0.07779349460479608</v>
      </c>
      <c r="P45" s="177">
        <f t="shared" si="10"/>
        <v>0.0374404361197563</v>
      </c>
    </row>
    <row r="46" spans="1:16" ht="15.75">
      <c r="A46" s="156" t="s">
        <v>44</v>
      </c>
      <c r="B46" s="43">
        <f t="shared" si="14"/>
        <v>45</v>
      </c>
      <c r="C46" s="50">
        <v>557442.5</v>
      </c>
      <c r="D46" s="42">
        <f t="shared" si="12"/>
        <v>2025</v>
      </c>
      <c r="E46" s="42">
        <f>B46*D46</f>
        <v>91125</v>
      </c>
      <c r="F46" s="42">
        <f>D46^2</f>
        <v>4100625</v>
      </c>
      <c r="G46" s="42">
        <f>B46*C46</f>
        <v>25084912.5</v>
      </c>
      <c r="H46" s="42">
        <f>D46*C46</f>
        <v>1128821062.5</v>
      </c>
      <c r="I46" s="1"/>
      <c r="J46" s="131">
        <v>557442.5</v>
      </c>
      <c r="K46" s="128">
        <f>C$79+C$80*B46+C$81*D46</f>
        <v>602208.5324679331</v>
      </c>
      <c r="L46" s="170">
        <f>J46-K46</f>
        <v>-44766.03246793314</v>
      </c>
      <c r="M46" s="183">
        <f t="shared" si="13"/>
        <v>44766.03246793314</v>
      </c>
      <c r="N46" s="181">
        <f>L46*L46</f>
        <v>2003997662.920044</v>
      </c>
      <c r="O46" s="214">
        <f>M46/J46</f>
        <v>0.08030609877778092</v>
      </c>
      <c r="P46" s="181">
        <f>M46/ABS(J46+K46)</f>
        <v>0.03860302040404644</v>
      </c>
    </row>
    <row r="47" spans="1:16" ht="15.75">
      <c r="A47" s="157" t="s">
        <v>45</v>
      </c>
      <c r="B47" s="45">
        <f t="shared" si="14"/>
        <v>46</v>
      </c>
      <c r="C47" s="51">
        <v>563668.2</v>
      </c>
      <c r="D47" s="47">
        <f t="shared" si="12"/>
        <v>2116</v>
      </c>
      <c r="E47" s="47">
        <f t="shared" si="2"/>
        <v>97336</v>
      </c>
      <c r="F47" s="47">
        <f t="shared" si="3"/>
        <v>4477456</v>
      </c>
      <c r="G47" s="47">
        <f t="shared" si="4"/>
        <v>25928737.2</v>
      </c>
      <c r="H47" s="47">
        <f t="shared" si="5"/>
        <v>1192721911.1999998</v>
      </c>
      <c r="I47" s="1"/>
      <c r="J47" s="132">
        <v>563668.2</v>
      </c>
      <c r="K47" s="127">
        <f t="shared" si="6"/>
        <v>602522.3997897297</v>
      </c>
      <c r="L47" s="169">
        <f t="shared" si="7"/>
        <v>-38854.199789729784</v>
      </c>
      <c r="M47" s="183">
        <f t="shared" si="13"/>
        <v>38854.199789729784</v>
      </c>
      <c r="N47" s="177">
        <f t="shared" si="8"/>
        <v>1509648841.300238</v>
      </c>
      <c r="O47" s="215">
        <f t="shared" si="9"/>
        <v>0.06893097710626533</v>
      </c>
      <c r="P47" s="177">
        <f t="shared" si="10"/>
        <v>0.033317195145232174</v>
      </c>
    </row>
    <row r="48" spans="1:16" ht="15.75">
      <c r="A48" s="157" t="s">
        <v>46</v>
      </c>
      <c r="B48" s="45">
        <f t="shared" si="14"/>
        <v>47</v>
      </c>
      <c r="C48" s="51">
        <v>569176.8</v>
      </c>
      <c r="D48" s="47">
        <f t="shared" si="12"/>
        <v>2209</v>
      </c>
      <c r="E48" s="47">
        <f t="shared" si="2"/>
        <v>103823</v>
      </c>
      <c r="F48" s="47">
        <f t="shared" si="3"/>
        <v>4879681</v>
      </c>
      <c r="G48" s="47">
        <f t="shared" si="4"/>
        <v>26751309.6</v>
      </c>
      <c r="H48" s="47">
        <f t="shared" si="5"/>
        <v>1257311551.2</v>
      </c>
      <c r="I48" s="1"/>
      <c r="J48" s="132">
        <v>569176.8</v>
      </c>
      <c r="K48" s="127">
        <f t="shared" si="6"/>
        <v>602378.6101444247</v>
      </c>
      <c r="L48" s="169">
        <f t="shared" si="7"/>
        <v>-33201.81014442467</v>
      </c>
      <c r="M48" s="183">
        <f t="shared" si="13"/>
        <v>33201.81014442467</v>
      </c>
      <c r="N48" s="177">
        <f t="shared" si="8"/>
        <v>1102360196.866421</v>
      </c>
      <c r="O48" s="215">
        <f t="shared" si="9"/>
        <v>0.05833303491010995</v>
      </c>
      <c r="P48" s="177">
        <f t="shared" si="10"/>
        <v>0.02833994009752529</v>
      </c>
    </row>
    <row r="49" spans="1:16" ht="16.5" thickBot="1">
      <c r="A49" s="158" t="s">
        <v>47</v>
      </c>
      <c r="B49" s="52">
        <f t="shared" si="14"/>
        <v>48</v>
      </c>
      <c r="C49" s="51">
        <v>587564.8</v>
      </c>
      <c r="D49" s="49">
        <f t="shared" si="12"/>
        <v>2304</v>
      </c>
      <c r="E49" s="49">
        <f t="shared" si="2"/>
        <v>110592</v>
      </c>
      <c r="F49" s="49">
        <f t="shared" si="3"/>
        <v>5308416</v>
      </c>
      <c r="G49" s="49">
        <f t="shared" si="4"/>
        <v>28203110.400000002</v>
      </c>
      <c r="H49" s="49">
        <f t="shared" si="5"/>
        <v>1353749299.2</v>
      </c>
      <c r="I49" s="1"/>
      <c r="J49" s="132">
        <v>587564.8</v>
      </c>
      <c r="K49" s="129">
        <f t="shared" si="6"/>
        <v>601777.1635320182</v>
      </c>
      <c r="L49" s="171">
        <f t="shared" si="7"/>
        <v>-14212.36353201815</v>
      </c>
      <c r="M49" s="183">
        <f t="shared" si="13"/>
        <v>14212.36353201815</v>
      </c>
      <c r="N49" s="182">
        <f t="shared" si="8"/>
        <v>201991277.1662394</v>
      </c>
      <c r="O49" s="216">
        <f t="shared" si="9"/>
        <v>0.024188589125860072</v>
      </c>
      <c r="P49" s="182">
        <f t="shared" si="10"/>
        <v>0.011949770518322033</v>
      </c>
    </row>
    <row r="50" spans="1:16" ht="15.75">
      <c r="A50" s="156" t="s">
        <v>48</v>
      </c>
      <c r="B50" s="23">
        <f t="shared" si="14"/>
        <v>49</v>
      </c>
      <c r="C50" s="24">
        <v>584631.3</v>
      </c>
      <c r="D50" s="42">
        <f t="shared" si="12"/>
        <v>2401</v>
      </c>
      <c r="E50" s="42">
        <f>B50*D50</f>
        <v>117649</v>
      </c>
      <c r="F50" s="42">
        <f>D50^2</f>
        <v>5764801</v>
      </c>
      <c r="G50" s="42">
        <f>B50*C50</f>
        <v>28646933.700000003</v>
      </c>
      <c r="H50" s="42">
        <f>D50*C50</f>
        <v>1403699751.3000002</v>
      </c>
      <c r="I50" s="1"/>
      <c r="J50" s="131">
        <v>584631.3</v>
      </c>
      <c r="K50" s="128">
        <f>C$79+C$80*B50+C$81*D50</f>
        <v>600718.05995251</v>
      </c>
      <c r="L50" s="170">
        <f>J50-K50</f>
        <v>-16086.759952510009</v>
      </c>
      <c r="M50" s="181">
        <f t="shared" si="13"/>
        <v>16086.759952510009</v>
      </c>
      <c r="N50" s="184">
        <f>L50*L50</f>
        <v>258783845.7696798</v>
      </c>
      <c r="O50" s="214">
        <f>M50/J50</f>
        <v>0.027516077145561667</v>
      </c>
      <c r="P50" s="181">
        <f>M50/ABS(J50+K50)</f>
        <v>0.013571323776776249</v>
      </c>
    </row>
    <row r="51" spans="1:16" ht="15.75">
      <c r="A51" s="157" t="s">
        <v>49</v>
      </c>
      <c r="B51" s="27">
        <f t="shared" si="14"/>
        <v>50</v>
      </c>
      <c r="C51" s="28">
        <v>589489.7</v>
      </c>
      <c r="D51" s="47">
        <f t="shared" si="12"/>
        <v>2500</v>
      </c>
      <c r="E51" s="47">
        <f t="shared" si="2"/>
        <v>125000</v>
      </c>
      <c r="F51" s="47">
        <f t="shared" si="3"/>
        <v>6250000</v>
      </c>
      <c r="G51" s="47">
        <f t="shared" si="4"/>
        <v>29474484.999999996</v>
      </c>
      <c r="H51" s="47">
        <f t="shared" si="5"/>
        <v>1473724250</v>
      </c>
      <c r="I51" s="1"/>
      <c r="J51" s="132">
        <v>589489.7</v>
      </c>
      <c r="K51" s="127">
        <f t="shared" si="6"/>
        <v>599201.2994059002</v>
      </c>
      <c r="L51" s="169">
        <f t="shared" si="7"/>
        <v>-9711.599405900226</v>
      </c>
      <c r="M51" s="177">
        <f t="shared" si="13"/>
        <v>9711.599405900226</v>
      </c>
      <c r="N51" s="184">
        <f t="shared" si="8"/>
        <v>94315163.02068162</v>
      </c>
      <c r="O51" s="215">
        <f t="shared" si="9"/>
        <v>0.01647458709779022</v>
      </c>
      <c r="P51" s="177">
        <f t="shared" si="10"/>
        <v>0.008169994902589503</v>
      </c>
    </row>
    <row r="52" spans="1:16" ht="15.75">
      <c r="A52" s="157" t="s">
        <v>50</v>
      </c>
      <c r="B52" s="27">
        <f t="shared" si="14"/>
        <v>51</v>
      </c>
      <c r="C52" s="28">
        <v>582149.8</v>
      </c>
      <c r="D52" s="47">
        <f t="shared" si="12"/>
        <v>2601</v>
      </c>
      <c r="E52" s="47">
        <f t="shared" si="2"/>
        <v>132651</v>
      </c>
      <c r="F52" s="47">
        <f t="shared" si="3"/>
        <v>6765201</v>
      </c>
      <c r="G52" s="47">
        <f t="shared" si="4"/>
        <v>29689639.8</v>
      </c>
      <c r="H52" s="47">
        <f t="shared" si="5"/>
        <v>1514171629.8000002</v>
      </c>
      <c r="I52" s="1"/>
      <c r="J52" s="132">
        <v>582149.8</v>
      </c>
      <c r="K52" s="127">
        <f t="shared" si="6"/>
        <v>597226.8818921888</v>
      </c>
      <c r="L52" s="169">
        <f t="shared" si="7"/>
        <v>-15077.081892188755</v>
      </c>
      <c r="M52" s="177">
        <f t="shared" si="13"/>
        <v>15077.081892188755</v>
      </c>
      <c r="N52" s="184">
        <f t="shared" si="8"/>
        <v>227318398.38376606</v>
      </c>
      <c r="O52" s="215">
        <f t="shared" si="9"/>
        <v>0.02589897289699104</v>
      </c>
      <c r="P52" s="177">
        <f t="shared" si="10"/>
        <v>0.012783940978041999</v>
      </c>
    </row>
    <row r="53" spans="1:16" ht="16.5" thickBot="1">
      <c r="A53" s="158" t="s">
        <v>51</v>
      </c>
      <c r="B53" s="31">
        <f t="shared" si="14"/>
        <v>52</v>
      </c>
      <c r="C53" s="28">
        <v>599177.5</v>
      </c>
      <c r="D53" s="49">
        <f t="shared" si="12"/>
        <v>2704</v>
      </c>
      <c r="E53" s="49">
        <f t="shared" si="2"/>
        <v>140608</v>
      </c>
      <c r="F53" s="49">
        <f t="shared" si="3"/>
        <v>7311616</v>
      </c>
      <c r="G53" s="49">
        <f t="shared" si="4"/>
        <v>31157230</v>
      </c>
      <c r="H53" s="49">
        <f t="shared" si="5"/>
        <v>1620175960</v>
      </c>
      <c r="I53" s="1"/>
      <c r="J53" s="132">
        <v>599177.5</v>
      </c>
      <c r="K53" s="129">
        <f t="shared" si="6"/>
        <v>594794.8074113757</v>
      </c>
      <c r="L53" s="171">
        <f t="shared" si="7"/>
        <v>4382.692588624312</v>
      </c>
      <c r="M53" s="182">
        <f t="shared" si="13"/>
        <v>4382.692588624312</v>
      </c>
      <c r="N53" s="184">
        <f t="shared" si="8"/>
        <v>19207994.32638247</v>
      </c>
      <c r="O53" s="216">
        <f t="shared" si="9"/>
        <v>0.007314514628176645</v>
      </c>
      <c r="P53" s="177">
        <f t="shared" si="10"/>
        <v>0.003670681942470113</v>
      </c>
    </row>
    <row r="54" spans="1:16" ht="15.75">
      <c r="A54" s="156" t="s">
        <v>52</v>
      </c>
      <c r="B54" s="23">
        <f t="shared" si="14"/>
        <v>53</v>
      </c>
      <c r="C54" s="24">
        <v>597108</v>
      </c>
      <c r="D54" s="42">
        <f t="shared" si="12"/>
        <v>2809</v>
      </c>
      <c r="E54" s="42">
        <f>B54*D54</f>
        <v>148877</v>
      </c>
      <c r="F54" s="42">
        <f>D54^2</f>
        <v>7890481</v>
      </c>
      <c r="G54" s="42">
        <f>B54*C54</f>
        <v>31646724</v>
      </c>
      <c r="H54" s="42">
        <f>D54*C54</f>
        <v>1677276372</v>
      </c>
      <c r="I54" s="1"/>
      <c r="J54" s="131">
        <v>597108</v>
      </c>
      <c r="K54" s="128">
        <f>C$79+C$80*B54+C$81*D54</f>
        <v>591905.0759634611</v>
      </c>
      <c r="L54" s="170">
        <f>J54-K54</f>
        <v>5202.924036538927</v>
      </c>
      <c r="M54" s="183">
        <f t="shared" si="13"/>
        <v>5202.924036538927</v>
      </c>
      <c r="N54" s="181">
        <f>L54*L54</f>
        <v>27070418.52999452</v>
      </c>
      <c r="O54" s="214">
        <f>M54/J54</f>
        <v>0.008713539320422648</v>
      </c>
      <c r="P54" s="181">
        <f>M54/ABS(J54+K54)</f>
        <v>0.0043758341617252455</v>
      </c>
    </row>
    <row r="55" spans="1:16" ht="15.75">
      <c r="A55" s="157" t="s">
        <v>53</v>
      </c>
      <c r="B55" s="27">
        <f t="shared" si="14"/>
        <v>54</v>
      </c>
      <c r="C55" s="28">
        <v>604796.4</v>
      </c>
      <c r="D55" s="47">
        <f t="shared" si="12"/>
        <v>2916</v>
      </c>
      <c r="E55" s="47">
        <f t="shared" si="2"/>
        <v>157464</v>
      </c>
      <c r="F55" s="47">
        <f t="shared" si="3"/>
        <v>8503056</v>
      </c>
      <c r="G55" s="47">
        <f t="shared" si="4"/>
        <v>32659005.6</v>
      </c>
      <c r="H55" s="47">
        <f t="shared" si="5"/>
        <v>1763586302.4</v>
      </c>
      <c r="I55" s="1"/>
      <c r="J55" s="132">
        <v>604796.4</v>
      </c>
      <c r="K55" s="127">
        <f t="shared" si="6"/>
        <v>588557.6875484448</v>
      </c>
      <c r="L55" s="169">
        <f t="shared" si="7"/>
        <v>16238.712451555184</v>
      </c>
      <c r="M55" s="183">
        <f t="shared" si="13"/>
        <v>16238.712451555184</v>
      </c>
      <c r="N55" s="177">
        <f t="shared" si="8"/>
        <v>263695782.08429337</v>
      </c>
      <c r="O55" s="215">
        <f t="shared" si="9"/>
        <v>0.026849882789572132</v>
      </c>
      <c r="P55" s="177">
        <f t="shared" si="10"/>
        <v>0.013607622935213655</v>
      </c>
    </row>
    <row r="56" spans="1:16" ht="15.75">
      <c r="A56" s="157" t="s">
        <v>54</v>
      </c>
      <c r="B56" s="27">
        <f t="shared" si="14"/>
        <v>55</v>
      </c>
      <c r="C56" s="28">
        <v>606284.6</v>
      </c>
      <c r="D56" s="47">
        <f t="shared" si="12"/>
        <v>3025</v>
      </c>
      <c r="E56" s="47">
        <f t="shared" si="2"/>
        <v>166375</v>
      </c>
      <c r="F56" s="47">
        <f t="shared" si="3"/>
        <v>9150625</v>
      </c>
      <c r="G56" s="47">
        <f t="shared" si="4"/>
        <v>33345653</v>
      </c>
      <c r="H56" s="47">
        <f t="shared" si="5"/>
        <v>1834010915</v>
      </c>
      <c r="I56" s="1"/>
      <c r="J56" s="132">
        <v>606284.6</v>
      </c>
      <c r="K56" s="127">
        <f t="shared" si="6"/>
        <v>584752.6421663269</v>
      </c>
      <c r="L56" s="169">
        <f t="shared" si="7"/>
        <v>21531.957833673107</v>
      </c>
      <c r="M56" s="183">
        <f t="shared" si="13"/>
        <v>21531.957833673107</v>
      </c>
      <c r="N56" s="177">
        <f t="shared" si="8"/>
        <v>463625208.1510767</v>
      </c>
      <c r="O56" s="215">
        <f t="shared" si="9"/>
        <v>0.03551460458285285</v>
      </c>
      <c r="P56" s="177">
        <f t="shared" si="10"/>
        <v>0.018078324565661396</v>
      </c>
    </row>
    <row r="57" spans="1:16" ht="16.5" thickBot="1">
      <c r="A57" s="158" t="s">
        <v>55</v>
      </c>
      <c r="B57" s="31">
        <f t="shared" si="14"/>
        <v>56</v>
      </c>
      <c r="C57" s="28">
        <v>630641.9</v>
      </c>
      <c r="D57" s="49">
        <f t="shared" si="12"/>
        <v>3136</v>
      </c>
      <c r="E57" s="49">
        <f t="shared" si="2"/>
        <v>175616</v>
      </c>
      <c r="F57" s="47">
        <f t="shared" si="3"/>
        <v>9834496</v>
      </c>
      <c r="G57" s="47">
        <f t="shared" si="4"/>
        <v>35315946.4</v>
      </c>
      <c r="H57" s="49">
        <f t="shared" si="5"/>
        <v>1977692998.4</v>
      </c>
      <c r="I57" s="1"/>
      <c r="J57" s="132">
        <v>630641.9</v>
      </c>
      <c r="K57" s="129">
        <f t="shared" si="6"/>
        <v>580489.9398171074</v>
      </c>
      <c r="L57" s="171">
        <f t="shared" si="7"/>
        <v>50151.960182892624</v>
      </c>
      <c r="M57" s="183">
        <f t="shared" si="13"/>
        <v>50151.960182892624</v>
      </c>
      <c r="N57" s="182">
        <f t="shared" si="8"/>
        <v>2515219110.186447</v>
      </c>
      <c r="O57" s="216">
        <f t="shared" si="9"/>
        <v>0.07952525860221565</v>
      </c>
      <c r="P57" s="182">
        <f t="shared" si="10"/>
        <v>0.04140916664404269</v>
      </c>
    </row>
    <row r="58" spans="1:16" ht="16.5" thickBot="1">
      <c r="A58" s="156" t="s">
        <v>56</v>
      </c>
      <c r="B58" s="27">
        <f t="shared" si="14"/>
        <v>57</v>
      </c>
      <c r="C58" s="24">
        <v>636801.4</v>
      </c>
      <c r="D58" s="42">
        <f t="shared" si="12"/>
        <v>3249</v>
      </c>
      <c r="E58" s="88">
        <f>B58*D58</f>
        <v>185193</v>
      </c>
      <c r="F58" s="88">
        <f t="shared" si="3"/>
        <v>10556001</v>
      </c>
      <c r="G58" s="42">
        <f t="shared" si="4"/>
        <v>36297679.800000004</v>
      </c>
      <c r="H58" s="42">
        <f>D58*C58</f>
        <v>2068967748.6000001</v>
      </c>
      <c r="I58" s="1"/>
      <c r="J58" s="41">
        <v>636801.4</v>
      </c>
      <c r="K58" s="162">
        <f>C$79+C$80*B58+C$81*D58</f>
        <v>575769.5805007863</v>
      </c>
      <c r="L58" s="172">
        <f>J58-K58</f>
        <v>61031.819499213714</v>
      </c>
      <c r="M58" s="181">
        <f t="shared" si="13"/>
        <v>61031.819499213714</v>
      </c>
      <c r="N58" s="184">
        <f>L58*L58</f>
        <v>3724882991.3846035</v>
      </c>
      <c r="O58" s="214">
        <f>M58/J58</f>
        <v>0.09584121438679895</v>
      </c>
      <c r="P58" s="181">
        <f>M58/ABS(J58+K58)</f>
        <v>0.05033257473637366</v>
      </c>
    </row>
    <row r="59" spans="1:16" ht="15.75">
      <c r="A59" s="157" t="s">
        <v>57</v>
      </c>
      <c r="B59" s="27"/>
      <c r="C59" s="28"/>
      <c r="D59" s="47">
        <f t="shared" si="12"/>
        <v>0</v>
      </c>
      <c r="E59" s="89"/>
      <c r="F59" s="89"/>
      <c r="G59" s="47"/>
      <c r="H59" s="77">
        <f>B59*C59</f>
        <v>0</v>
      </c>
      <c r="I59" s="1"/>
      <c r="J59" s="159"/>
      <c r="K59" s="159"/>
      <c r="L59" s="168"/>
      <c r="M59" s="177">
        <f t="shared" si="13"/>
        <v>0</v>
      </c>
      <c r="N59" s="184">
        <f t="shared" si="8"/>
        <v>0</v>
      </c>
      <c r="O59" s="215"/>
      <c r="P59" s="177"/>
    </row>
    <row r="60" spans="1:16" ht="15.75">
      <c r="A60" s="157" t="s">
        <v>58</v>
      </c>
      <c r="B60" s="27"/>
      <c r="C60" s="28"/>
      <c r="D60" s="47">
        <f t="shared" si="12"/>
        <v>0</v>
      </c>
      <c r="E60" s="89"/>
      <c r="F60" s="89"/>
      <c r="G60" s="47"/>
      <c r="H60" s="77">
        <f>B60*C60</f>
        <v>0</v>
      </c>
      <c r="I60" s="1"/>
      <c r="J60" s="159"/>
      <c r="K60" s="159"/>
      <c r="L60" s="168"/>
      <c r="M60" s="177">
        <f t="shared" si="13"/>
        <v>0</v>
      </c>
      <c r="N60" s="184">
        <f t="shared" si="8"/>
        <v>0</v>
      </c>
      <c r="O60" s="215"/>
      <c r="P60" s="177"/>
    </row>
    <row r="61" spans="1:16" ht="16.5" thickBot="1">
      <c r="A61" s="158" t="s">
        <v>59</v>
      </c>
      <c r="B61" s="31"/>
      <c r="C61" s="32"/>
      <c r="D61" s="49">
        <f t="shared" si="12"/>
        <v>0</v>
      </c>
      <c r="E61" s="90"/>
      <c r="F61" s="90"/>
      <c r="G61" s="49"/>
      <c r="H61" s="78">
        <f>B61*C61</f>
        <v>0</v>
      </c>
      <c r="I61" s="1"/>
      <c r="J61" s="159"/>
      <c r="K61" s="159"/>
      <c r="L61" s="168"/>
      <c r="M61" s="182">
        <f t="shared" si="13"/>
        <v>0</v>
      </c>
      <c r="N61" s="185">
        <f t="shared" si="8"/>
        <v>0</v>
      </c>
      <c r="O61" s="216"/>
      <c r="P61" s="182"/>
    </row>
    <row r="62" spans="1:16" ht="16.5" thickBot="1">
      <c r="A62" s="41" t="s">
        <v>68</v>
      </c>
      <c r="B62" s="40">
        <f aca="true" t="shared" si="15" ref="B62:H62">SUM(B2:B58)</f>
        <v>1653</v>
      </c>
      <c r="C62" s="39">
        <f t="shared" si="15"/>
        <v>26961516.7</v>
      </c>
      <c r="D62" s="39">
        <f t="shared" si="15"/>
        <v>63365</v>
      </c>
      <c r="E62" s="39">
        <f t="shared" si="15"/>
        <v>2732409</v>
      </c>
      <c r="F62" s="39">
        <f t="shared" si="15"/>
        <v>125678141</v>
      </c>
      <c r="G62" s="61">
        <f t="shared" si="15"/>
        <v>903228402.1999999</v>
      </c>
      <c r="H62" s="39">
        <f t="shared" si="15"/>
        <v>36246459825.4</v>
      </c>
      <c r="I62" s="1"/>
      <c r="J62" s="39">
        <f>SUM(J2:J58)</f>
        <v>26961516.7</v>
      </c>
      <c r="K62" s="39">
        <f>SUM(K2:K58)</f>
        <v>26961516.70000006</v>
      </c>
      <c r="L62" s="39">
        <f>SUM(L2:L58)</f>
        <v>-6.55418261885643E-08</v>
      </c>
      <c r="M62" s="179">
        <f>SUM(M2:M58)</f>
        <v>1451893.6313938985</v>
      </c>
      <c r="N62" s="190">
        <f>SUM(N2:N58)</f>
        <v>52450801979.66282</v>
      </c>
      <c r="O62" s="213">
        <f>SUM(O2:O58)/57</f>
        <v>0.06128781499472344</v>
      </c>
      <c r="P62" s="213">
        <f>SUM(P2:P58)/57</f>
        <v>0.030697418954871495</v>
      </c>
    </row>
    <row r="63" spans="1:10" ht="15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6.5" thickBot="1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3" ht="17.25" thickBot="1">
      <c r="A65" s="1"/>
      <c r="B65" s="92" t="s">
        <v>69</v>
      </c>
      <c r="C65" s="54">
        <v>57</v>
      </c>
      <c r="D65" s="93">
        <f>B62</f>
        <v>1653</v>
      </c>
      <c r="E65" s="55">
        <f>D62</f>
        <v>63365</v>
      </c>
      <c r="F65" s="1"/>
      <c r="G65" s="92" t="s">
        <v>81</v>
      </c>
      <c r="H65" s="54">
        <f>D66*E67-E66*D67</f>
        <v>497536461184</v>
      </c>
      <c r="I65" s="93">
        <f>C66*E67-E66*C67</f>
        <v>34606870788</v>
      </c>
      <c r="J65" s="55">
        <f>C66*D67-D66*C67</f>
        <v>501548852</v>
      </c>
      <c r="L65" s="220" t="s">
        <v>122</v>
      </c>
      <c r="M65" s="221">
        <f>SQRT(M62)/(SQRT(J62)+SQRT(K62))</f>
        <v>0.11602865146939685</v>
      </c>
    </row>
    <row r="66" spans="1:10" ht="15.75">
      <c r="A66" s="1"/>
      <c r="B66" s="63"/>
      <c r="C66" s="94">
        <f>B62</f>
        <v>1653</v>
      </c>
      <c r="D66" s="87">
        <f>D62</f>
        <v>63365</v>
      </c>
      <c r="E66" s="96">
        <f>E62</f>
        <v>2732409</v>
      </c>
      <c r="F66" s="1"/>
      <c r="G66" s="1"/>
      <c r="H66" s="94">
        <f>D65*E67-E65*D67</f>
        <v>34606870788</v>
      </c>
      <c r="I66" s="87">
        <f>C65*E67-E65*C67</f>
        <v>3148530812</v>
      </c>
      <c r="J66" s="96">
        <f>C65*D67-D65*C67</f>
        <v>51004968</v>
      </c>
    </row>
    <row r="67" spans="1:10" ht="16.5" thickBot="1">
      <c r="A67" s="1"/>
      <c r="B67" s="63"/>
      <c r="C67" s="56">
        <f>D62</f>
        <v>63365</v>
      </c>
      <c r="D67" s="95">
        <f>E62</f>
        <v>2732409</v>
      </c>
      <c r="E67" s="57">
        <f>F62</f>
        <v>125678141</v>
      </c>
      <c r="F67" s="1"/>
      <c r="G67" s="1"/>
      <c r="H67" s="56">
        <f>D65*E66-E65*D66</f>
        <v>501548852</v>
      </c>
      <c r="I67" s="95">
        <f>C65*E66-E65*C66</f>
        <v>51004968</v>
      </c>
      <c r="J67" s="57">
        <f>C65*D66-D65*C66</f>
        <v>879396</v>
      </c>
    </row>
    <row r="68" spans="1:10" ht="16.5" thickBot="1">
      <c r="A68" s="1"/>
      <c r="B68" s="63"/>
      <c r="C68" s="1"/>
      <c r="D68" s="1"/>
      <c r="E68" s="1"/>
      <c r="F68" s="1"/>
      <c r="G68" s="1"/>
      <c r="H68" s="1"/>
      <c r="I68" s="1"/>
      <c r="J68" s="1"/>
    </row>
    <row r="69" spans="1:10" ht="16.5" thickBot="1">
      <c r="A69" s="1"/>
      <c r="B69" s="62" t="s">
        <v>71</v>
      </c>
      <c r="C69" s="35">
        <f>C65*D66*E67+D65*E66*C67+E65*C66*D67-E65*D66*C67-D65*C66*E67-C65*E66*D67</f>
        <v>2935063881904</v>
      </c>
      <c r="D69" s="1"/>
      <c r="E69" s="1"/>
      <c r="F69" s="1"/>
      <c r="G69" s="1"/>
      <c r="H69" s="1"/>
      <c r="I69" s="1"/>
      <c r="J69" s="1"/>
    </row>
    <row r="70" spans="1:10" ht="16.5" thickBot="1">
      <c r="A70" s="1"/>
      <c r="B70" s="63"/>
      <c r="C70" s="1"/>
      <c r="D70" s="1"/>
      <c r="E70" s="1"/>
      <c r="F70" s="1"/>
      <c r="G70" s="1"/>
      <c r="H70" s="1"/>
      <c r="I70" s="1"/>
      <c r="J70" s="1"/>
    </row>
    <row r="71" spans="1:10" ht="16.5" thickBot="1">
      <c r="A71" s="1"/>
      <c r="B71" s="92" t="s">
        <v>70</v>
      </c>
      <c r="C71" s="54">
        <f>H65/C69</f>
        <v>0.1695146958304853</v>
      </c>
      <c r="D71" s="93">
        <f>-I65/C69</f>
        <v>-0.011790840738209159</v>
      </c>
      <c r="E71" s="55">
        <f>J65/C69</f>
        <v>0.00017088174982911826</v>
      </c>
      <c r="F71" s="1"/>
      <c r="G71" s="1"/>
      <c r="H71" s="1"/>
      <c r="I71" s="1"/>
      <c r="J71" s="1"/>
    </row>
    <row r="72" spans="1:10" ht="15.75">
      <c r="A72" s="1"/>
      <c r="B72" s="63"/>
      <c r="C72" s="94">
        <f>-H66/C69</f>
        <v>-0.011790840738209159</v>
      </c>
      <c r="D72" s="87">
        <f>I66/C69</f>
        <v>0.0010727299093597658</v>
      </c>
      <c r="E72" s="96">
        <f>-J66/C69</f>
        <v>-1.7377805067367958E-05</v>
      </c>
      <c r="F72" s="1"/>
      <c r="G72" s="1"/>
      <c r="H72" s="1"/>
      <c r="I72" s="1"/>
      <c r="J72" s="1"/>
    </row>
    <row r="73" spans="1:10" ht="16.5" thickBot="1">
      <c r="A73" s="1"/>
      <c r="B73" s="63"/>
      <c r="C73" s="56">
        <f>H67/C69</f>
        <v>0.00017088174982911826</v>
      </c>
      <c r="D73" s="95">
        <f>-I67/C69</f>
        <v>-1.7377805067367958E-05</v>
      </c>
      <c r="E73" s="57">
        <f>J67/C69</f>
        <v>2.996173287477234E-07</v>
      </c>
      <c r="F73" s="1"/>
      <c r="G73" s="1"/>
      <c r="H73" s="1"/>
      <c r="I73" s="1"/>
      <c r="J73" s="1"/>
    </row>
    <row r="74" spans="1:10" ht="16.5" thickBot="1">
      <c r="A74" s="1"/>
      <c r="B74" s="63"/>
      <c r="C74" s="1"/>
      <c r="D74" s="1"/>
      <c r="E74" s="1"/>
      <c r="F74" s="1"/>
      <c r="G74" s="1"/>
      <c r="H74" s="1"/>
      <c r="I74" s="1"/>
      <c r="J74" s="1"/>
    </row>
    <row r="75" spans="1:10" ht="16.5" thickBot="1">
      <c r="A75" s="1"/>
      <c r="B75" s="92" t="s">
        <v>75</v>
      </c>
      <c r="C75" s="58">
        <f>C62</f>
        <v>26961516.7</v>
      </c>
      <c r="D75" s="1"/>
      <c r="E75" s="1"/>
      <c r="F75" s="1"/>
      <c r="G75" s="1"/>
      <c r="H75" s="1"/>
      <c r="I75" s="1"/>
      <c r="J75" s="1"/>
    </row>
    <row r="76" spans="1:10" ht="15.75">
      <c r="A76" s="1"/>
      <c r="B76" s="63"/>
      <c r="C76" s="101">
        <f>G62</f>
        <v>903228402.1999999</v>
      </c>
      <c r="D76" s="1"/>
      <c r="E76" s="1"/>
      <c r="F76" s="1"/>
      <c r="G76" s="1"/>
      <c r="H76" s="1"/>
      <c r="I76" s="1"/>
      <c r="J76" s="1"/>
    </row>
    <row r="77" spans="1:10" ht="16.5" thickBot="1">
      <c r="A77" s="1"/>
      <c r="B77" s="63"/>
      <c r="C77" s="59">
        <f>H62</f>
        <v>36246459825.4</v>
      </c>
      <c r="D77" s="1"/>
      <c r="E77" s="1"/>
      <c r="F77" s="1"/>
      <c r="G77" s="1"/>
      <c r="H77" s="1"/>
      <c r="I77" s="1"/>
      <c r="J77" s="1"/>
    </row>
    <row r="78" spans="1:10" ht="16.5" thickBot="1">
      <c r="A78" s="1"/>
      <c r="B78" s="63"/>
      <c r="C78" s="1"/>
      <c r="D78" s="1"/>
      <c r="E78" s="1"/>
      <c r="F78" s="1"/>
      <c r="G78" s="1"/>
      <c r="H78" s="1"/>
      <c r="I78" s="1"/>
      <c r="J78" s="1"/>
    </row>
    <row r="79" spans="1:10" ht="15.75">
      <c r="A79" s="1"/>
      <c r="B79" s="97" t="s">
        <v>73</v>
      </c>
      <c r="C79" s="60">
        <f>C71*C75+D71*C76+E71*C77</f>
        <v>114409.5420369124</v>
      </c>
      <c r="D79" s="1"/>
      <c r="E79" s="1"/>
      <c r="F79" s="1"/>
      <c r="G79" s="1"/>
      <c r="H79" s="1"/>
      <c r="I79" s="1"/>
      <c r="J79" s="1"/>
    </row>
    <row r="80" spans="1:10" ht="15.75">
      <c r="A80" s="1"/>
      <c r="B80" s="98" t="s">
        <v>74</v>
      </c>
      <c r="C80" s="100">
        <f>C72*C75+D72*C76+E72*C77</f>
        <v>21137.25932492013</v>
      </c>
      <c r="D80" s="1"/>
      <c r="E80" s="1"/>
      <c r="F80" s="1"/>
      <c r="G80" s="1"/>
      <c r="H80" s="1"/>
      <c r="I80" s="1"/>
      <c r="J80" s="1"/>
    </row>
    <row r="81" spans="2:3" ht="16.5" thickBot="1">
      <c r="B81" s="99" t="s">
        <v>80</v>
      </c>
      <c r="C81" s="61">
        <f>C73*C75+D73*C76+E73*C77</f>
        <v>-228.8284835508075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7"/>
  <sheetViews>
    <sheetView zoomScalePageLayoutView="0" workbookViewId="0" topLeftCell="F1">
      <selection activeCell="M2" sqref="M2"/>
    </sheetView>
  </sheetViews>
  <sheetFormatPr defaultColWidth="9.140625" defaultRowHeight="12.75"/>
  <cols>
    <col min="5" max="5" width="10.8515625" style="0" customWidth="1"/>
    <col min="7" max="7" width="10.421875" style="0" customWidth="1"/>
    <col min="8" max="8" width="11.421875" style="0" customWidth="1"/>
    <col min="10" max="10" width="10.57421875" style="0" customWidth="1"/>
    <col min="11" max="11" width="11.57421875" style="0" customWidth="1"/>
  </cols>
  <sheetData>
    <row r="1" spans="1:13" ht="16.5" thickBot="1">
      <c r="A1" s="66" t="s">
        <v>67</v>
      </c>
      <c r="B1" s="67" t="s">
        <v>60</v>
      </c>
      <c r="C1" s="68" t="s">
        <v>61</v>
      </c>
      <c r="D1" s="69" t="s">
        <v>86</v>
      </c>
      <c r="E1" s="69" t="s">
        <v>85</v>
      </c>
      <c r="F1" s="70"/>
      <c r="G1" s="160" t="s">
        <v>83</v>
      </c>
      <c r="H1" s="121" t="s">
        <v>82</v>
      </c>
      <c r="I1" s="167" t="s">
        <v>111</v>
      </c>
      <c r="J1" s="167" t="s">
        <v>112</v>
      </c>
      <c r="K1" s="180" t="s">
        <v>113</v>
      </c>
      <c r="L1" s="167" t="s">
        <v>119</v>
      </c>
      <c r="M1" s="210" t="s">
        <v>120</v>
      </c>
    </row>
    <row r="2" spans="1:13" ht="15.75">
      <c r="A2" s="136" t="s">
        <v>0</v>
      </c>
      <c r="B2" s="43">
        <v>1</v>
      </c>
      <c r="C2" s="44">
        <v>179342.9</v>
      </c>
      <c r="D2" s="42">
        <f>B2^2</f>
        <v>1</v>
      </c>
      <c r="E2" s="42">
        <f>B2*C2</f>
        <v>179342.9</v>
      </c>
      <c r="F2" s="1"/>
      <c r="G2" s="131">
        <v>179342.9</v>
      </c>
      <c r="H2" s="127">
        <f aca="true" t="shared" si="0" ref="H2:H33">C$76+C$77*B2</f>
        <v>252783.26110102827</v>
      </c>
      <c r="I2" s="170">
        <f>G2-H2</f>
        <v>-73440.36110102828</v>
      </c>
      <c r="J2" s="188">
        <f aca="true" t="shared" si="1" ref="J2:J33">ABS(I2)</f>
        <v>73440.36110102828</v>
      </c>
      <c r="K2" s="181">
        <f>I2*I2</f>
        <v>5393486638.649427</v>
      </c>
      <c r="L2" s="215">
        <f aca="true" t="shared" si="2" ref="L2:L57">J2/G2</f>
        <v>0.4094968972902093</v>
      </c>
      <c r="M2" s="181">
        <f>J2/ABS(G2+H2)</f>
        <v>0.16995120340297656</v>
      </c>
    </row>
    <row r="3" spans="1:13" ht="15.75">
      <c r="A3" s="137" t="s">
        <v>1</v>
      </c>
      <c r="B3" s="45">
        <v>2</v>
      </c>
      <c r="C3" s="46">
        <v>179879.6</v>
      </c>
      <c r="D3" s="47">
        <f aca="true" t="shared" si="3" ref="D3:D61">B3^2</f>
        <v>4</v>
      </c>
      <c r="E3" s="47">
        <f aca="true" t="shared" si="4" ref="E3:E61">B3*C3</f>
        <v>359759.2</v>
      </c>
      <c r="F3" s="1"/>
      <c r="G3" s="132">
        <v>179879.6</v>
      </c>
      <c r="H3" s="127">
        <f t="shared" si="0"/>
        <v>260648.46838000155</v>
      </c>
      <c r="I3" s="169">
        <f aca="true" t="shared" si="5" ref="I3:I57">G3-H3</f>
        <v>-80768.86838000154</v>
      </c>
      <c r="J3" s="184">
        <f t="shared" si="1"/>
        <v>80768.86838000154</v>
      </c>
      <c r="K3" s="177">
        <f aca="true" t="shared" si="6" ref="K3:K61">I3*I3</f>
        <v>6523610099.386013</v>
      </c>
      <c r="L3" s="215">
        <f t="shared" si="2"/>
        <v>0.44901627744336514</v>
      </c>
      <c r="M3" s="177">
        <f aca="true" t="shared" si="7" ref="M3:M57">J3/ABS(G3+H3)</f>
        <v>0.18334556678084343</v>
      </c>
    </row>
    <row r="4" spans="1:13" ht="15.75">
      <c r="A4" s="137" t="s">
        <v>2</v>
      </c>
      <c r="B4" s="45">
        <f>B3+1</f>
        <v>3</v>
      </c>
      <c r="C4" s="46">
        <v>184157.9</v>
      </c>
      <c r="D4" s="47">
        <f t="shared" si="3"/>
        <v>9</v>
      </c>
      <c r="E4" s="47">
        <f t="shared" si="4"/>
        <v>552473.7</v>
      </c>
      <c r="F4" s="1"/>
      <c r="G4" s="132">
        <v>184157.9</v>
      </c>
      <c r="H4" s="127">
        <f t="shared" si="0"/>
        <v>268513.67565897485</v>
      </c>
      <c r="I4" s="169">
        <f t="shared" si="5"/>
        <v>-84355.77565897486</v>
      </c>
      <c r="J4" s="184">
        <f t="shared" si="1"/>
        <v>84355.77565897486</v>
      </c>
      <c r="K4" s="177">
        <f t="shared" si="6"/>
        <v>7115896887.027295</v>
      </c>
      <c r="L4" s="215">
        <f t="shared" si="2"/>
        <v>0.4580622154084884</v>
      </c>
      <c r="M4" s="177">
        <f t="shared" si="7"/>
        <v>0.1863509444704459</v>
      </c>
    </row>
    <row r="5" spans="1:13" ht="16.5" thickBot="1">
      <c r="A5" s="138" t="s">
        <v>3</v>
      </c>
      <c r="B5" s="45">
        <f>B4+1</f>
        <v>4</v>
      </c>
      <c r="C5" s="48">
        <v>204782.7</v>
      </c>
      <c r="D5" s="49">
        <f t="shared" si="3"/>
        <v>16</v>
      </c>
      <c r="E5" s="49">
        <f t="shared" si="4"/>
        <v>819130.8</v>
      </c>
      <c r="F5" s="1"/>
      <c r="G5" s="133">
        <v>204782.7</v>
      </c>
      <c r="H5" s="127">
        <f t="shared" si="0"/>
        <v>276378.8829379481</v>
      </c>
      <c r="I5" s="171">
        <f t="shared" si="5"/>
        <v>-71596.18293794809</v>
      </c>
      <c r="J5" s="185">
        <f t="shared" si="1"/>
        <v>71596.18293794809</v>
      </c>
      <c r="K5" s="182">
        <f t="shared" si="6"/>
        <v>5126013411.284129</v>
      </c>
      <c r="L5" s="216">
        <f t="shared" si="2"/>
        <v>0.34962027035461535</v>
      </c>
      <c r="M5" s="177">
        <f t="shared" si="7"/>
        <v>0.1487986270657467</v>
      </c>
    </row>
    <row r="6" spans="1:13" ht="15.75">
      <c r="A6" s="136" t="s">
        <v>4</v>
      </c>
      <c r="B6" s="43">
        <f aca="true" t="shared" si="8" ref="B6:B58">B5+1</f>
        <v>5</v>
      </c>
      <c r="C6" s="50">
        <v>215145.3</v>
      </c>
      <c r="D6" s="42">
        <f>B6^2</f>
        <v>25</v>
      </c>
      <c r="E6" s="42">
        <f>B6*C6</f>
        <v>1075726.5</v>
      </c>
      <c r="F6" s="1"/>
      <c r="G6" s="131">
        <v>215145.3</v>
      </c>
      <c r="H6" s="128">
        <f t="shared" si="0"/>
        <v>284244.0902169214</v>
      </c>
      <c r="I6" s="170">
        <f>G6-H6</f>
        <v>-69098.79021692142</v>
      </c>
      <c r="J6" s="183">
        <f t="shared" si="1"/>
        <v>69098.79021692142</v>
      </c>
      <c r="K6" s="181">
        <f>I6*I6</f>
        <v>4774642809.442116</v>
      </c>
      <c r="L6" s="214">
        <f>J6/G6</f>
        <v>0.32117266896800173</v>
      </c>
      <c r="M6" s="181">
        <f>J6/ABS(G6+H6)</f>
        <v>0.13836655637979564</v>
      </c>
    </row>
    <row r="7" spans="1:13" ht="15.75">
      <c r="A7" s="137" t="s">
        <v>5</v>
      </c>
      <c r="B7" s="45">
        <f t="shared" si="8"/>
        <v>6</v>
      </c>
      <c r="C7" s="51">
        <v>220120.4</v>
      </c>
      <c r="D7" s="47">
        <f t="shared" si="3"/>
        <v>36</v>
      </c>
      <c r="E7" s="47">
        <f t="shared" si="4"/>
        <v>1320722.4</v>
      </c>
      <c r="F7" s="1"/>
      <c r="G7" s="132">
        <v>220120.4</v>
      </c>
      <c r="H7" s="127">
        <f t="shared" si="0"/>
        <v>292109.2974958947</v>
      </c>
      <c r="I7" s="169">
        <f t="shared" si="5"/>
        <v>-71988.89749589472</v>
      </c>
      <c r="J7" s="183">
        <f t="shared" si="1"/>
        <v>71988.89749589472</v>
      </c>
      <c r="K7" s="177">
        <f t="shared" si="6"/>
        <v>5182401362.6744375</v>
      </c>
      <c r="L7" s="215">
        <f t="shared" si="2"/>
        <v>0.3270432794774802</v>
      </c>
      <c r="M7" s="177">
        <f t="shared" si="7"/>
        <v>0.14054026513461118</v>
      </c>
    </row>
    <row r="8" spans="1:13" ht="15.75">
      <c r="A8" s="137" t="s">
        <v>6</v>
      </c>
      <c r="B8" s="45">
        <f t="shared" si="8"/>
        <v>7</v>
      </c>
      <c r="C8" s="51">
        <v>224857.6</v>
      </c>
      <c r="D8" s="47">
        <f t="shared" si="3"/>
        <v>49</v>
      </c>
      <c r="E8" s="47">
        <f t="shared" si="4"/>
        <v>1574003.2</v>
      </c>
      <c r="F8" s="1"/>
      <c r="G8" s="132">
        <v>224857.6</v>
      </c>
      <c r="H8" s="127">
        <f t="shared" si="0"/>
        <v>299974.50477486796</v>
      </c>
      <c r="I8" s="169">
        <f t="shared" si="5"/>
        <v>-75116.90477486796</v>
      </c>
      <c r="J8" s="183">
        <f t="shared" si="1"/>
        <v>75116.90477486796</v>
      </c>
      <c r="K8" s="177">
        <f t="shared" si="6"/>
        <v>5642549382.956581</v>
      </c>
      <c r="L8" s="215">
        <f t="shared" si="2"/>
        <v>0.33406433571677346</v>
      </c>
      <c r="M8" s="177">
        <f t="shared" si="7"/>
        <v>0.14312559024393165</v>
      </c>
    </row>
    <row r="9" spans="1:13" ht="16.5" thickBot="1">
      <c r="A9" s="138" t="s">
        <v>7</v>
      </c>
      <c r="B9" s="52">
        <f t="shared" si="8"/>
        <v>8</v>
      </c>
      <c r="C9" s="53">
        <v>244498.9</v>
      </c>
      <c r="D9" s="49">
        <f t="shared" si="3"/>
        <v>64</v>
      </c>
      <c r="E9" s="49">
        <f t="shared" si="4"/>
        <v>1955991.2</v>
      </c>
      <c r="F9" s="1"/>
      <c r="G9" s="133">
        <v>244498.9</v>
      </c>
      <c r="H9" s="129">
        <f t="shared" si="0"/>
        <v>307839.7120538413</v>
      </c>
      <c r="I9" s="171">
        <f t="shared" si="5"/>
        <v>-63340.81205384128</v>
      </c>
      <c r="J9" s="183">
        <f t="shared" si="1"/>
        <v>63340.81205384128</v>
      </c>
      <c r="K9" s="182">
        <f t="shared" si="6"/>
        <v>4012058471.640044</v>
      </c>
      <c r="L9" s="216">
        <f t="shared" si="2"/>
        <v>0.2590637915092513</v>
      </c>
      <c r="M9" s="182">
        <f t="shared" si="7"/>
        <v>0.11467750157518754</v>
      </c>
    </row>
    <row r="10" spans="1:13" ht="15.75">
      <c r="A10" s="136" t="s">
        <v>8</v>
      </c>
      <c r="B10" s="45">
        <f t="shared" si="8"/>
        <v>9</v>
      </c>
      <c r="C10" s="50">
        <v>257013.4</v>
      </c>
      <c r="D10" s="42">
        <f>B10^2</f>
        <v>81</v>
      </c>
      <c r="E10" s="42">
        <f>B10*C10</f>
        <v>2313120.6</v>
      </c>
      <c r="F10" s="1"/>
      <c r="G10" s="131">
        <v>257013.4</v>
      </c>
      <c r="H10" s="127">
        <f t="shared" si="0"/>
        <v>315704.9193328145</v>
      </c>
      <c r="I10" s="170">
        <f>G10-H10</f>
        <v>-58691.519332814525</v>
      </c>
      <c r="J10" s="181">
        <f t="shared" si="1"/>
        <v>58691.519332814525</v>
      </c>
      <c r="K10" s="184">
        <f>I10*I10</f>
        <v>3444694441.594141</v>
      </c>
      <c r="L10" s="214">
        <f>J10/G10</f>
        <v>0.2283597638598397</v>
      </c>
      <c r="M10" s="181">
        <f>J10/ABS(G10+H10)</f>
        <v>0.10247885802079272</v>
      </c>
    </row>
    <row r="11" spans="1:13" ht="15.75">
      <c r="A11" s="137" t="s">
        <v>9</v>
      </c>
      <c r="B11" s="45">
        <f t="shared" si="8"/>
        <v>10</v>
      </c>
      <c r="C11" s="51">
        <v>268251.6</v>
      </c>
      <c r="D11" s="47">
        <f t="shared" si="3"/>
        <v>100</v>
      </c>
      <c r="E11" s="47">
        <f t="shared" si="4"/>
        <v>2682516</v>
      </c>
      <c r="F11" s="1"/>
      <c r="G11" s="132">
        <v>268251.6</v>
      </c>
      <c r="H11" s="127">
        <f t="shared" si="0"/>
        <v>323570.1266117878</v>
      </c>
      <c r="I11" s="169">
        <f t="shared" si="5"/>
        <v>-55318.52661178785</v>
      </c>
      <c r="J11" s="177">
        <f t="shared" si="1"/>
        <v>55318.52661178785</v>
      </c>
      <c r="K11" s="184">
        <f t="shared" si="6"/>
        <v>3060139386.4990807</v>
      </c>
      <c r="L11" s="215">
        <f t="shared" si="2"/>
        <v>0.2062188132774897</v>
      </c>
      <c r="M11" s="177">
        <f t="shared" si="7"/>
        <v>0.09347160491807133</v>
      </c>
    </row>
    <row r="12" spans="1:13" ht="15.75">
      <c r="A12" s="137" t="s">
        <v>10</v>
      </c>
      <c r="B12" s="45">
        <f t="shared" si="8"/>
        <v>11</v>
      </c>
      <c r="C12" s="51">
        <v>280707.7</v>
      </c>
      <c r="D12" s="47">
        <f t="shared" si="3"/>
        <v>121</v>
      </c>
      <c r="E12" s="47">
        <f t="shared" si="4"/>
        <v>3087784.7</v>
      </c>
      <c r="F12" s="1"/>
      <c r="G12" s="132">
        <v>280707.7</v>
      </c>
      <c r="H12" s="127">
        <f t="shared" si="0"/>
        <v>331435.33389076113</v>
      </c>
      <c r="I12" s="169">
        <f t="shared" si="5"/>
        <v>-50727.63389076112</v>
      </c>
      <c r="J12" s="177">
        <f t="shared" si="1"/>
        <v>50727.63389076112</v>
      </c>
      <c r="K12" s="184">
        <f t="shared" si="6"/>
        <v>2573292840.155096</v>
      </c>
      <c r="L12" s="215">
        <f t="shared" si="2"/>
        <v>0.18071336800081053</v>
      </c>
      <c r="M12" s="177">
        <f t="shared" si="7"/>
        <v>0.08286892291877918</v>
      </c>
    </row>
    <row r="13" spans="1:13" ht="16.5" thickBot="1">
      <c r="A13" s="138" t="s">
        <v>11</v>
      </c>
      <c r="B13" s="45">
        <f t="shared" si="8"/>
        <v>12</v>
      </c>
      <c r="C13" s="53">
        <v>306236.9</v>
      </c>
      <c r="D13" s="49">
        <f t="shared" si="3"/>
        <v>144</v>
      </c>
      <c r="E13" s="49">
        <f t="shared" si="4"/>
        <v>3674842.8000000003</v>
      </c>
      <c r="F13" s="1"/>
      <c r="G13" s="133">
        <v>306236.9</v>
      </c>
      <c r="H13" s="127">
        <f t="shared" si="0"/>
        <v>339300.54116973444</v>
      </c>
      <c r="I13" s="171">
        <f t="shared" si="5"/>
        <v>-33063.641169734416</v>
      </c>
      <c r="J13" s="182">
        <f t="shared" si="1"/>
        <v>33063.641169734416</v>
      </c>
      <c r="K13" s="184">
        <f t="shared" si="6"/>
        <v>1093204367.4009566</v>
      </c>
      <c r="L13" s="216">
        <f t="shared" si="2"/>
        <v>0.10796752830809878</v>
      </c>
      <c r="M13" s="177">
        <f t="shared" si="7"/>
        <v>0.05121878153159024</v>
      </c>
    </row>
    <row r="14" spans="1:13" ht="15.75">
      <c r="A14" s="136" t="s">
        <v>12</v>
      </c>
      <c r="B14" s="43">
        <f t="shared" si="8"/>
        <v>13</v>
      </c>
      <c r="C14" s="50">
        <v>320848.6</v>
      </c>
      <c r="D14" s="42">
        <f>B14^2</f>
        <v>169</v>
      </c>
      <c r="E14" s="42">
        <f>B14*C14</f>
        <v>4171031.8</v>
      </c>
      <c r="F14" s="1"/>
      <c r="G14" s="131">
        <v>320848.6</v>
      </c>
      <c r="H14" s="128">
        <f t="shared" si="0"/>
        <v>347165.7484487077</v>
      </c>
      <c r="I14" s="170">
        <f>G14-H14</f>
        <v>-26317.14844870771</v>
      </c>
      <c r="J14" s="183">
        <f t="shared" si="1"/>
        <v>26317.14844870771</v>
      </c>
      <c r="K14" s="181">
        <f>I14*I14</f>
        <v>692592302.4713186</v>
      </c>
      <c r="L14" s="214">
        <f>J14/G14</f>
        <v>0.08202357264051553</v>
      </c>
      <c r="M14" s="181">
        <f>J14/ABS(G14+H14)</f>
        <v>0.03939608259885817</v>
      </c>
    </row>
    <row r="15" spans="1:13" ht="15.75">
      <c r="A15" s="137" t="s">
        <v>13</v>
      </c>
      <c r="B15" s="45">
        <f t="shared" si="8"/>
        <v>14</v>
      </c>
      <c r="C15" s="51">
        <v>329595.1</v>
      </c>
      <c r="D15" s="47">
        <f t="shared" si="3"/>
        <v>196</v>
      </c>
      <c r="E15" s="47">
        <f t="shared" si="4"/>
        <v>4614331.399999999</v>
      </c>
      <c r="F15" s="1"/>
      <c r="G15" s="132">
        <v>329595.1</v>
      </c>
      <c r="H15" s="127">
        <f t="shared" si="0"/>
        <v>355030.955727681</v>
      </c>
      <c r="I15" s="169">
        <f t="shared" si="5"/>
        <v>-25435.855727681017</v>
      </c>
      <c r="J15" s="183">
        <f t="shared" si="1"/>
        <v>25435.855727681017</v>
      </c>
      <c r="K15" s="177">
        <f t="shared" si="6"/>
        <v>646982756.5994031</v>
      </c>
      <c r="L15" s="215">
        <f t="shared" si="2"/>
        <v>0.07717303967104189</v>
      </c>
      <c r="M15" s="177">
        <f t="shared" si="7"/>
        <v>0.03715291802712</v>
      </c>
    </row>
    <row r="16" spans="1:13" ht="15.75">
      <c r="A16" s="137" t="s">
        <v>14</v>
      </c>
      <c r="B16" s="45">
        <f t="shared" si="8"/>
        <v>15</v>
      </c>
      <c r="C16" s="51">
        <v>336112.3</v>
      </c>
      <c r="D16" s="47">
        <f t="shared" si="3"/>
        <v>225</v>
      </c>
      <c r="E16" s="47">
        <f t="shared" si="4"/>
        <v>5041684.5</v>
      </c>
      <c r="F16" s="1"/>
      <c r="G16" s="132">
        <v>336112.3</v>
      </c>
      <c r="H16" s="127">
        <f t="shared" si="0"/>
        <v>362896.16300665424</v>
      </c>
      <c r="I16" s="169">
        <f t="shared" si="5"/>
        <v>-26783.863006654254</v>
      </c>
      <c r="J16" s="183">
        <f t="shared" si="1"/>
        <v>26783.863006654254</v>
      </c>
      <c r="K16" s="177">
        <f t="shared" si="6"/>
        <v>717375317.5592222</v>
      </c>
      <c r="L16" s="215">
        <f t="shared" si="2"/>
        <v>0.0796872444318588</v>
      </c>
      <c r="M16" s="177">
        <f t="shared" si="7"/>
        <v>0.038316936666901676</v>
      </c>
    </row>
    <row r="17" spans="1:13" ht="16.5" thickBot="1">
      <c r="A17" s="138" t="s">
        <v>15</v>
      </c>
      <c r="B17" s="52">
        <f t="shared" si="8"/>
        <v>16</v>
      </c>
      <c r="C17" s="53">
        <v>365625.2</v>
      </c>
      <c r="D17" s="49">
        <f t="shared" si="3"/>
        <v>256</v>
      </c>
      <c r="E17" s="49">
        <f t="shared" si="4"/>
        <v>5850003.2</v>
      </c>
      <c r="F17" s="1"/>
      <c r="G17" s="133">
        <v>365625.2</v>
      </c>
      <c r="H17" s="129">
        <f t="shared" si="0"/>
        <v>370761.37028562755</v>
      </c>
      <c r="I17" s="171">
        <f t="shared" si="5"/>
        <v>-5136.170285627537</v>
      </c>
      <c r="J17" s="183">
        <f t="shared" si="1"/>
        <v>5136.170285627537</v>
      </c>
      <c r="K17" s="182">
        <f t="shared" si="6"/>
        <v>26380245.202963255</v>
      </c>
      <c r="L17" s="216">
        <f t="shared" si="2"/>
        <v>0.014047637541470164</v>
      </c>
      <c r="M17" s="182">
        <f t="shared" si="7"/>
        <v>0.006974828837026908</v>
      </c>
    </row>
    <row r="18" spans="1:13" ht="15.75">
      <c r="A18" s="136" t="s">
        <v>16</v>
      </c>
      <c r="B18" s="45">
        <f t="shared" si="8"/>
        <v>17</v>
      </c>
      <c r="C18" s="50">
        <v>414840.1</v>
      </c>
      <c r="D18" s="42">
        <f>B18^2</f>
        <v>289</v>
      </c>
      <c r="E18" s="42">
        <f>B18*C18</f>
        <v>7052281.699999999</v>
      </c>
      <c r="F18" s="1"/>
      <c r="G18" s="131">
        <v>414840.1</v>
      </c>
      <c r="H18" s="127">
        <f t="shared" si="0"/>
        <v>378626.57756460086</v>
      </c>
      <c r="I18" s="170">
        <f>G18-H18</f>
        <v>36213.52243539912</v>
      </c>
      <c r="J18" s="181">
        <f t="shared" si="1"/>
        <v>36213.52243539912</v>
      </c>
      <c r="K18" s="184">
        <f>I18*I18</f>
        <v>1311419207.1791556</v>
      </c>
      <c r="L18" s="214">
        <f>J18/G18</f>
        <v>0.08729513476493503</v>
      </c>
      <c r="M18" s="181">
        <f>J18/ABS(G18+H18)</f>
        <v>0.04563962603514722</v>
      </c>
    </row>
    <row r="19" spans="1:13" ht="15.75">
      <c r="A19" s="137" t="s">
        <v>17</v>
      </c>
      <c r="B19" s="45">
        <f t="shared" si="8"/>
        <v>18</v>
      </c>
      <c r="C19" s="51">
        <v>441183</v>
      </c>
      <c r="D19" s="47">
        <f t="shared" si="3"/>
        <v>324</v>
      </c>
      <c r="E19" s="47">
        <f t="shared" si="4"/>
        <v>7941294</v>
      </c>
      <c r="F19" s="1"/>
      <c r="G19" s="132">
        <v>441183</v>
      </c>
      <c r="H19" s="127">
        <f t="shared" si="0"/>
        <v>386491.7848435741</v>
      </c>
      <c r="I19" s="169">
        <f t="shared" si="5"/>
        <v>54691.2151564259</v>
      </c>
      <c r="J19" s="177">
        <f t="shared" si="1"/>
        <v>54691.2151564259</v>
      </c>
      <c r="K19" s="184">
        <f t="shared" si="6"/>
        <v>2991129015.28647</v>
      </c>
      <c r="L19" s="215">
        <f t="shared" si="2"/>
        <v>0.1239649196737542</v>
      </c>
      <c r="M19" s="177">
        <f t="shared" si="7"/>
        <v>0.0660781458586566</v>
      </c>
    </row>
    <row r="20" spans="1:13" ht="15.75">
      <c r="A20" s="137" t="s">
        <v>18</v>
      </c>
      <c r="B20" s="45">
        <f t="shared" si="8"/>
        <v>19</v>
      </c>
      <c r="C20" s="51">
        <v>443649.1</v>
      </c>
      <c r="D20" s="47">
        <f t="shared" si="3"/>
        <v>361</v>
      </c>
      <c r="E20" s="47">
        <f t="shared" si="4"/>
        <v>8429332.9</v>
      </c>
      <c r="F20" s="1"/>
      <c r="G20" s="132">
        <v>443649.1</v>
      </c>
      <c r="H20" s="127">
        <f t="shared" si="0"/>
        <v>394356.9921225474</v>
      </c>
      <c r="I20" s="169">
        <f t="shared" si="5"/>
        <v>49292.10787745257</v>
      </c>
      <c r="J20" s="177">
        <f t="shared" si="1"/>
        <v>49292.10787745257</v>
      </c>
      <c r="K20" s="184">
        <f t="shared" si="6"/>
        <v>2429711899.0024214</v>
      </c>
      <c r="L20" s="215">
        <f t="shared" si="2"/>
        <v>0.11110606981385192</v>
      </c>
      <c r="M20" s="177">
        <f t="shared" si="7"/>
        <v>0.058820703501812066</v>
      </c>
    </row>
    <row r="21" spans="1:13" ht="16.5" thickBot="1">
      <c r="A21" s="138" t="s">
        <v>19</v>
      </c>
      <c r="B21" s="45">
        <f t="shared" si="8"/>
        <v>20</v>
      </c>
      <c r="C21" s="53">
        <v>473921.5</v>
      </c>
      <c r="D21" s="49">
        <f t="shared" si="3"/>
        <v>400</v>
      </c>
      <c r="E21" s="49">
        <f t="shared" si="4"/>
        <v>9478430</v>
      </c>
      <c r="F21" s="1"/>
      <c r="G21" s="133">
        <v>473921.5</v>
      </c>
      <c r="H21" s="127">
        <f t="shared" si="0"/>
        <v>402222.19940152066</v>
      </c>
      <c r="I21" s="171">
        <f t="shared" si="5"/>
        <v>71699.30059847934</v>
      </c>
      <c r="J21" s="182">
        <f t="shared" si="1"/>
        <v>71699.30059847934</v>
      </c>
      <c r="K21" s="184">
        <f t="shared" si="6"/>
        <v>5140789706.3111</v>
      </c>
      <c r="L21" s="216">
        <f t="shared" si="2"/>
        <v>0.1512894025666262</v>
      </c>
      <c r="M21" s="177">
        <f t="shared" si="7"/>
        <v>0.08183509240260012</v>
      </c>
    </row>
    <row r="22" spans="1:13" ht="15.75">
      <c r="A22" s="136" t="s">
        <v>20</v>
      </c>
      <c r="B22" s="43">
        <f t="shared" si="8"/>
        <v>21</v>
      </c>
      <c r="C22" s="50">
        <v>493387.1</v>
      </c>
      <c r="D22" s="42">
        <f>B22^2</f>
        <v>441</v>
      </c>
      <c r="E22" s="42">
        <f>B22*C22</f>
        <v>10361129.1</v>
      </c>
      <c r="F22" s="1"/>
      <c r="G22" s="131">
        <v>493387.1</v>
      </c>
      <c r="H22" s="128">
        <f t="shared" si="0"/>
        <v>410087.40668049396</v>
      </c>
      <c r="I22" s="170">
        <f>G22-H22</f>
        <v>83299.69331950601</v>
      </c>
      <c r="J22" s="183">
        <f t="shared" si="1"/>
        <v>83299.69331950601</v>
      </c>
      <c r="K22" s="181">
        <f>I22*I22</f>
        <v>6938838907.1237545</v>
      </c>
      <c r="L22" s="214">
        <f>J22/G22</f>
        <v>0.1688323292593301</v>
      </c>
      <c r="M22" s="181">
        <f>J22/ABS(G22+H22)</f>
        <v>0.0921992736967887</v>
      </c>
    </row>
    <row r="23" spans="1:13" ht="15.75">
      <c r="A23" s="137" t="s">
        <v>21</v>
      </c>
      <c r="B23" s="45">
        <f t="shared" si="8"/>
        <v>22</v>
      </c>
      <c r="C23" s="51">
        <v>512073.8</v>
      </c>
      <c r="D23" s="47">
        <f t="shared" si="3"/>
        <v>484</v>
      </c>
      <c r="E23" s="47">
        <f t="shared" si="4"/>
        <v>11265623.6</v>
      </c>
      <c r="F23" s="1"/>
      <c r="G23" s="132">
        <v>512073.8</v>
      </c>
      <c r="H23" s="127">
        <f t="shared" si="0"/>
        <v>417952.6139594673</v>
      </c>
      <c r="I23" s="169">
        <f t="shared" si="5"/>
        <v>94121.18604053272</v>
      </c>
      <c r="J23" s="183">
        <f t="shared" si="1"/>
        <v>94121.18604053272</v>
      </c>
      <c r="K23" s="177">
        <f t="shared" si="6"/>
        <v>8858797661.67657</v>
      </c>
      <c r="L23" s="215">
        <f t="shared" si="2"/>
        <v>0.18380394786949208</v>
      </c>
      <c r="M23" s="177">
        <f t="shared" si="7"/>
        <v>0.10120270201770283</v>
      </c>
    </row>
    <row r="24" spans="1:13" ht="15.75">
      <c r="A24" s="137" t="s">
        <v>22</v>
      </c>
      <c r="B24" s="45">
        <f t="shared" si="8"/>
        <v>23</v>
      </c>
      <c r="C24" s="51">
        <v>527451.8</v>
      </c>
      <c r="D24" s="47">
        <f t="shared" si="3"/>
        <v>529</v>
      </c>
      <c r="E24" s="47">
        <f t="shared" si="4"/>
        <v>12131391.4</v>
      </c>
      <c r="F24" s="1"/>
      <c r="G24" s="132">
        <v>527451.8</v>
      </c>
      <c r="H24" s="127">
        <f t="shared" si="0"/>
        <v>425817.8212384406</v>
      </c>
      <c r="I24" s="169">
        <f t="shared" si="5"/>
        <v>101633.97876155947</v>
      </c>
      <c r="J24" s="183">
        <f t="shared" si="1"/>
        <v>101633.97876155947</v>
      </c>
      <c r="K24" s="177">
        <f t="shared" si="6"/>
        <v>10329465638.90512</v>
      </c>
      <c r="L24" s="215">
        <f t="shared" si="2"/>
        <v>0.19268865659679132</v>
      </c>
      <c r="M24" s="177">
        <f t="shared" si="7"/>
        <v>0.10661619388386849</v>
      </c>
    </row>
    <row r="25" spans="1:13" ht="16.5" thickBot="1">
      <c r="A25" s="138" t="s">
        <v>23</v>
      </c>
      <c r="B25" s="52">
        <f t="shared" si="8"/>
        <v>24</v>
      </c>
      <c r="C25" s="53">
        <v>549745.5</v>
      </c>
      <c r="D25" s="49">
        <f t="shared" si="3"/>
        <v>576</v>
      </c>
      <c r="E25" s="49">
        <f t="shared" si="4"/>
        <v>13193892</v>
      </c>
      <c r="F25" s="1"/>
      <c r="G25" s="133">
        <v>549745.5</v>
      </c>
      <c r="H25" s="129">
        <f t="shared" si="0"/>
        <v>433683.0285174138</v>
      </c>
      <c r="I25" s="171">
        <f t="shared" si="5"/>
        <v>116062.47148258617</v>
      </c>
      <c r="J25" s="183">
        <f t="shared" si="1"/>
        <v>116062.47148258617</v>
      </c>
      <c r="K25" s="182">
        <f t="shared" si="6"/>
        <v>13470497286.64613</v>
      </c>
      <c r="L25" s="216">
        <f t="shared" si="2"/>
        <v>0.21112036657432606</v>
      </c>
      <c r="M25" s="182">
        <f t="shared" si="7"/>
        <v>0.11801820683152067</v>
      </c>
    </row>
    <row r="26" spans="1:13" ht="15.75">
      <c r="A26" s="136" t="s">
        <v>24</v>
      </c>
      <c r="B26" s="43">
        <f t="shared" si="8"/>
        <v>25</v>
      </c>
      <c r="C26" s="50">
        <v>559644.4</v>
      </c>
      <c r="D26" s="42">
        <f>B26^2</f>
        <v>625</v>
      </c>
      <c r="E26" s="42">
        <f>B26*C26</f>
        <v>13991110</v>
      </c>
      <c r="F26" s="1"/>
      <c r="G26" s="131">
        <v>559644.4</v>
      </c>
      <c r="H26" s="127">
        <f t="shared" si="0"/>
        <v>441548.2357963871</v>
      </c>
      <c r="I26" s="170">
        <f>G26-H26</f>
        <v>118096.16420361295</v>
      </c>
      <c r="J26" s="181">
        <f t="shared" si="1"/>
        <v>118096.16420361295</v>
      </c>
      <c r="K26" s="184">
        <f>I26*I26</f>
        <v>13946703999.606712</v>
      </c>
      <c r="L26" s="214">
        <f>J26/G26</f>
        <v>0.2110200052097599</v>
      </c>
      <c r="M26" s="181">
        <f>J26/ABS(G26+H26)</f>
        <v>0.11795548626830912</v>
      </c>
    </row>
    <row r="27" spans="1:13" ht="15.75">
      <c r="A27" s="137" t="s">
        <v>25</v>
      </c>
      <c r="B27" s="45">
        <f t="shared" si="8"/>
        <v>26</v>
      </c>
      <c r="C27" s="51">
        <v>554565.3</v>
      </c>
      <c r="D27" s="47">
        <f t="shared" si="3"/>
        <v>676</v>
      </c>
      <c r="E27" s="47">
        <f t="shared" si="4"/>
        <v>14418697.8</v>
      </c>
      <c r="F27" s="1"/>
      <c r="G27" s="132">
        <v>554565.3</v>
      </c>
      <c r="H27" s="127">
        <f t="shared" si="0"/>
        <v>449413.4430753604</v>
      </c>
      <c r="I27" s="169">
        <f t="shared" si="5"/>
        <v>105151.85692463967</v>
      </c>
      <c r="J27" s="177">
        <f t="shared" si="1"/>
        <v>105151.85692463967</v>
      </c>
      <c r="K27" s="184">
        <f t="shared" si="6"/>
        <v>11056913014.69989</v>
      </c>
      <c r="L27" s="215">
        <f t="shared" si="2"/>
        <v>0.18961131705254486</v>
      </c>
      <c r="M27" s="177">
        <f t="shared" si="7"/>
        <v>0.10473514270087168</v>
      </c>
    </row>
    <row r="28" spans="1:13" ht="15.75">
      <c r="A28" s="137" t="s">
        <v>26</v>
      </c>
      <c r="B28" s="45">
        <f t="shared" si="8"/>
        <v>27</v>
      </c>
      <c r="C28" s="51">
        <v>542409.4</v>
      </c>
      <c r="D28" s="47">
        <f t="shared" si="3"/>
        <v>729</v>
      </c>
      <c r="E28" s="47">
        <f t="shared" si="4"/>
        <v>14645053.8</v>
      </c>
      <c r="F28" s="1"/>
      <c r="G28" s="132">
        <v>542409.4</v>
      </c>
      <c r="H28" s="127">
        <f t="shared" si="0"/>
        <v>457278.6503543337</v>
      </c>
      <c r="I28" s="169">
        <f t="shared" si="5"/>
        <v>85130.74964566634</v>
      </c>
      <c r="J28" s="177">
        <f t="shared" si="1"/>
        <v>85130.74964566634</v>
      </c>
      <c r="K28" s="184">
        <f t="shared" si="6"/>
        <v>7247244535.233119</v>
      </c>
      <c r="L28" s="215">
        <f t="shared" si="2"/>
        <v>0.15694925206986887</v>
      </c>
      <c r="M28" s="177">
        <f t="shared" si="7"/>
        <v>0.08515731443973171</v>
      </c>
    </row>
    <row r="29" spans="1:13" ht="16.5" thickBot="1">
      <c r="A29" s="138" t="s">
        <v>27</v>
      </c>
      <c r="B29" s="52">
        <f t="shared" si="8"/>
        <v>28</v>
      </c>
      <c r="C29" s="53">
        <v>536933.7</v>
      </c>
      <c r="D29" s="49">
        <f t="shared" si="3"/>
        <v>784</v>
      </c>
      <c r="E29" s="49">
        <f t="shared" si="4"/>
        <v>15034143.599999998</v>
      </c>
      <c r="F29" s="1"/>
      <c r="G29" s="133">
        <v>536933.7</v>
      </c>
      <c r="H29" s="127">
        <f t="shared" si="0"/>
        <v>465143.857633307</v>
      </c>
      <c r="I29" s="171">
        <f t="shared" si="5"/>
        <v>71789.84236669296</v>
      </c>
      <c r="J29" s="182">
        <f t="shared" si="1"/>
        <v>71789.84236669296</v>
      </c>
      <c r="K29" s="184">
        <f t="shared" si="6"/>
        <v>5153781467.034623</v>
      </c>
      <c r="L29" s="216">
        <f t="shared" si="2"/>
        <v>0.13370336480405862</v>
      </c>
      <c r="M29" s="177">
        <f t="shared" si="7"/>
        <v>0.07164100405186723</v>
      </c>
    </row>
    <row r="30" spans="1:13" ht="15.75">
      <c r="A30" s="136" t="s">
        <v>28</v>
      </c>
      <c r="B30" s="43">
        <f t="shared" si="8"/>
        <v>29</v>
      </c>
      <c r="C30" s="50">
        <v>548175</v>
      </c>
      <c r="D30" s="42">
        <f>B30^2</f>
        <v>841</v>
      </c>
      <c r="E30" s="42">
        <f>B30*C30</f>
        <v>15897075</v>
      </c>
      <c r="F30" s="1"/>
      <c r="G30" s="131">
        <v>548175</v>
      </c>
      <c r="H30" s="128">
        <f t="shared" si="0"/>
        <v>473009.06491228024</v>
      </c>
      <c r="I30" s="170">
        <f>G30-H30</f>
        <v>75165.93508771976</v>
      </c>
      <c r="J30" s="183">
        <f t="shared" si="1"/>
        <v>75165.93508771976</v>
      </c>
      <c r="K30" s="181">
        <f>I30*I30</f>
        <v>5649917797.6113</v>
      </c>
      <c r="L30" s="214">
        <f>J30/G30</f>
        <v>0.13712032669807955</v>
      </c>
      <c r="M30" s="181">
        <f>J30/ABS(G30+H30)</f>
        <v>0.07360664709762829</v>
      </c>
    </row>
    <row r="31" spans="1:13" ht="15.75">
      <c r="A31" s="137" t="s">
        <v>29</v>
      </c>
      <c r="B31" s="45">
        <f t="shared" si="8"/>
        <v>30</v>
      </c>
      <c r="C31" s="51">
        <v>543395.4</v>
      </c>
      <c r="D31" s="47">
        <f t="shared" si="3"/>
        <v>900</v>
      </c>
      <c r="E31" s="47">
        <f t="shared" si="4"/>
        <v>16301862</v>
      </c>
      <c r="F31" s="1"/>
      <c r="G31" s="132">
        <v>543395.4</v>
      </c>
      <c r="H31" s="127">
        <f t="shared" si="0"/>
        <v>480874.27219125355</v>
      </c>
      <c r="I31" s="169">
        <f t="shared" si="5"/>
        <v>62521.127808746474</v>
      </c>
      <c r="J31" s="183">
        <f t="shared" si="1"/>
        <v>62521.127808746474</v>
      </c>
      <c r="K31" s="177">
        <f t="shared" si="6"/>
        <v>3908891422.4776115</v>
      </c>
      <c r="L31" s="215">
        <f t="shared" si="2"/>
        <v>0.11505641712967477</v>
      </c>
      <c r="M31" s="177">
        <f t="shared" si="7"/>
        <v>0.06103971396028253</v>
      </c>
    </row>
    <row r="32" spans="1:13" ht="15.75">
      <c r="A32" s="137" t="s">
        <v>30</v>
      </c>
      <c r="B32" s="45">
        <f t="shared" si="8"/>
        <v>31</v>
      </c>
      <c r="C32" s="51">
        <v>547678.9</v>
      </c>
      <c r="D32" s="47">
        <f t="shared" si="3"/>
        <v>961</v>
      </c>
      <c r="E32" s="47">
        <f t="shared" si="4"/>
        <v>16978045.900000002</v>
      </c>
      <c r="F32" s="1"/>
      <c r="G32" s="132">
        <v>547678.9</v>
      </c>
      <c r="H32" s="127">
        <f t="shared" si="0"/>
        <v>488739.4794702268</v>
      </c>
      <c r="I32" s="169">
        <f t="shared" si="5"/>
        <v>58939.420529773226</v>
      </c>
      <c r="J32" s="183">
        <f t="shared" si="1"/>
        <v>58939.420529773226</v>
      </c>
      <c r="K32" s="177">
        <f t="shared" si="6"/>
        <v>3473855292.3854537</v>
      </c>
      <c r="L32" s="215">
        <f t="shared" si="2"/>
        <v>0.10761674501203757</v>
      </c>
      <c r="M32" s="177">
        <f t="shared" si="7"/>
        <v>0.056868366768930284</v>
      </c>
    </row>
    <row r="33" spans="1:13" ht="16.5" thickBot="1">
      <c r="A33" s="138" t="s">
        <v>31</v>
      </c>
      <c r="B33" s="52">
        <f t="shared" si="8"/>
        <v>32</v>
      </c>
      <c r="C33" s="53">
        <v>549152.9</v>
      </c>
      <c r="D33" s="49">
        <f t="shared" si="3"/>
        <v>1024</v>
      </c>
      <c r="E33" s="49">
        <f t="shared" si="4"/>
        <v>17572892.8</v>
      </c>
      <c r="F33" s="1"/>
      <c r="G33" s="133">
        <v>549152.9</v>
      </c>
      <c r="H33" s="129">
        <f t="shared" si="0"/>
        <v>496604.6867492001</v>
      </c>
      <c r="I33" s="171">
        <f t="shared" si="5"/>
        <v>52548.21325079992</v>
      </c>
      <c r="J33" s="183">
        <f t="shared" si="1"/>
        <v>52548.21325079992</v>
      </c>
      <c r="K33" s="182">
        <f t="shared" si="6"/>
        <v>2761314715.8515444</v>
      </c>
      <c r="L33" s="216">
        <f t="shared" si="2"/>
        <v>0.09568958526996747</v>
      </c>
      <c r="M33" s="182">
        <f t="shared" si="7"/>
        <v>0.05024894288756649</v>
      </c>
    </row>
    <row r="34" spans="1:13" ht="15.75">
      <c r="A34" s="136" t="s">
        <v>32</v>
      </c>
      <c r="B34" s="45">
        <f t="shared" si="8"/>
        <v>33</v>
      </c>
      <c r="C34" s="50">
        <v>568758.9</v>
      </c>
      <c r="D34" s="42">
        <f>B34^2</f>
        <v>1089</v>
      </c>
      <c r="E34" s="42">
        <f>B34*C34</f>
        <v>18769043.7</v>
      </c>
      <c r="F34" s="1"/>
      <c r="G34" s="131">
        <v>568758.9</v>
      </c>
      <c r="H34" s="127">
        <f aca="true" t="shared" si="9" ref="H34:H58">C$76+C$77*B34</f>
        <v>504469.8940281734</v>
      </c>
      <c r="I34" s="170">
        <f>G34-H34</f>
        <v>64289.00597182661</v>
      </c>
      <c r="J34" s="181">
        <f aca="true" t="shared" si="10" ref="J34:J61">ABS(I34)</f>
        <v>64289.00597182661</v>
      </c>
      <c r="K34" s="184">
        <f>I34*I34</f>
        <v>4133076288.8455577</v>
      </c>
      <c r="L34" s="214">
        <f>J34/G34</f>
        <v>0.11303384610214734</v>
      </c>
      <c r="M34" s="181">
        <f>J34/ABS(G34+H34)</f>
        <v>0.05990242372321121</v>
      </c>
    </row>
    <row r="35" spans="1:13" ht="15.75">
      <c r="A35" s="137" t="s">
        <v>33</v>
      </c>
      <c r="B35" s="45">
        <f t="shared" si="8"/>
        <v>34</v>
      </c>
      <c r="C35" s="51">
        <v>583195.2</v>
      </c>
      <c r="D35" s="47">
        <f t="shared" si="3"/>
        <v>1156</v>
      </c>
      <c r="E35" s="47">
        <f t="shared" si="4"/>
        <v>19828636.799999997</v>
      </c>
      <c r="F35" s="1"/>
      <c r="G35" s="132">
        <v>583195.2</v>
      </c>
      <c r="H35" s="127">
        <f t="shared" si="9"/>
        <v>512335.10130714666</v>
      </c>
      <c r="I35" s="169">
        <f t="shared" si="5"/>
        <v>70860.0986928533</v>
      </c>
      <c r="J35" s="177">
        <f t="shared" si="10"/>
        <v>70860.0986928533</v>
      </c>
      <c r="K35" s="184">
        <f t="shared" si="6"/>
        <v>5021153586.760909</v>
      </c>
      <c r="L35" s="215">
        <f t="shared" si="2"/>
        <v>0.12150322686615614</v>
      </c>
      <c r="M35" s="177">
        <f t="shared" si="7"/>
        <v>0.06468109426850688</v>
      </c>
    </row>
    <row r="36" spans="1:13" ht="15.75">
      <c r="A36" s="137" t="s">
        <v>34</v>
      </c>
      <c r="B36" s="45">
        <f t="shared" si="8"/>
        <v>35</v>
      </c>
      <c r="C36" s="51">
        <v>589675.9</v>
      </c>
      <c r="D36" s="47">
        <f t="shared" si="3"/>
        <v>1225</v>
      </c>
      <c r="E36" s="47">
        <f t="shared" si="4"/>
        <v>20638656.5</v>
      </c>
      <c r="F36" s="1"/>
      <c r="G36" s="132">
        <v>589675.9</v>
      </c>
      <c r="H36" s="127">
        <f t="shared" si="9"/>
        <v>520200.30858611997</v>
      </c>
      <c r="I36" s="169">
        <f t="shared" si="5"/>
        <v>69475.59141388006</v>
      </c>
      <c r="J36" s="177">
        <f t="shared" si="10"/>
        <v>69475.59141388006</v>
      </c>
      <c r="K36" s="184">
        <f t="shared" si="6"/>
        <v>4826857802.308405</v>
      </c>
      <c r="L36" s="215">
        <f t="shared" si="2"/>
        <v>0.11781996078503472</v>
      </c>
      <c r="M36" s="177">
        <f t="shared" si="7"/>
        <v>0.06259760401782606</v>
      </c>
    </row>
    <row r="37" spans="1:13" ht="16.5" thickBot="1">
      <c r="A37" s="138" t="s">
        <v>35</v>
      </c>
      <c r="B37" s="45">
        <f t="shared" si="8"/>
        <v>36</v>
      </c>
      <c r="C37" s="53">
        <v>595970.9</v>
      </c>
      <c r="D37" s="49">
        <f t="shared" si="3"/>
        <v>1296</v>
      </c>
      <c r="E37" s="49">
        <f t="shared" si="4"/>
        <v>21454952.400000002</v>
      </c>
      <c r="F37" s="1"/>
      <c r="G37" s="133">
        <v>595970.9</v>
      </c>
      <c r="H37" s="127">
        <f t="shared" si="9"/>
        <v>528065.5158650932</v>
      </c>
      <c r="I37" s="171">
        <f t="shared" si="5"/>
        <v>67905.38413490681</v>
      </c>
      <c r="J37" s="182">
        <f t="shared" si="10"/>
        <v>67905.38413490681</v>
      </c>
      <c r="K37" s="184">
        <f t="shared" si="6"/>
        <v>4611141194.5092535</v>
      </c>
      <c r="L37" s="216">
        <f t="shared" si="2"/>
        <v>0.11394077149556599</v>
      </c>
      <c r="M37" s="177">
        <f t="shared" si="7"/>
        <v>0.060412085566324575</v>
      </c>
    </row>
    <row r="38" spans="1:13" ht="15.75">
      <c r="A38" s="136" t="s">
        <v>36</v>
      </c>
      <c r="B38" s="43">
        <f t="shared" si="8"/>
        <v>37</v>
      </c>
      <c r="C38" s="50">
        <v>596536.5</v>
      </c>
      <c r="D38" s="42">
        <f>B38^2</f>
        <v>1369</v>
      </c>
      <c r="E38" s="42">
        <f>B38*C38</f>
        <v>22071850.5</v>
      </c>
      <c r="F38" s="1"/>
      <c r="G38" s="131">
        <v>596536.5</v>
      </c>
      <c r="H38" s="128">
        <f t="shared" si="9"/>
        <v>535930.7231440665</v>
      </c>
      <c r="I38" s="170">
        <f>G38-H38</f>
        <v>60605.77685593348</v>
      </c>
      <c r="J38" s="183">
        <f t="shared" si="10"/>
        <v>60605.77685593348</v>
      </c>
      <c r="K38" s="181">
        <f>I38*I38</f>
        <v>3673060188.311202</v>
      </c>
      <c r="L38" s="214">
        <f>J38/G38</f>
        <v>0.10159609153158856</v>
      </c>
      <c r="M38" s="181">
        <f>J38/ABS(G38+H38)</f>
        <v>0.05351658363027389</v>
      </c>
    </row>
    <row r="39" spans="1:13" ht="15.75">
      <c r="A39" s="137" t="s">
        <v>37</v>
      </c>
      <c r="B39" s="45">
        <f t="shared" si="8"/>
        <v>38</v>
      </c>
      <c r="C39" s="51">
        <v>594155.3</v>
      </c>
      <c r="D39" s="47">
        <f t="shared" si="3"/>
        <v>1444</v>
      </c>
      <c r="E39" s="47">
        <f t="shared" si="4"/>
        <v>22577901.400000002</v>
      </c>
      <c r="F39" s="1"/>
      <c r="G39" s="132">
        <v>594155.3</v>
      </c>
      <c r="H39" s="127">
        <f t="shared" si="9"/>
        <v>543795.9304230398</v>
      </c>
      <c r="I39" s="169">
        <f t="shared" si="5"/>
        <v>50359.36957696022</v>
      </c>
      <c r="J39" s="183">
        <f t="shared" si="10"/>
        <v>50359.36957696022</v>
      </c>
      <c r="K39" s="177">
        <f t="shared" si="6"/>
        <v>2536066104.1888666</v>
      </c>
      <c r="L39" s="215">
        <f t="shared" si="2"/>
        <v>0.08475792368924458</v>
      </c>
      <c r="M39" s="177">
        <f t="shared" si="7"/>
        <v>0.044254418142541</v>
      </c>
    </row>
    <row r="40" spans="1:13" ht="15.75">
      <c r="A40" s="137" t="s">
        <v>38</v>
      </c>
      <c r="B40" s="45">
        <f t="shared" si="8"/>
        <v>39</v>
      </c>
      <c r="C40" s="51">
        <v>580665.6</v>
      </c>
      <c r="D40" s="47">
        <f t="shared" si="3"/>
        <v>1521</v>
      </c>
      <c r="E40" s="47">
        <f t="shared" si="4"/>
        <v>22645958.4</v>
      </c>
      <c r="F40" s="1"/>
      <c r="G40" s="132">
        <v>580665.6</v>
      </c>
      <c r="H40" s="127">
        <f t="shared" si="9"/>
        <v>551661.1377020131</v>
      </c>
      <c r="I40" s="169">
        <f t="shared" si="5"/>
        <v>29004.462297986844</v>
      </c>
      <c r="J40" s="183">
        <f t="shared" si="10"/>
        <v>29004.462297986844</v>
      </c>
      <c r="K40" s="177">
        <f t="shared" si="6"/>
        <v>841258833.1953403</v>
      </c>
      <c r="L40" s="215">
        <f t="shared" si="2"/>
        <v>0.04995037126013121</v>
      </c>
      <c r="M40" s="177">
        <f t="shared" si="7"/>
        <v>0.025614923089116136</v>
      </c>
    </row>
    <row r="41" spans="1:13" ht="16.5" thickBot="1">
      <c r="A41" s="138" t="s">
        <v>39</v>
      </c>
      <c r="B41" s="52">
        <f t="shared" si="8"/>
        <v>40</v>
      </c>
      <c r="C41" s="53">
        <v>567335.8</v>
      </c>
      <c r="D41" s="49">
        <f t="shared" si="3"/>
        <v>1600</v>
      </c>
      <c r="E41" s="49">
        <f t="shared" si="4"/>
        <v>22693432</v>
      </c>
      <c r="F41" s="1"/>
      <c r="G41" s="133">
        <v>567335.8</v>
      </c>
      <c r="H41" s="129">
        <f t="shared" si="9"/>
        <v>559526.3449809863</v>
      </c>
      <c r="I41" s="171">
        <f t="shared" si="5"/>
        <v>7809.455019013723</v>
      </c>
      <c r="J41" s="183">
        <f t="shared" si="10"/>
        <v>7809.455019013723</v>
      </c>
      <c r="K41" s="182">
        <f t="shared" si="6"/>
        <v>60987587.693998635</v>
      </c>
      <c r="L41" s="216">
        <f t="shared" si="2"/>
        <v>0.013765137012354451</v>
      </c>
      <c r="M41" s="182">
        <f t="shared" si="7"/>
        <v>0.006930266540407649</v>
      </c>
    </row>
    <row r="42" spans="1:13" ht="15.75">
      <c r="A42" s="136" t="s">
        <v>40</v>
      </c>
      <c r="B42" s="45">
        <f t="shared" si="8"/>
        <v>41</v>
      </c>
      <c r="C42" s="50">
        <v>560701.5</v>
      </c>
      <c r="D42" s="42">
        <f>B42^2</f>
        <v>1681</v>
      </c>
      <c r="E42" s="42">
        <f>B42*C42</f>
        <v>22988761.5</v>
      </c>
      <c r="F42" s="1"/>
      <c r="G42" s="131">
        <v>560701.5</v>
      </c>
      <c r="H42" s="128">
        <f t="shared" si="9"/>
        <v>567391.5522599597</v>
      </c>
      <c r="I42" s="170">
        <f>G42-H42</f>
        <v>-6690.052259959746</v>
      </c>
      <c r="J42" s="181">
        <f t="shared" si="10"/>
        <v>6690.052259959746</v>
      </c>
      <c r="K42" s="184">
        <f>I42*I42</f>
        <v>44756799.24099251</v>
      </c>
      <c r="L42" s="214">
        <f>J42/G42</f>
        <v>0.011931575463878278</v>
      </c>
      <c r="M42" s="181">
        <f>J42/ABS(G42+H42)</f>
        <v>0.005930408175599754</v>
      </c>
    </row>
    <row r="43" spans="1:13" ht="15.75">
      <c r="A43" s="137" t="s">
        <v>41</v>
      </c>
      <c r="B43" s="45">
        <f t="shared" si="8"/>
        <v>42</v>
      </c>
      <c r="C43" s="51">
        <v>553728.3</v>
      </c>
      <c r="D43" s="47">
        <f t="shared" si="3"/>
        <v>1764</v>
      </c>
      <c r="E43" s="47">
        <f t="shared" si="4"/>
        <v>23256588.6</v>
      </c>
      <c r="F43" s="1"/>
      <c r="G43" s="132">
        <v>553728.3</v>
      </c>
      <c r="H43" s="127">
        <f t="shared" si="9"/>
        <v>575256.7595389329</v>
      </c>
      <c r="I43" s="169">
        <f t="shared" si="5"/>
        <v>-21528.45953893289</v>
      </c>
      <c r="J43" s="177">
        <f t="shared" si="10"/>
        <v>21528.45953893289</v>
      </c>
      <c r="K43" s="184">
        <f t="shared" si="6"/>
        <v>463474570.11947054</v>
      </c>
      <c r="L43" s="215">
        <f t="shared" si="2"/>
        <v>0.038879102872171944</v>
      </c>
      <c r="M43" s="177">
        <f t="shared" si="7"/>
        <v>0.01906886132552092</v>
      </c>
    </row>
    <row r="44" spans="1:13" ht="15.75">
      <c r="A44" s="137" t="s">
        <v>42</v>
      </c>
      <c r="B44" s="45">
        <f t="shared" si="8"/>
        <v>43</v>
      </c>
      <c r="C44" s="51">
        <v>548450.7</v>
      </c>
      <c r="D44" s="47">
        <f t="shared" si="3"/>
        <v>1849</v>
      </c>
      <c r="E44" s="47">
        <f t="shared" si="4"/>
        <v>23583380.099999998</v>
      </c>
      <c r="F44" s="1"/>
      <c r="G44" s="132">
        <v>548450.7</v>
      </c>
      <c r="H44" s="127">
        <f t="shared" si="9"/>
        <v>583121.9668179062</v>
      </c>
      <c r="I44" s="169">
        <f t="shared" si="5"/>
        <v>-34671.26681790629</v>
      </c>
      <c r="J44" s="177">
        <f t="shared" si="10"/>
        <v>34671.26681790629</v>
      </c>
      <c r="K44" s="184">
        <f t="shared" si="6"/>
        <v>1202096742.7584498</v>
      </c>
      <c r="L44" s="215">
        <f t="shared" si="2"/>
        <v>0.06321674275902336</v>
      </c>
      <c r="M44" s="177">
        <f t="shared" si="7"/>
        <v>0.03063989422385511</v>
      </c>
    </row>
    <row r="45" spans="1:13" ht="16.5" thickBot="1">
      <c r="A45" s="138" t="s">
        <v>43</v>
      </c>
      <c r="B45" s="45">
        <f t="shared" si="8"/>
        <v>44</v>
      </c>
      <c r="C45" s="51">
        <v>558026.2</v>
      </c>
      <c r="D45" s="49">
        <f t="shared" si="3"/>
        <v>1936</v>
      </c>
      <c r="E45" s="49">
        <f t="shared" si="4"/>
        <v>24553152.799999997</v>
      </c>
      <c r="F45" s="1"/>
      <c r="G45" s="132">
        <v>558026.2</v>
      </c>
      <c r="H45" s="129">
        <f t="shared" si="9"/>
        <v>590987.1740968795</v>
      </c>
      <c r="I45" s="171">
        <f t="shared" si="5"/>
        <v>-32960.974096879596</v>
      </c>
      <c r="J45" s="182">
        <f t="shared" si="10"/>
        <v>32960.974096879596</v>
      </c>
      <c r="K45" s="184">
        <f t="shared" si="6"/>
        <v>1086425813.4151678</v>
      </c>
      <c r="L45" s="216">
        <f t="shared" si="2"/>
        <v>0.05906707265157012</v>
      </c>
      <c r="M45" s="177">
        <f t="shared" si="7"/>
        <v>0.028686327626766577</v>
      </c>
    </row>
    <row r="46" spans="1:13" ht="15.75">
      <c r="A46" s="136" t="s">
        <v>44</v>
      </c>
      <c r="B46" s="43">
        <f t="shared" si="8"/>
        <v>45</v>
      </c>
      <c r="C46" s="50">
        <v>557442.5</v>
      </c>
      <c r="D46" s="42">
        <f>B46^2</f>
        <v>2025</v>
      </c>
      <c r="E46" s="42">
        <f>B46*C46</f>
        <v>25084912.5</v>
      </c>
      <c r="F46" s="1"/>
      <c r="G46" s="131">
        <v>557442.5</v>
      </c>
      <c r="H46" s="128">
        <f t="shared" si="9"/>
        <v>598852.3813758527</v>
      </c>
      <c r="I46" s="170">
        <f>G46-H46</f>
        <v>-41409.88137585274</v>
      </c>
      <c r="J46" s="183">
        <f t="shared" si="10"/>
        <v>41409.88137585274</v>
      </c>
      <c r="K46" s="181">
        <f>I46*I46</f>
        <v>1714778275.5621955</v>
      </c>
      <c r="L46" s="214">
        <f>J46/G46</f>
        <v>0.07428547585778397</v>
      </c>
      <c r="M46" s="181">
        <f>J46/ABS(G46+H46)</f>
        <v>0.03581256134817438</v>
      </c>
    </row>
    <row r="47" spans="1:13" ht="15.75">
      <c r="A47" s="137" t="s">
        <v>45</v>
      </c>
      <c r="B47" s="45">
        <f t="shared" si="8"/>
        <v>46</v>
      </c>
      <c r="C47" s="51">
        <v>563668.2</v>
      </c>
      <c r="D47" s="47">
        <f t="shared" si="3"/>
        <v>2116</v>
      </c>
      <c r="E47" s="47">
        <f t="shared" si="4"/>
        <v>25928737.2</v>
      </c>
      <c r="F47" s="1"/>
      <c r="G47" s="132">
        <v>563668.2</v>
      </c>
      <c r="H47" s="127">
        <f t="shared" si="9"/>
        <v>606717.5886548262</v>
      </c>
      <c r="I47" s="169">
        <f t="shared" si="5"/>
        <v>-43049.38865482621</v>
      </c>
      <c r="J47" s="183">
        <f t="shared" si="10"/>
        <v>43049.38865482621</v>
      </c>
      <c r="K47" s="177">
        <f t="shared" si="6"/>
        <v>1853249863.5542796</v>
      </c>
      <c r="L47" s="215">
        <f t="shared" si="2"/>
        <v>0.07637363373492813</v>
      </c>
      <c r="M47" s="177">
        <f t="shared" si="7"/>
        <v>0.0367822209327274</v>
      </c>
    </row>
    <row r="48" spans="1:13" ht="15.75">
      <c r="A48" s="137" t="s">
        <v>46</v>
      </c>
      <c r="B48" s="45">
        <f t="shared" si="8"/>
        <v>47</v>
      </c>
      <c r="C48" s="51">
        <v>569176.8</v>
      </c>
      <c r="D48" s="47">
        <f t="shared" si="3"/>
        <v>2209</v>
      </c>
      <c r="E48" s="47">
        <f t="shared" si="4"/>
        <v>26751309.6</v>
      </c>
      <c r="F48" s="1"/>
      <c r="G48" s="132">
        <v>569176.8</v>
      </c>
      <c r="H48" s="127">
        <f t="shared" si="9"/>
        <v>614582.7959337994</v>
      </c>
      <c r="I48" s="169">
        <f t="shared" si="5"/>
        <v>-45405.995933799306</v>
      </c>
      <c r="J48" s="183">
        <f t="shared" si="10"/>
        <v>45405.995933799306</v>
      </c>
      <c r="K48" s="177">
        <f t="shared" si="6"/>
        <v>2061704466.740199</v>
      </c>
      <c r="L48" s="215">
        <f t="shared" si="2"/>
        <v>0.07977485367253076</v>
      </c>
      <c r="M48" s="177">
        <f t="shared" si="7"/>
        <v>0.03835744697636951</v>
      </c>
    </row>
    <row r="49" spans="1:13" ht="16.5" thickBot="1">
      <c r="A49" s="138" t="s">
        <v>47</v>
      </c>
      <c r="B49" s="52">
        <f t="shared" si="8"/>
        <v>48</v>
      </c>
      <c r="C49" s="51">
        <v>587564.8</v>
      </c>
      <c r="D49" s="49">
        <f t="shared" si="3"/>
        <v>2304</v>
      </c>
      <c r="E49" s="49">
        <f t="shared" si="4"/>
        <v>28203110.400000002</v>
      </c>
      <c r="F49" s="1"/>
      <c r="G49" s="132">
        <v>587564.8</v>
      </c>
      <c r="H49" s="129">
        <f t="shared" si="9"/>
        <v>622448.0032127727</v>
      </c>
      <c r="I49" s="171">
        <f t="shared" si="5"/>
        <v>-34883.20321277261</v>
      </c>
      <c r="J49" s="183">
        <f t="shared" si="10"/>
        <v>34883.20321277261</v>
      </c>
      <c r="K49" s="182">
        <f t="shared" si="6"/>
        <v>1216837866.3835895</v>
      </c>
      <c r="L49" s="216">
        <f t="shared" si="2"/>
        <v>0.05936911675575632</v>
      </c>
      <c r="M49" s="182">
        <f t="shared" si="7"/>
        <v>0.028828788522032387</v>
      </c>
    </row>
    <row r="50" spans="1:13" ht="15.75">
      <c r="A50" s="136" t="s">
        <v>48</v>
      </c>
      <c r="B50" s="23">
        <f t="shared" si="8"/>
        <v>49</v>
      </c>
      <c r="C50" s="24">
        <v>584631.3</v>
      </c>
      <c r="D50" s="42">
        <f>B50^2</f>
        <v>2401</v>
      </c>
      <c r="E50" s="42">
        <f>B50*C50</f>
        <v>28646933.700000003</v>
      </c>
      <c r="F50" s="1"/>
      <c r="G50" s="131">
        <v>584631.3</v>
      </c>
      <c r="H50" s="128">
        <f t="shared" si="9"/>
        <v>630313.210491746</v>
      </c>
      <c r="I50" s="170">
        <f>G50-H50</f>
        <v>-45681.91049174592</v>
      </c>
      <c r="J50" s="181">
        <f t="shared" si="10"/>
        <v>45681.91049174592</v>
      </c>
      <c r="K50" s="184">
        <f>I50*I50</f>
        <v>2086836946.175886</v>
      </c>
      <c r="L50" s="214">
        <f>J50/G50</f>
        <v>0.07813798284790074</v>
      </c>
      <c r="M50" s="181">
        <f>J50/ABS(G50+H50)</f>
        <v>0.03759999744618482</v>
      </c>
    </row>
    <row r="51" spans="1:13" ht="15.75">
      <c r="A51" s="137" t="s">
        <v>49</v>
      </c>
      <c r="B51" s="27">
        <f t="shared" si="8"/>
        <v>50</v>
      </c>
      <c r="C51" s="28">
        <v>589489.7</v>
      </c>
      <c r="D51" s="47">
        <f t="shared" si="3"/>
        <v>2500</v>
      </c>
      <c r="E51" s="47">
        <f t="shared" si="4"/>
        <v>29474484.999999996</v>
      </c>
      <c r="F51" s="1"/>
      <c r="G51" s="132">
        <v>589489.7</v>
      </c>
      <c r="H51" s="127">
        <f t="shared" si="9"/>
        <v>638178.4177707192</v>
      </c>
      <c r="I51" s="169">
        <f t="shared" si="5"/>
        <v>-48688.7177707192</v>
      </c>
      <c r="J51" s="177">
        <f t="shared" si="10"/>
        <v>48688.7177707192</v>
      </c>
      <c r="K51" s="184">
        <f t="shared" si="6"/>
        <v>2370591238.156748</v>
      </c>
      <c r="L51" s="215">
        <f t="shared" si="2"/>
        <v>0.08259468786429891</v>
      </c>
      <c r="M51" s="177">
        <f t="shared" si="7"/>
        <v>0.039659511447712265</v>
      </c>
    </row>
    <row r="52" spans="1:13" ht="15.75">
      <c r="A52" s="137" t="s">
        <v>50</v>
      </c>
      <c r="B52" s="27">
        <f t="shared" si="8"/>
        <v>51</v>
      </c>
      <c r="C52" s="28">
        <v>582149.8</v>
      </c>
      <c r="D52" s="47">
        <f t="shared" si="3"/>
        <v>2601</v>
      </c>
      <c r="E52" s="47">
        <f t="shared" si="4"/>
        <v>29689639.8</v>
      </c>
      <c r="F52" s="1"/>
      <c r="G52" s="132">
        <v>582149.8</v>
      </c>
      <c r="H52" s="127">
        <f t="shared" si="9"/>
        <v>646043.6250496926</v>
      </c>
      <c r="I52" s="169">
        <f t="shared" si="5"/>
        <v>-63893.82504969253</v>
      </c>
      <c r="J52" s="177">
        <f t="shared" si="10"/>
        <v>63893.82504969253</v>
      </c>
      <c r="K52" s="184">
        <f t="shared" si="6"/>
        <v>4082420879.4807167</v>
      </c>
      <c r="L52" s="215">
        <f t="shared" si="2"/>
        <v>0.10975495490970284</v>
      </c>
      <c r="M52" s="177">
        <f t="shared" si="7"/>
        <v>0.052022607959415997</v>
      </c>
    </row>
    <row r="53" spans="1:13" ht="16.5" thickBot="1">
      <c r="A53" s="138" t="s">
        <v>51</v>
      </c>
      <c r="B53" s="31">
        <f t="shared" si="8"/>
        <v>52</v>
      </c>
      <c r="C53" s="28">
        <v>599177.5</v>
      </c>
      <c r="D53" s="49">
        <f t="shared" si="3"/>
        <v>2704</v>
      </c>
      <c r="E53" s="49">
        <f t="shared" si="4"/>
        <v>31157230</v>
      </c>
      <c r="F53" s="1"/>
      <c r="G53" s="132">
        <v>599177.5</v>
      </c>
      <c r="H53" s="129">
        <f t="shared" si="9"/>
        <v>653908.8323286658</v>
      </c>
      <c r="I53" s="171">
        <f t="shared" si="5"/>
        <v>-54731.33232866577</v>
      </c>
      <c r="J53" s="182">
        <f t="shared" si="10"/>
        <v>54731.33232866577</v>
      </c>
      <c r="K53" s="184">
        <f t="shared" si="6"/>
        <v>2995518738.4708548</v>
      </c>
      <c r="L53" s="216">
        <f t="shared" si="2"/>
        <v>0.09134410475804877</v>
      </c>
      <c r="M53" s="177">
        <f t="shared" si="7"/>
        <v>0.04367722392036318</v>
      </c>
    </row>
    <row r="54" spans="1:13" ht="15.75">
      <c r="A54" s="136" t="s">
        <v>52</v>
      </c>
      <c r="B54" s="23">
        <f t="shared" si="8"/>
        <v>53</v>
      </c>
      <c r="C54" s="24">
        <v>597108</v>
      </c>
      <c r="D54" s="42">
        <f>B54^2</f>
        <v>2809</v>
      </c>
      <c r="E54" s="42">
        <f>B54*C54</f>
        <v>31646724</v>
      </c>
      <c r="F54" s="1"/>
      <c r="G54" s="131">
        <v>597108</v>
      </c>
      <c r="H54" s="128">
        <f t="shared" si="9"/>
        <v>661774.0396076391</v>
      </c>
      <c r="I54" s="170">
        <f>G54-H54</f>
        <v>-64666.039607639075</v>
      </c>
      <c r="J54" s="183">
        <f t="shared" si="10"/>
        <v>64666.039607639075</v>
      </c>
      <c r="K54" s="181">
        <f>I54*I54</f>
        <v>4181696678.5367455</v>
      </c>
      <c r="L54" s="214">
        <f>J54/G54</f>
        <v>0.10829873257038773</v>
      </c>
      <c r="M54" s="181">
        <f>J54/ABS(G54+H54)</f>
        <v>0.051367830799932464</v>
      </c>
    </row>
    <row r="55" spans="1:13" ht="15.75">
      <c r="A55" s="137" t="s">
        <v>53</v>
      </c>
      <c r="B55" s="27">
        <f t="shared" si="8"/>
        <v>54</v>
      </c>
      <c r="C55" s="28">
        <v>604796.4</v>
      </c>
      <c r="D55" s="47">
        <f t="shared" si="3"/>
        <v>2916</v>
      </c>
      <c r="E55" s="47">
        <f t="shared" si="4"/>
        <v>32659005.6</v>
      </c>
      <c r="F55" s="1"/>
      <c r="G55" s="132">
        <v>604796.4</v>
      </c>
      <c r="H55" s="127">
        <f t="shared" si="9"/>
        <v>669639.2468866124</v>
      </c>
      <c r="I55" s="169">
        <f t="shared" si="5"/>
        <v>-64842.84688661236</v>
      </c>
      <c r="J55" s="183">
        <f t="shared" si="10"/>
        <v>64842.84688661236</v>
      </c>
      <c r="K55" s="177">
        <f t="shared" si="6"/>
        <v>4204594792.360654</v>
      </c>
      <c r="L55" s="215">
        <f t="shared" si="2"/>
        <v>0.10721434004338047</v>
      </c>
      <c r="M55" s="177">
        <f t="shared" si="7"/>
        <v>0.050879655669566724</v>
      </c>
    </row>
    <row r="56" spans="1:13" ht="15.75">
      <c r="A56" s="137" t="s">
        <v>54</v>
      </c>
      <c r="B56" s="27">
        <f t="shared" si="8"/>
        <v>55</v>
      </c>
      <c r="C56" s="28">
        <v>606284.6</v>
      </c>
      <c r="D56" s="47">
        <f t="shared" si="3"/>
        <v>3025</v>
      </c>
      <c r="E56" s="47">
        <f t="shared" si="4"/>
        <v>33345653</v>
      </c>
      <c r="F56" s="1"/>
      <c r="G56" s="132">
        <v>606284.6</v>
      </c>
      <c r="H56" s="127">
        <f t="shared" si="9"/>
        <v>677504.4541655856</v>
      </c>
      <c r="I56" s="169">
        <f t="shared" si="5"/>
        <v>-71219.8541655856</v>
      </c>
      <c r="J56" s="183">
        <f t="shared" si="10"/>
        <v>71219.8541655856</v>
      </c>
      <c r="K56" s="177">
        <f t="shared" si="6"/>
        <v>5072267627.36728</v>
      </c>
      <c r="L56" s="215">
        <f t="shared" si="2"/>
        <v>0.11746934387841221</v>
      </c>
      <c r="M56" s="177">
        <f t="shared" si="7"/>
        <v>0.055476290232024</v>
      </c>
    </row>
    <row r="57" spans="1:13" ht="16.5" thickBot="1">
      <c r="A57" s="138" t="s">
        <v>55</v>
      </c>
      <c r="B57" s="31">
        <f t="shared" si="8"/>
        <v>56</v>
      </c>
      <c r="C57" s="28">
        <v>630641.9</v>
      </c>
      <c r="D57" s="49">
        <f t="shared" si="3"/>
        <v>3136</v>
      </c>
      <c r="E57" s="49">
        <f t="shared" si="4"/>
        <v>35315946.4</v>
      </c>
      <c r="F57" s="1"/>
      <c r="G57" s="132">
        <v>630641.9</v>
      </c>
      <c r="H57" s="129">
        <f t="shared" si="9"/>
        <v>685369.661444559</v>
      </c>
      <c r="I57" s="171">
        <f t="shared" si="5"/>
        <v>-54727.76144455897</v>
      </c>
      <c r="J57" s="183">
        <f t="shared" si="10"/>
        <v>54727.76144455897</v>
      </c>
      <c r="K57" s="182">
        <f t="shared" si="6"/>
        <v>2995127872.7325554</v>
      </c>
      <c r="L57" s="216">
        <f t="shared" si="2"/>
        <v>0.08678104237057349</v>
      </c>
      <c r="M57" s="182">
        <f t="shared" si="7"/>
        <v>0.041586079520825346</v>
      </c>
    </row>
    <row r="58" spans="1:13" ht="15.75">
      <c r="A58" s="136" t="s">
        <v>56</v>
      </c>
      <c r="B58" s="27">
        <f t="shared" si="8"/>
        <v>57</v>
      </c>
      <c r="C58" s="24">
        <v>636801.4</v>
      </c>
      <c r="D58" s="42">
        <f>B58^2</f>
        <v>3249</v>
      </c>
      <c r="E58" s="42">
        <f>B58*C58</f>
        <v>36297679.800000004</v>
      </c>
      <c r="F58" s="1"/>
      <c r="G58" s="131">
        <v>636801.4</v>
      </c>
      <c r="H58" s="128">
        <f t="shared" si="9"/>
        <v>693234.8687235322</v>
      </c>
      <c r="I58" s="170">
        <f>G58-H58</f>
        <v>-56433.46872353216</v>
      </c>
      <c r="J58" s="181">
        <f t="shared" si="10"/>
        <v>56433.46872353216</v>
      </c>
      <c r="K58" s="184">
        <f>I58*I58</f>
        <v>3184736392.169883</v>
      </c>
      <c r="L58" s="214">
        <f>J58/G58</f>
        <v>0.08862020203399704</v>
      </c>
      <c r="M58" s="181">
        <f>J58/ABS(G58+H58)</f>
        <v>0.0424300224366759</v>
      </c>
    </row>
    <row r="59" spans="1:13" ht="15.75">
      <c r="A59" s="137" t="s">
        <v>57</v>
      </c>
      <c r="B59" s="27"/>
      <c r="C59" s="28"/>
      <c r="D59" s="47">
        <f t="shared" si="3"/>
        <v>0</v>
      </c>
      <c r="E59" s="47">
        <f t="shared" si="4"/>
        <v>0</v>
      </c>
      <c r="F59" s="1"/>
      <c r="G59" s="134"/>
      <c r="H59" s="127"/>
      <c r="I59" s="168"/>
      <c r="J59" s="177">
        <f t="shared" si="10"/>
        <v>0</v>
      </c>
      <c r="K59" s="184">
        <f t="shared" si="6"/>
        <v>0</v>
      </c>
      <c r="L59" s="215"/>
      <c r="M59" s="177"/>
    </row>
    <row r="60" spans="1:13" ht="15.75">
      <c r="A60" s="137" t="s">
        <v>58</v>
      </c>
      <c r="B60" s="27"/>
      <c r="C60" s="28"/>
      <c r="D60" s="47">
        <f t="shared" si="3"/>
        <v>0</v>
      </c>
      <c r="E60" s="47">
        <f t="shared" si="4"/>
        <v>0</v>
      </c>
      <c r="F60" s="1"/>
      <c r="G60" s="134"/>
      <c r="H60" s="127"/>
      <c r="I60" s="168"/>
      <c r="J60" s="177">
        <f t="shared" si="10"/>
        <v>0</v>
      </c>
      <c r="K60" s="184">
        <f t="shared" si="6"/>
        <v>0</v>
      </c>
      <c r="L60" s="215"/>
      <c r="M60" s="177"/>
    </row>
    <row r="61" spans="1:13" ht="16.5" thickBot="1">
      <c r="A61" s="138" t="s">
        <v>59</v>
      </c>
      <c r="B61" s="31"/>
      <c r="C61" s="32"/>
      <c r="D61" s="49">
        <f t="shared" si="3"/>
        <v>0</v>
      </c>
      <c r="E61" s="49">
        <f t="shared" si="4"/>
        <v>0</v>
      </c>
      <c r="F61" s="1"/>
      <c r="G61" s="134"/>
      <c r="H61" s="127"/>
      <c r="I61" s="168"/>
      <c r="J61" s="182">
        <f t="shared" si="10"/>
        <v>0</v>
      </c>
      <c r="K61" s="185">
        <f t="shared" si="6"/>
        <v>0</v>
      </c>
      <c r="L61" s="216"/>
      <c r="M61" s="182"/>
    </row>
    <row r="62" spans="1:13" ht="16.5" thickBot="1">
      <c r="A62" s="139" t="s">
        <v>68</v>
      </c>
      <c r="B62" s="40">
        <f>SUM(B2:B58)</f>
        <v>1653</v>
      </c>
      <c r="C62" s="39">
        <f>SUM(C2:C58)</f>
        <v>26961516.7</v>
      </c>
      <c r="D62" s="39">
        <f>SUM(D2:D58)</f>
        <v>63365</v>
      </c>
      <c r="E62" s="39">
        <f>SUM(E2:E58)</f>
        <v>903228402.1999999</v>
      </c>
      <c r="F62" s="1"/>
      <c r="G62" s="39">
        <f>SUM(G2:G58)</f>
        <v>26961516.7</v>
      </c>
      <c r="H62" s="39">
        <f>SUM(H2:H58)</f>
        <v>26961516.699999973</v>
      </c>
      <c r="I62" s="39">
        <f>SUM(I2:I58)</f>
        <v>2.6426278054714203E-08</v>
      </c>
      <c r="J62" s="179">
        <f>SUM(J2:J58)</f>
        <v>3313331.858905881</v>
      </c>
      <c r="K62" s="190">
        <f>SUM(K2:K58)</f>
        <v>227215309436.61237</v>
      </c>
      <c r="L62" s="213">
        <f>SUM(L2:L58)/57</f>
        <v>0.14579085680791187</v>
      </c>
      <c r="M62" s="213">
        <f>SUM(M2:M58)/57</f>
        <v>0.06991952418452488</v>
      </c>
    </row>
    <row r="63" spans="1:7" ht="15.75">
      <c r="A63" s="1"/>
      <c r="B63" s="1"/>
      <c r="C63" s="1"/>
      <c r="D63" s="1"/>
      <c r="E63" s="1"/>
      <c r="F63" s="1"/>
      <c r="G63" s="1"/>
    </row>
    <row r="64" spans="1:7" ht="16.5" thickBot="1">
      <c r="A64" s="1"/>
      <c r="B64" s="1"/>
      <c r="C64" s="1"/>
      <c r="D64" s="1"/>
      <c r="E64" s="1"/>
      <c r="F64" s="1"/>
      <c r="G64" s="1"/>
    </row>
    <row r="65" spans="1:8" ht="17.25" thickBot="1">
      <c r="A65" s="1"/>
      <c r="B65" s="62" t="s">
        <v>69</v>
      </c>
      <c r="C65" s="54">
        <v>57</v>
      </c>
      <c r="D65" s="55">
        <f>B62</f>
        <v>1653</v>
      </c>
      <c r="E65" s="1"/>
      <c r="F65" s="1"/>
      <c r="G65" s="220" t="s">
        <v>122</v>
      </c>
      <c r="H65" s="221">
        <f>SQRT(J62)/(SQRT(G62)+SQRT(H62))</f>
        <v>0.17527917192594183</v>
      </c>
    </row>
    <row r="66" spans="1:7" ht="16.5" thickBot="1">
      <c r="A66" s="1"/>
      <c r="B66" s="63"/>
      <c r="C66" s="56">
        <f>B62</f>
        <v>1653</v>
      </c>
      <c r="D66" s="57">
        <f>D62</f>
        <v>63365</v>
      </c>
      <c r="E66" s="1"/>
      <c r="F66" s="1"/>
      <c r="G66" s="1"/>
    </row>
    <row r="67" spans="1:7" ht="16.5" thickBot="1">
      <c r="A67" s="1"/>
      <c r="B67" s="63"/>
      <c r="C67" s="1"/>
      <c r="D67" s="1"/>
      <c r="E67" s="1"/>
      <c r="F67" s="1"/>
      <c r="G67" s="1"/>
    </row>
    <row r="68" spans="1:7" ht="16.5" thickBot="1">
      <c r="A68" s="1"/>
      <c r="B68" s="62" t="s">
        <v>71</v>
      </c>
      <c r="C68" s="35">
        <f>C65*D66-D65^2</f>
        <v>879396</v>
      </c>
      <c r="D68" s="1"/>
      <c r="E68" s="1"/>
      <c r="F68" s="1"/>
      <c r="G68" s="1"/>
    </row>
    <row r="69" spans="1:7" ht="16.5" thickBot="1">
      <c r="A69" s="1"/>
      <c r="B69" s="63"/>
      <c r="C69" s="1"/>
      <c r="D69" s="1"/>
      <c r="E69" s="1"/>
      <c r="F69" s="1"/>
      <c r="G69" s="1"/>
    </row>
    <row r="70" spans="1:7" ht="16.5" thickBot="1">
      <c r="A70" s="1"/>
      <c r="B70" s="62" t="s">
        <v>70</v>
      </c>
      <c r="C70" s="54">
        <f>D66/C68</f>
        <v>0.07205513784461152</v>
      </c>
      <c r="D70" s="55">
        <f>-D65/C68</f>
        <v>-0.0018796992481203006</v>
      </c>
      <c r="E70" s="1"/>
      <c r="F70" s="1"/>
      <c r="G70" s="1"/>
    </row>
    <row r="71" spans="1:7" ht="16.5" thickBot="1">
      <c r="A71" s="1"/>
      <c r="B71" s="63"/>
      <c r="C71" s="56">
        <f>D70</f>
        <v>-0.0018796992481203006</v>
      </c>
      <c r="D71" s="57">
        <f>C65/C68</f>
        <v>6.481721545242416E-05</v>
      </c>
      <c r="E71" s="1"/>
      <c r="F71" s="1"/>
      <c r="G71" s="1"/>
    </row>
    <row r="72" spans="1:7" ht="16.5" thickBot="1">
      <c r="A72" s="1"/>
      <c r="B72" s="63"/>
      <c r="C72" s="1"/>
      <c r="D72" s="1"/>
      <c r="E72" s="1"/>
      <c r="F72" s="1"/>
      <c r="G72" s="1"/>
    </row>
    <row r="73" spans="1:7" ht="16.5" thickBot="1">
      <c r="A73" s="1"/>
      <c r="B73" s="62" t="s">
        <v>75</v>
      </c>
      <c r="C73" s="58">
        <f>C62</f>
        <v>26961516.7</v>
      </c>
      <c r="D73" s="1"/>
      <c r="E73" s="1"/>
      <c r="F73" s="1"/>
      <c r="G73" s="1"/>
    </row>
    <row r="74" spans="1:7" ht="16.5" thickBot="1">
      <c r="A74" s="1"/>
      <c r="B74" s="63"/>
      <c r="C74" s="59">
        <f>E62</f>
        <v>903228402.1999999</v>
      </c>
      <c r="D74" s="1"/>
      <c r="E74" s="1"/>
      <c r="F74" s="1"/>
      <c r="G74" s="1"/>
    </row>
    <row r="75" spans="1:7" ht="16.5" thickBot="1">
      <c r="A75" s="1"/>
      <c r="B75" s="63"/>
      <c r="C75" s="1"/>
      <c r="D75" s="1"/>
      <c r="E75" s="1"/>
      <c r="F75" s="1"/>
      <c r="G75" s="1"/>
    </row>
    <row r="76" spans="1:7" ht="15.75">
      <c r="A76" s="1"/>
      <c r="B76" s="64" t="s">
        <v>73</v>
      </c>
      <c r="C76" s="60">
        <f>C70*C73+D70*C74</f>
        <v>244918.053822055</v>
      </c>
      <c r="D76" s="1"/>
      <c r="E76" s="1"/>
      <c r="F76" s="1"/>
      <c r="G76" s="1"/>
    </row>
    <row r="77" spans="1:7" ht="16.5" thickBot="1">
      <c r="A77" s="1"/>
      <c r="B77" s="65" t="s">
        <v>74</v>
      </c>
      <c r="C77" s="61">
        <f>C71*C73+D71*C74</f>
        <v>7865.207278973285</v>
      </c>
      <c r="D77" s="1"/>
      <c r="E77" s="1"/>
      <c r="F77" s="1"/>
      <c r="G77" s="1"/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7"/>
  <sheetViews>
    <sheetView zoomScalePageLayoutView="0" workbookViewId="0" topLeftCell="I1">
      <selection activeCell="R6" sqref="R6"/>
    </sheetView>
  </sheetViews>
  <sheetFormatPr defaultColWidth="9.140625" defaultRowHeight="12.75"/>
  <cols>
    <col min="4" max="4" width="11.7109375" style="0" customWidth="1"/>
    <col min="5" max="5" width="12.8515625" style="0" customWidth="1"/>
    <col min="7" max="7" width="5.421875" style="0" customWidth="1"/>
    <col min="8" max="8" width="10.8515625" style="0" customWidth="1"/>
    <col min="9" max="10" width="10.7109375" style="0" customWidth="1"/>
    <col min="11" max="11" width="11.140625" style="0" customWidth="1"/>
    <col min="12" max="12" width="12.421875" style="0" customWidth="1"/>
  </cols>
  <sheetData>
    <row r="1" spans="1:14" ht="16.5" thickBot="1">
      <c r="A1" s="140" t="s">
        <v>67</v>
      </c>
      <c r="B1" s="67" t="s">
        <v>60</v>
      </c>
      <c r="C1" s="21" t="s">
        <v>84</v>
      </c>
      <c r="D1" s="22" t="s">
        <v>61</v>
      </c>
      <c r="E1" s="104" t="s">
        <v>87</v>
      </c>
      <c r="F1" s="104" t="s">
        <v>85</v>
      </c>
      <c r="G1" s="70"/>
      <c r="H1" s="160" t="s">
        <v>83</v>
      </c>
      <c r="I1" s="121" t="s">
        <v>82</v>
      </c>
      <c r="J1" s="167" t="s">
        <v>111</v>
      </c>
      <c r="K1" s="167" t="s">
        <v>112</v>
      </c>
      <c r="L1" s="180" t="s">
        <v>113</v>
      </c>
      <c r="M1" s="167" t="s">
        <v>119</v>
      </c>
      <c r="N1" s="210" t="s">
        <v>120</v>
      </c>
    </row>
    <row r="2" spans="1:14" ht="15.75">
      <c r="A2" s="136" t="s">
        <v>0</v>
      </c>
      <c r="B2" s="23">
        <v>1</v>
      </c>
      <c r="C2" s="43">
        <f>LN(B2)</f>
        <v>0</v>
      </c>
      <c r="D2" s="44">
        <v>179342.9</v>
      </c>
      <c r="E2" s="42">
        <f>C2^2</f>
        <v>0</v>
      </c>
      <c r="F2" s="42">
        <f>C2*D2</f>
        <v>0</v>
      </c>
      <c r="G2" s="1"/>
      <c r="H2" s="131">
        <v>179342.9</v>
      </c>
      <c r="I2" s="127">
        <f aca="true" t="shared" si="0" ref="I2:I33">D$76+D$77*C2</f>
        <v>1932.8815133888274</v>
      </c>
      <c r="J2" s="173">
        <f>H2-I2</f>
        <v>177410.01848661117</v>
      </c>
      <c r="K2" s="188">
        <f aca="true" t="shared" si="1" ref="K2:K33">ABS(J2)</f>
        <v>177410.01848661117</v>
      </c>
      <c r="L2" s="181">
        <f>J2*J2</f>
        <v>31474314659.419716</v>
      </c>
      <c r="M2" s="215">
        <f aca="true" t="shared" si="2" ref="M2:M57">K2/H2</f>
        <v>0.9892224252346269</v>
      </c>
      <c r="N2" s="181">
        <f>K2/ABS(H2+I2)</f>
        <v>0.9786746856391727</v>
      </c>
    </row>
    <row r="3" spans="1:14" ht="15.75">
      <c r="A3" s="137" t="s">
        <v>1</v>
      </c>
      <c r="B3" s="27">
        <v>2</v>
      </c>
      <c r="C3" s="45">
        <f aca="true" t="shared" si="3" ref="C3:C57">LN(B3)</f>
        <v>0.6931471805599453</v>
      </c>
      <c r="D3" s="46">
        <v>179879.6</v>
      </c>
      <c r="E3" s="47">
        <f aca="true" t="shared" si="4" ref="E3:E61">C3^2</f>
        <v>0.4804530139182014</v>
      </c>
      <c r="F3" s="47">
        <f aca="true" t="shared" si="5" ref="F3:F61">C3*D3</f>
        <v>124683.03758025073</v>
      </c>
      <c r="G3" s="1"/>
      <c r="H3" s="132">
        <v>179879.6</v>
      </c>
      <c r="I3" s="127">
        <f t="shared" si="0"/>
        <v>107445.18514263319</v>
      </c>
      <c r="J3" s="174">
        <f aca="true" t="shared" si="6" ref="J3:J57">H3-I3</f>
        <v>72434.41485736682</v>
      </c>
      <c r="K3" s="184">
        <f t="shared" si="1"/>
        <v>72434.41485736682</v>
      </c>
      <c r="L3" s="177">
        <f aca="true" t="shared" si="7" ref="L3:L61">J3*J3</f>
        <v>5246744455.729123</v>
      </c>
      <c r="M3" s="215">
        <f t="shared" si="2"/>
        <v>0.4026827659021191</v>
      </c>
      <c r="N3" s="177">
        <f aca="true" t="shared" si="8" ref="N3:N57">K3/ABS(H3+I3)</f>
        <v>0.25209943103728094</v>
      </c>
    </row>
    <row r="4" spans="1:14" ht="15.75">
      <c r="A4" s="137" t="s">
        <v>2</v>
      </c>
      <c r="B4" s="27">
        <f>B3+1</f>
        <v>3</v>
      </c>
      <c r="C4" s="45">
        <f t="shared" si="3"/>
        <v>1.0986122886681098</v>
      </c>
      <c r="D4" s="46">
        <v>184157.9</v>
      </c>
      <c r="E4" s="47">
        <f t="shared" si="4"/>
        <v>1.206948960812582</v>
      </c>
      <c r="F4" s="47">
        <f t="shared" si="5"/>
        <v>202318.1319953129</v>
      </c>
      <c r="G4" s="1"/>
      <c r="H4" s="132">
        <v>184157.9</v>
      </c>
      <c r="I4" s="127">
        <f t="shared" si="0"/>
        <v>169165.9261304459</v>
      </c>
      <c r="J4" s="174">
        <f t="shared" si="6"/>
        <v>14991.973869554087</v>
      </c>
      <c r="K4" s="184">
        <f t="shared" si="1"/>
        <v>14991.973869554087</v>
      </c>
      <c r="L4" s="177">
        <f t="shared" si="7"/>
        <v>224759280.50539255</v>
      </c>
      <c r="M4" s="215">
        <f t="shared" si="2"/>
        <v>0.0814082581825384</v>
      </c>
      <c r="N4" s="177">
        <f t="shared" si="8"/>
        <v>0.0424312564305219</v>
      </c>
    </row>
    <row r="5" spans="1:14" ht="16.5" thickBot="1">
      <c r="A5" s="138" t="s">
        <v>3</v>
      </c>
      <c r="B5" s="27">
        <f>B4+1</f>
        <v>4</v>
      </c>
      <c r="C5" s="52">
        <f t="shared" si="3"/>
        <v>1.3862943611198906</v>
      </c>
      <c r="D5" s="48">
        <v>204782.7</v>
      </c>
      <c r="E5" s="49">
        <f t="shared" si="4"/>
        <v>1.9218120556728056</v>
      </c>
      <c r="F5" s="49">
        <f t="shared" si="5"/>
        <v>283889.1022649062</v>
      </c>
      <c r="G5" s="1"/>
      <c r="H5" s="133">
        <v>204782.7</v>
      </c>
      <c r="I5" s="127">
        <f t="shared" si="0"/>
        <v>212957.48877187754</v>
      </c>
      <c r="J5" s="175">
        <f t="shared" si="6"/>
        <v>-8174.788771877531</v>
      </c>
      <c r="K5" s="185">
        <f t="shared" si="1"/>
        <v>8174.788771877531</v>
      </c>
      <c r="L5" s="182">
        <f t="shared" si="7"/>
        <v>66827171.46481495</v>
      </c>
      <c r="M5" s="216">
        <f t="shared" si="2"/>
        <v>0.03991933289226839</v>
      </c>
      <c r="N5" s="177">
        <f t="shared" si="8"/>
        <v>0.019569074251416293</v>
      </c>
    </row>
    <row r="6" spans="1:14" ht="15.75">
      <c r="A6" s="136" t="s">
        <v>4</v>
      </c>
      <c r="B6" s="43">
        <f aca="true" t="shared" si="9" ref="B6:B58">B5+1</f>
        <v>5</v>
      </c>
      <c r="C6" s="43">
        <f>LN(B6)</f>
        <v>1.6094379124341003</v>
      </c>
      <c r="D6" s="50">
        <v>215145.3</v>
      </c>
      <c r="E6" s="42">
        <f>C6^2</f>
        <v>2.5902903939802346</v>
      </c>
      <c r="F6" s="42">
        <f>C6*D6</f>
        <v>346263.0025020082</v>
      </c>
      <c r="G6" s="1"/>
      <c r="H6" s="131">
        <v>215145.3</v>
      </c>
      <c r="I6" s="128">
        <f t="shared" si="0"/>
        <v>246924.8636664171</v>
      </c>
      <c r="J6" s="173">
        <f>H6-I6</f>
        <v>-31779.563666417118</v>
      </c>
      <c r="K6" s="183">
        <f t="shared" si="1"/>
        <v>31779.563666417118</v>
      </c>
      <c r="L6" s="181">
        <f>J6*J6</f>
        <v>1009940666.827859</v>
      </c>
      <c r="M6" s="214">
        <f>K6/H6</f>
        <v>0.14771209813282984</v>
      </c>
      <c r="N6" s="181">
        <f>K6/ABS(H6+I6)</f>
        <v>0.0687764892981919</v>
      </c>
    </row>
    <row r="7" spans="1:14" ht="15.75">
      <c r="A7" s="137" t="s">
        <v>5</v>
      </c>
      <c r="B7" s="45">
        <f t="shared" si="9"/>
        <v>6</v>
      </c>
      <c r="C7" s="45">
        <f t="shared" si="3"/>
        <v>1.791759469228055</v>
      </c>
      <c r="D7" s="51">
        <v>220120.4</v>
      </c>
      <c r="E7" s="47">
        <f t="shared" si="4"/>
        <v>3.210401995568401</v>
      </c>
      <c r="F7" s="47">
        <f t="shared" si="5"/>
        <v>394402.8110702671</v>
      </c>
      <c r="G7" s="1"/>
      <c r="H7" s="132">
        <v>220120.4</v>
      </c>
      <c r="I7" s="127">
        <f t="shared" si="0"/>
        <v>274678.22975969024</v>
      </c>
      <c r="J7" s="174">
        <f t="shared" si="6"/>
        <v>-54557.82975969024</v>
      </c>
      <c r="K7" s="183">
        <f t="shared" si="1"/>
        <v>54557.82975969024</v>
      </c>
      <c r="L7" s="177">
        <f t="shared" si="7"/>
        <v>2976556788.0873423</v>
      </c>
      <c r="M7" s="215">
        <f t="shared" si="2"/>
        <v>0.2478544912679163</v>
      </c>
      <c r="N7" s="177">
        <f t="shared" si="8"/>
        <v>0.11026269370670537</v>
      </c>
    </row>
    <row r="8" spans="1:14" ht="15.75">
      <c r="A8" s="137" t="s">
        <v>6</v>
      </c>
      <c r="B8" s="45">
        <f t="shared" si="9"/>
        <v>7</v>
      </c>
      <c r="C8" s="45">
        <f t="shared" si="3"/>
        <v>1.9459101490553132</v>
      </c>
      <c r="D8" s="51">
        <v>224857.6</v>
      </c>
      <c r="E8" s="47">
        <f t="shared" si="4"/>
        <v>3.7865663081964716</v>
      </c>
      <c r="F8" s="47">
        <f t="shared" si="5"/>
        <v>437552.68593222</v>
      </c>
      <c r="G8" s="1"/>
      <c r="H8" s="132">
        <v>224857.6</v>
      </c>
      <c r="I8" s="127">
        <f t="shared" si="0"/>
        <v>298143.3664445844</v>
      </c>
      <c r="J8" s="174">
        <f t="shared" si="6"/>
        <v>-73285.76644458438</v>
      </c>
      <c r="K8" s="183">
        <f t="shared" si="1"/>
        <v>73285.76644458438</v>
      </c>
      <c r="L8" s="177">
        <f t="shared" si="7"/>
        <v>5370803563.370171</v>
      </c>
      <c r="M8" s="215">
        <f t="shared" si="2"/>
        <v>0.3259207891776146</v>
      </c>
      <c r="N8" s="177">
        <f t="shared" si="8"/>
        <v>0.14012548952402273</v>
      </c>
    </row>
    <row r="9" spans="1:14" ht="16.5" thickBot="1">
      <c r="A9" s="138" t="s">
        <v>7</v>
      </c>
      <c r="B9" s="52">
        <f t="shared" si="9"/>
        <v>8</v>
      </c>
      <c r="C9" s="52">
        <f t="shared" si="3"/>
        <v>2.0794415416798357</v>
      </c>
      <c r="D9" s="53">
        <v>244498.9</v>
      </c>
      <c r="E9" s="49">
        <f t="shared" si="4"/>
        <v>4.324077125263812</v>
      </c>
      <c r="F9" s="49">
        <f t="shared" si="5"/>
        <v>508421.16955502395</v>
      </c>
      <c r="G9" s="1"/>
      <c r="H9" s="133">
        <v>244498.9</v>
      </c>
      <c r="I9" s="129">
        <f t="shared" si="0"/>
        <v>318469.7924011219</v>
      </c>
      <c r="J9" s="175">
        <f t="shared" si="6"/>
        <v>-73970.89240112188</v>
      </c>
      <c r="K9" s="183">
        <f t="shared" si="1"/>
        <v>73970.89240112188</v>
      </c>
      <c r="L9" s="182">
        <f t="shared" si="7"/>
        <v>5471692922.61835</v>
      </c>
      <c r="M9" s="216">
        <f t="shared" si="2"/>
        <v>0.3025407983476485</v>
      </c>
      <c r="N9" s="182">
        <f t="shared" si="8"/>
        <v>0.1313943268952099</v>
      </c>
    </row>
    <row r="10" spans="1:14" ht="15.75">
      <c r="A10" s="136" t="s">
        <v>8</v>
      </c>
      <c r="B10" s="45">
        <f t="shared" si="9"/>
        <v>9</v>
      </c>
      <c r="C10" s="43">
        <f>LN(B10)</f>
        <v>2.1972245773362196</v>
      </c>
      <c r="D10" s="50">
        <v>257013.4</v>
      </c>
      <c r="E10" s="42">
        <f>C10^2</f>
        <v>4.827795843250328</v>
      </c>
      <c r="F10" s="42">
        <f>C10*D10</f>
        <v>564716.1591847447</v>
      </c>
      <c r="G10" s="1"/>
      <c r="H10" s="131">
        <v>257013.4</v>
      </c>
      <c r="I10" s="127">
        <f t="shared" si="0"/>
        <v>336398.970747503</v>
      </c>
      <c r="J10" s="173">
        <f>H10-I10</f>
        <v>-79385.57074750299</v>
      </c>
      <c r="K10" s="181">
        <f t="shared" si="1"/>
        <v>79385.57074750299</v>
      </c>
      <c r="L10" s="184">
        <f>J10*J10</f>
        <v>6302068842.906803</v>
      </c>
      <c r="M10" s="214">
        <f>K10/H10</f>
        <v>0.30887716651156316</v>
      </c>
      <c r="N10" s="181">
        <f>K10/ABS(H10+I10)</f>
        <v>0.13377808529253185</v>
      </c>
    </row>
    <row r="11" spans="1:14" ht="15.75">
      <c r="A11" s="137" t="s">
        <v>9</v>
      </c>
      <c r="B11" s="45">
        <f t="shared" si="9"/>
        <v>10</v>
      </c>
      <c r="C11" s="45">
        <f t="shared" si="3"/>
        <v>2.302585092994046</v>
      </c>
      <c r="D11" s="51">
        <v>268251.6</v>
      </c>
      <c r="E11" s="47">
        <f t="shared" si="4"/>
        <v>5.301898110478399</v>
      </c>
      <c r="F11" s="47">
        <f t="shared" si="5"/>
        <v>617672.1353318016</v>
      </c>
      <c r="G11" s="1"/>
      <c r="H11" s="132">
        <v>268251.6</v>
      </c>
      <c r="I11" s="127">
        <f t="shared" si="0"/>
        <v>352437.1672956615</v>
      </c>
      <c r="J11" s="174">
        <f t="shared" si="6"/>
        <v>-84185.56729566155</v>
      </c>
      <c r="K11" s="177">
        <f t="shared" si="1"/>
        <v>84185.56729566155</v>
      </c>
      <c r="L11" s="184">
        <f t="shared" si="7"/>
        <v>7087209740.892359</v>
      </c>
      <c r="M11" s="215">
        <f t="shared" si="2"/>
        <v>0.31383062503881265</v>
      </c>
      <c r="N11" s="177">
        <f t="shared" si="8"/>
        <v>0.13563249688319273</v>
      </c>
    </row>
    <row r="12" spans="1:14" ht="15.75">
      <c r="A12" s="137" t="s">
        <v>10</v>
      </c>
      <c r="B12" s="45">
        <f t="shared" si="9"/>
        <v>11</v>
      </c>
      <c r="C12" s="45">
        <f t="shared" si="3"/>
        <v>2.3978952727983707</v>
      </c>
      <c r="D12" s="51">
        <v>280707.7</v>
      </c>
      <c r="E12" s="47">
        <f t="shared" si="4"/>
        <v>5.749901739308773</v>
      </c>
      <c r="F12" s="47">
        <f t="shared" si="5"/>
        <v>673107.6668681032</v>
      </c>
      <c r="G12" s="1"/>
      <c r="H12" s="132">
        <v>280707.7</v>
      </c>
      <c r="I12" s="127">
        <f t="shared" si="0"/>
        <v>366945.48084365565</v>
      </c>
      <c r="J12" s="174">
        <f t="shared" si="6"/>
        <v>-86237.78084365564</v>
      </c>
      <c r="K12" s="177">
        <f t="shared" si="1"/>
        <v>86237.78084365564</v>
      </c>
      <c r="L12" s="184">
        <f t="shared" si="7"/>
        <v>7436954844.838379</v>
      </c>
      <c r="M12" s="215">
        <f t="shared" si="2"/>
        <v>0.3072155870453701</v>
      </c>
      <c r="N12" s="177">
        <f t="shared" si="8"/>
        <v>0.13315426125340615</v>
      </c>
    </row>
    <row r="13" spans="1:14" ht="16.5" thickBot="1">
      <c r="A13" s="138" t="s">
        <v>11</v>
      </c>
      <c r="B13" s="45">
        <f t="shared" si="9"/>
        <v>12</v>
      </c>
      <c r="C13" s="52">
        <f t="shared" si="3"/>
        <v>2.4849066497880004</v>
      </c>
      <c r="D13" s="53">
        <v>306236.9</v>
      </c>
      <c r="E13" s="49">
        <f t="shared" si="4"/>
        <v>6.174761058160624</v>
      </c>
      <c r="F13" s="49">
        <f t="shared" si="5"/>
        <v>760970.109220463</v>
      </c>
      <c r="G13" s="1"/>
      <c r="H13" s="133">
        <v>306236.9</v>
      </c>
      <c r="I13" s="127">
        <f t="shared" si="0"/>
        <v>380190.5333889346</v>
      </c>
      <c r="J13" s="175">
        <f t="shared" si="6"/>
        <v>-73953.6333889346</v>
      </c>
      <c r="K13" s="182">
        <f t="shared" si="1"/>
        <v>73953.6333889346</v>
      </c>
      <c r="L13" s="184">
        <f t="shared" si="7"/>
        <v>5469139891.424942</v>
      </c>
      <c r="M13" s="216">
        <f t="shared" si="2"/>
        <v>0.24149158180785724</v>
      </c>
      <c r="N13" s="177">
        <f t="shared" si="8"/>
        <v>0.10773700145377485</v>
      </c>
    </row>
    <row r="14" spans="1:14" ht="15.75">
      <c r="A14" s="136" t="s">
        <v>12</v>
      </c>
      <c r="B14" s="43">
        <f t="shared" si="9"/>
        <v>13</v>
      </c>
      <c r="C14" s="43">
        <f>LN(B14)</f>
        <v>2.5649493574615367</v>
      </c>
      <c r="D14" s="50">
        <v>320848.6</v>
      </c>
      <c r="E14" s="42">
        <f>C14^2</f>
        <v>6.5789652063423505</v>
      </c>
      <c r="F14" s="42">
        <f>C14*D14</f>
        <v>822960.4104124336</v>
      </c>
      <c r="G14" s="1"/>
      <c r="H14" s="131">
        <v>320848.6</v>
      </c>
      <c r="I14" s="128">
        <f t="shared" si="0"/>
        <v>392374.8006156072</v>
      </c>
      <c r="J14" s="173">
        <f>H14-I14</f>
        <v>-71526.2006156072</v>
      </c>
      <c r="K14" s="183">
        <f t="shared" si="1"/>
        <v>71526.2006156072</v>
      </c>
      <c r="L14" s="181">
        <f>J14*J14</f>
        <v>5115997374.504088</v>
      </c>
      <c r="M14" s="214">
        <f>K14/H14</f>
        <v>0.2229281992055044</v>
      </c>
      <c r="N14" s="181">
        <f>K14/ABS(H14+I14)</f>
        <v>0.10028582987303912</v>
      </c>
    </row>
    <row r="15" spans="1:14" ht="15.75">
      <c r="A15" s="137" t="s">
        <v>13</v>
      </c>
      <c r="B15" s="45">
        <f t="shared" si="9"/>
        <v>14</v>
      </c>
      <c r="C15" s="45">
        <f t="shared" si="3"/>
        <v>2.6390573296152584</v>
      </c>
      <c r="D15" s="51">
        <v>329595.1</v>
      </c>
      <c r="E15" s="47">
        <f t="shared" si="4"/>
        <v>6.964623588996019</v>
      </c>
      <c r="F15" s="47">
        <f t="shared" si="5"/>
        <v>869820.364460274</v>
      </c>
      <c r="G15" s="1"/>
      <c r="H15" s="132">
        <v>329595.1</v>
      </c>
      <c r="I15" s="127">
        <f t="shared" si="0"/>
        <v>403655.6700738287</v>
      </c>
      <c r="J15" s="174">
        <f t="shared" si="6"/>
        <v>-74060.57007382874</v>
      </c>
      <c r="K15" s="183">
        <f t="shared" si="1"/>
        <v>74060.57007382874</v>
      </c>
      <c r="L15" s="177">
        <f t="shared" si="7"/>
        <v>5484968039.660498</v>
      </c>
      <c r="M15" s="215">
        <f t="shared" si="2"/>
        <v>0.2247016720631731</v>
      </c>
      <c r="N15" s="177">
        <f t="shared" si="8"/>
        <v>0.10100305802116213</v>
      </c>
    </row>
    <row r="16" spans="1:14" ht="15.75">
      <c r="A16" s="137" t="s">
        <v>14</v>
      </c>
      <c r="B16" s="45">
        <f t="shared" si="9"/>
        <v>15</v>
      </c>
      <c r="C16" s="45">
        <f t="shared" si="3"/>
        <v>2.70805020110221</v>
      </c>
      <c r="D16" s="51">
        <v>336112.3</v>
      </c>
      <c r="E16" s="47">
        <f t="shared" si="4"/>
        <v>7.333535891689721</v>
      </c>
      <c r="F16" s="47">
        <f t="shared" si="5"/>
        <v>910208.9816079263</v>
      </c>
      <c r="G16" s="1"/>
      <c r="H16" s="132">
        <v>336112.3</v>
      </c>
      <c r="I16" s="127">
        <f t="shared" si="0"/>
        <v>414157.9082834742</v>
      </c>
      <c r="J16" s="174">
        <f t="shared" si="6"/>
        <v>-78045.60828347423</v>
      </c>
      <c r="K16" s="183">
        <f t="shared" si="1"/>
        <v>78045.60828347423</v>
      </c>
      <c r="L16" s="177">
        <f t="shared" si="7"/>
        <v>6091116972.337501</v>
      </c>
      <c r="M16" s="215">
        <f t="shared" si="2"/>
        <v>0.23220098842998077</v>
      </c>
      <c r="N16" s="177">
        <f t="shared" si="8"/>
        <v>0.104023333756025</v>
      </c>
    </row>
    <row r="17" spans="1:14" ht="16.5" thickBot="1">
      <c r="A17" s="138" t="s">
        <v>15</v>
      </c>
      <c r="B17" s="52">
        <f t="shared" si="9"/>
        <v>16</v>
      </c>
      <c r="C17" s="52">
        <f t="shared" si="3"/>
        <v>2.772588722239781</v>
      </c>
      <c r="D17" s="53">
        <v>365625.2</v>
      </c>
      <c r="E17" s="49">
        <f t="shared" si="4"/>
        <v>7.687248222691222</v>
      </c>
      <c r="F17" s="49">
        <f t="shared" si="5"/>
        <v>1013728.3060866644</v>
      </c>
      <c r="G17" s="1"/>
      <c r="H17" s="133">
        <v>365625.2</v>
      </c>
      <c r="I17" s="129">
        <f t="shared" si="0"/>
        <v>423982.09603036626</v>
      </c>
      <c r="J17" s="175">
        <f t="shared" si="6"/>
        <v>-58356.896030366246</v>
      </c>
      <c r="K17" s="183">
        <f t="shared" si="1"/>
        <v>58356.896030366246</v>
      </c>
      <c r="L17" s="182">
        <f t="shared" si="7"/>
        <v>3405527314.298976</v>
      </c>
      <c r="M17" s="216">
        <f t="shared" si="2"/>
        <v>0.15960851722027433</v>
      </c>
      <c r="N17" s="182">
        <f t="shared" si="8"/>
        <v>0.0739062269608537</v>
      </c>
    </row>
    <row r="18" spans="1:14" ht="15.75">
      <c r="A18" s="136" t="s">
        <v>16</v>
      </c>
      <c r="B18" s="45">
        <f t="shared" si="9"/>
        <v>17</v>
      </c>
      <c r="C18" s="43">
        <f>LN(B18)</f>
        <v>2.833213344056216</v>
      </c>
      <c r="D18" s="50">
        <v>414840.1</v>
      </c>
      <c r="E18" s="42">
        <f>C18^2</f>
        <v>8.027097852938207</v>
      </c>
      <c r="F18" s="42">
        <f>C18*D18</f>
        <v>1175330.5069696151</v>
      </c>
      <c r="G18" s="1"/>
      <c r="H18" s="131">
        <v>414840.1</v>
      </c>
      <c r="I18" s="128">
        <f t="shared" si="0"/>
        <v>433210.5018926485</v>
      </c>
      <c r="J18" s="173">
        <f>H18-I18</f>
        <v>-18370.401892648544</v>
      </c>
      <c r="K18" s="181">
        <f t="shared" si="1"/>
        <v>18370.401892648544</v>
      </c>
      <c r="L18" s="184">
        <f>J18*J18</f>
        <v>337471665.6974252</v>
      </c>
      <c r="M18" s="214">
        <f>K18/H18</f>
        <v>0.044283090985294205</v>
      </c>
      <c r="N18" s="181">
        <f>K18/ABS(H18+I18)</f>
        <v>0.02166191716820924</v>
      </c>
    </row>
    <row r="19" spans="1:14" ht="15.75">
      <c r="A19" s="137" t="s">
        <v>17</v>
      </c>
      <c r="B19" s="45">
        <f t="shared" si="9"/>
        <v>18</v>
      </c>
      <c r="C19" s="45">
        <f t="shared" si="3"/>
        <v>2.8903717578961645</v>
      </c>
      <c r="D19" s="51">
        <v>441183</v>
      </c>
      <c r="E19" s="47">
        <f t="shared" si="4"/>
        <v>8.354248898843764</v>
      </c>
      <c r="F19" s="47">
        <f t="shared" si="5"/>
        <v>1275182.8832639034</v>
      </c>
      <c r="G19" s="1"/>
      <c r="H19" s="132">
        <v>441183</v>
      </c>
      <c r="I19" s="127">
        <f t="shared" si="0"/>
        <v>441911.2743767473</v>
      </c>
      <c r="J19" s="174">
        <f t="shared" si="6"/>
        <v>-728.2743767473148</v>
      </c>
      <c r="K19" s="177">
        <f t="shared" si="1"/>
        <v>728.2743767473148</v>
      </c>
      <c r="L19" s="184">
        <f t="shared" si="7"/>
        <v>530383.5678266898</v>
      </c>
      <c r="M19" s="215">
        <f t="shared" si="2"/>
        <v>0.0016507308231443977</v>
      </c>
      <c r="N19" s="177">
        <f t="shared" si="8"/>
        <v>0.0008246847453079704</v>
      </c>
    </row>
    <row r="20" spans="1:14" ht="15.75">
      <c r="A20" s="137" t="s">
        <v>18</v>
      </c>
      <c r="B20" s="45">
        <f t="shared" si="9"/>
        <v>19</v>
      </c>
      <c r="C20" s="45">
        <f t="shared" si="3"/>
        <v>2.9444389791664403</v>
      </c>
      <c r="D20" s="51">
        <v>443649.1</v>
      </c>
      <c r="E20" s="47">
        <f t="shared" si="4"/>
        <v>8.669720902034708</v>
      </c>
      <c r="F20" s="47">
        <f t="shared" si="5"/>
        <v>1306297.7031121098</v>
      </c>
      <c r="G20" s="1"/>
      <c r="H20" s="132">
        <v>443649.1</v>
      </c>
      <c r="I20" s="127">
        <f t="shared" si="0"/>
        <v>450141.4991068694</v>
      </c>
      <c r="J20" s="174">
        <f t="shared" si="6"/>
        <v>-6492.399106869416</v>
      </c>
      <c r="K20" s="177">
        <f t="shared" si="1"/>
        <v>6492.399106869416</v>
      </c>
      <c r="L20" s="184">
        <f t="shared" si="7"/>
        <v>42151246.16287879</v>
      </c>
      <c r="M20" s="215">
        <f t="shared" si="2"/>
        <v>0.014634086053300719</v>
      </c>
      <c r="N20" s="177">
        <f t="shared" si="8"/>
        <v>0.007263892810415572</v>
      </c>
    </row>
    <row r="21" spans="1:14" ht="16.5" thickBot="1">
      <c r="A21" s="138" t="s">
        <v>19</v>
      </c>
      <c r="B21" s="45">
        <f t="shared" si="9"/>
        <v>20</v>
      </c>
      <c r="C21" s="52">
        <f t="shared" si="3"/>
        <v>2.995732273553991</v>
      </c>
      <c r="D21" s="53">
        <v>473921.5</v>
      </c>
      <c r="E21" s="49">
        <f t="shared" si="4"/>
        <v>8.974411854812963</v>
      </c>
      <c r="F21" s="49">
        <f t="shared" si="5"/>
        <v>1419741.9326811177</v>
      </c>
      <c r="G21" s="1"/>
      <c r="H21" s="133">
        <v>473921.5</v>
      </c>
      <c r="I21" s="129">
        <f t="shared" si="0"/>
        <v>457949.47092490585</v>
      </c>
      <c r="J21" s="175">
        <f t="shared" si="6"/>
        <v>15972.02907509415</v>
      </c>
      <c r="K21" s="182">
        <f t="shared" si="1"/>
        <v>15972.02907509415</v>
      </c>
      <c r="L21" s="184">
        <f t="shared" si="7"/>
        <v>255105712.7756529</v>
      </c>
      <c r="M21" s="216">
        <f t="shared" si="2"/>
        <v>0.0337018452952528</v>
      </c>
      <c r="N21" s="177">
        <f t="shared" si="8"/>
        <v>0.017139743133366952</v>
      </c>
    </row>
    <row r="22" spans="1:14" ht="15.75">
      <c r="A22" s="136" t="s">
        <v>20</v>
      </c>
      <c r="B22" s="43">
        <f t="shared" si="9"/>
        <v>21</v>
      </c>
      <c r="C22" s="43">
        <f>LN(B22)</f>
        <v>3.044522437723423</v>
      </c>
      <c r="D22" s="50">
        <v>493387.1</v>
      </c>
      <c r="E22" s="42">
        <f>C22^2</f>
        <v>9.269116873801375</v>
      </c>
      <c r="F22" s="42">
        <f>C22*D22</f>
        <v>1502128.0964332903</v>
      </c>
      <c r="G22" s="1"/>
      <c r="H22" s="131">
        <v>493387.1</v>
      </c>
      <c r="I22" s="128">
        <f t="shared" si="0"/>
        <v>465376.41106164147</v>
      </c>
      <c r="J22" s="173">
        <f>H22-I22</f>
        <v>28010.688938358508</v>
      </c>
      <c r="K22" s="183">
        <f t="shared" si="1"/>
        <v>28010.688938358508</v>
      </c>
      <c r="L22" s="181">
        <f>J22*J22</f>
        <v>784598694.8014797</v>
      </c>
      <c r="M22" s="214">
        <f>K22/H22</f>
        <v>0.05677223611715529</v>
      </c>
      <c r="N22" s="181">
        <f>K22/ABS(H22+I22)</f>
        <v>0.029215430724248356</v>
      </c>
    </row>
    <row r="23" spans="1:14" ht="15.75">
      <c r="A23" s="137" t="s">
        <v>21</v>
      </c>
      <c r="B23" s="45">
        <f t="shared" si="9"/>
        <v>22</v>
      </c>
      <c r="C23" s="45">
        <f t="shared" si="3"/>
        <v>3.091042453358316</v>
      </c>
      <c r="D23" s="51">
        <v>512073.8</v>
      </c>
      <c r="E23" s="47">
        <f t="shared" si="4"/>
        <v>9.554543448463397</v>
      </c>
      <c r="F23" s="47">
        <f t="shared" si="5"/>
        <v>1582841.8550525156</v>
      </c>
      <c r="G23" s="1"/>
      <c r="H23" s="132">
        <v>512073.8</v>
      </c>
      <c r="I23" s="127">
        <f t="shared" si="0"/>
        <v>472457.78447290004</v>
      </c>
      <c r="J23" s="174">
        <f t="shared" si="6"/>
        <v>39616.01552709995</v>
      </c>
      <c r="K23" s="183">
        <f t="shared" si="1"/>
        <v>39616.01552709995</v>
      </c>
      <c r="L23" s="177">
        <f t="shared" si="7"/>
        <v>1569428686.2434247</v>
      </c>
      <c r="M23" s="215">
        <f t="shared" si="2"/>
        <v>0.07736387904848863</v>
      </c>
      <c r="N23" s="177">
        <f t="shared" si="8"/>
        <v>0.040238440444051</v>
      </c>
    </row>
    <row r="24" spans="1:14" ht="15.75">
      <c r="A24" s="137" t="s">
        <v>22</v>
      </c>
      <c r="B24" s="45">
        <f t="shared" si="9"/>
        <v>23</v>
      </c>
      <c r="C24" s="45">
        <f t="shared" si="3"/>
        <v>3.1354942159291497</v>
      </c>
      <c r="D24" s="51">
        <v>527451.8</v>
      </c>
      <c r="E24" s="47">
        <f t="shared" si="4"/>
        <v>9.831323978125154</v>
      </c>
      <c r="F24" s="47">
        <f t="shared" si="5"/>
        <v>1653822.0680814188</v>
      </c>
      <c r="G24" s="1"/>
      <c r="H24" s="132">
        <v>527451.8</v>
      </c>
      <c r="I24" s="127">
        <f t="shared" si="0"/>
        <v>479224.32410657493</v>
      </c>
      <c r="J24" s="174">
        <f t="shared" si="6"/>
        <v>48227.475893425115</v>
      </c>
      <c r="K24" s="183">
        <f t="shared" si="1"/>
        <v>48227.475893425115</v>
      </c>
      <c r="L24" s="177">
        <f t="shared" si="7"/>
        <v>2325889431.0509005</v>
      </c>
      <c r="M24" s="215">
        <f t="shared" si="2"/>
        <v>0.09143484938988759</v>
      </c>
      <c r="N24" s="177">
        <f t="shared" si="8"/>
        <v>0.04790763855279372</v>
      </c>
    </row>
    <row r="25" spans="1:14" ht="16.5" thickBot="1">
      <c r="A25" s="138" t="s">
        <v>23</v>
      </c>
      <c r="B25" s="52">
        <f t="shared" si="9"/>
        <v>24</v>
      </c>
      <c r="C25" s="52">
        <f t="shared" si="3"/>
        <v>3.1780538303479458</v>
      </c>
      <c r="D25" s="53">
        <v>549745.5</v>
      </c>
      <c r="E25" s="49">
        <f t="shared" si="4"/>
        <v>10.100026148589249</v>
      </c>
      <c r="F25" s="49">
        <f t="shared" si="5"/>
        <v>1747120.7919915465</v>
      </c>
      <c r="G25" s="1"/>
      <c r="H25" s="133">
        <v>549745.5</v>
      </c>
      <c r="I25" s="129">
        <f t="shared" si="0"/>
        <v>485702.837018179</v>
      </c>
      <c r="J25" s="175">
        <f t="shared" si="6"/>
        <v>64042.66298182099</v>
      </c>
      <c r="K25" s="183">
        <f t="shared" si="1"/>
        <v>64042.66298182099</v>
      </c>
      <c r="L25" s="182">
        <f t="shared" si="7"/>
        <v>4101462681.803105</v>
      </c>
      <c r="M25" s="216">
        <f t="shared" si="2"/>
        <v>0.11649511088643925</v>
      </c>
      <c r="N25" s="182">
        <f t="shared" si="8"/>
        <v>0.06185017706073791</v>
      </c>
    </row>
    <row r="26" spans="1:14" ht="15.75">
      <c r="A26" s="136" t="s">
        <v>24</v>
      </c>
      <c r="B26" s="43">
        <f t="shared" si="9"/>
        <v>25</v>
      </c>
      <c r="C26" s="43">
        <f>LN(B26)</f>
        <v>3.2188758248682006</v>
      </c>
      <c r="D26" s="50">
        <v>559644.4</v>
      </c>
      <c r="E26" s="42">
        <f>C26^2</f>
        <v>10.361161575920939</v>
      </c>
      <c r="F26" s="42">
        <f>C26*D26</f>
        <v>1801425.8296828694</v>
      </c>
      <c r="G26" s="1"/>
      <c r="H26" s="131">
        <v>559644.4</v>
      </c>
      <c r="I26" s="128">
        <f t="shared" si="0"/>
        <v>491916.8458194454</v>
      </c>
      <c r="J26" s="173">
        <f>H26-I26</f>
        <v>67727.55418055464</v>
      </c>
      <c r="K26" s="181">
        <f t="shared" si="1"/>
        <v>67727.55418055464</v>
      </c>
      <c r="L26" s="184">
        <f>J26*J26</f>
        <v>4587021595.279964</v>
      </c>
      <c r="M26" s="214">
        <f>K26/H26</f>
        <v>0.12101890804331221</v>
      </c>
      <c r="N26" s="181">
        <f>K26/ABS(H26+I26)</f>
        <v>0.06440666623062634</v>
      </c>
    </row>
    <row r="27" spans="1:14" ht="15.75">
      <c r="A27" s="137" t="s">
        <v>25</v>
      </c>
      <c r="B27" s="45">
        <f t="shared" si="9"/>
        <v>26</v>
      </c>
      <c r="C27" s="45">
        <f t="shared" si="3"/>
        <v>3.258096538021482</v>
      </c>
      <c r="D27" s="51">
        <v>554565.3</v>
      </c>
      <c r="E27" s="47">
        <f t="shared" si="4"/>
        <v>10.615193051067568</v>
      </c>
      <c r="F27" s="47">
        <f t="shared" si="5"/>
        <v>1806827.2840368447</v>
      </c>
      <c r="G27" s="1"/>
      <c r="H27" s="132">
        <v>554565.3</v>
      </c>
      <c r="I27" s="127">
        <f t="shared" si="0"/>
        <v>497887.10424485157</v>
      </c>
      <c r="J27" s="174">
        <f t="shared" si="6"/>
        <v>56678.19575514848</v>
      </c>
      <c r="K27" s="177">
        <f t="shared" si="1"/>
        <v>56678.19575514848</v>
      </c>
      <c r="L27" s="184">
        <f t="shared" si="7"/>
        <v>3212417874.0589314</v>
      </c>
      <c r="M27" s="215">
        <f t="shared" si="2"/>
        <v>0.10220292498493591</v>
      </c>
      <c r="N27" s="177">
        <f t="shared" si="8"/>
        <v>0.05385345268493717</v>
      </c>
    </row>
    <row r="28" spans="1:14" ht="15.75">
      <c r="A28" s="137" t="s">
        <v>26</v>
      </c>
      <c r="B28" s="45">
        <f t="shared" si="9"/>
        <v>27</v>
      </c>
      <c r="C28" s="45">
        <f t="shared" si="3"/>
        <v>3.295836866004329</v>
      </c>
      <c r="D28" s="51">
        <v>542409.4</v>
      </c>
      <c r="E28" s="47">
        <f t="shared" si="4"/>
        <v>10.862540647313239</v>
      </c>
      <c r="F28" s="47">
        <f t="shared" si="5"/>
        <v>1787692.8969872887</v>
      </c>
      <c r="G28" s="1"/>
      <c r="H28" s="132">
        <v>542409.4</v>
      </c>
      <c r="I28" s="127">
        <f t="shared" si="0"/>
        <v>503632.01536456007</v>
      </c>
      <c r="J28" s="174">
        <f t="shared" si="6"/>
        <v>38777.38463543996</v>
      </c>
      <c r="K28" s="177">
        <f t="shared" si="1"/>
        <v>38777.38463543996</v>
      </c>
      <c r="L28" s="184">
        <f t="shared" si="7"/>
        <v>1503685559.164855</v>
      </c>
      <c r="M28" s="215">
        <f t="shared" si="2"/>
        <v>0.07149098934391615</v>
      </c>
      <c r="N28" s="177">
        <f t="shared" si="8"/>
        <v>0.037070601666307344</v>
      </c>
    </row>
    <row r="29" spans="1:14" ht="16.5" thickBot="1">
      <c r="A29" s="138" t="s">
        <v>27</v>
      </c>
      <c r="B29" s="52">
        <f t="shared" si="9"/>
        <v>28</v>
      </c>
      <c r="C29" s="52">
        <f t="shared" si="3"/>
        <v>3.332204510175204</v>
      </c>
      <c r="D29" s="53">
        <v>536933.7</v>
      </c>
      <c r="E29" s="49">
        <f t="shared" si="4"/>
        <v>11.10358689763197</v>
      </c>
      <c r="F29" s="49">
        <f t="shared" si="5"/>
        <v>1789172.8968050596</v>
      </c>
      <c r="G29" s="1"/>
      <c r="H29" s="133">
        <v>536933.7</v>
      </c>
      <c r="I29" s="129">
        <f t="shared" si="0"/>
        <v>509167.9737030731</v>
      </c>
      <c r="J29" s="175">
        <f t="shared" si="6"/>
        <v>27765.72629692685</v>
      </c>
      <c r="K29" s="182">
        <f t="shared" si="1"/>
        <v>27765.72629692685</v>
      </c>
      <c r="L29" s="184">
        <f t="shared" si="7"/>
        <v>770935556.7958552</v>
      </c>
      <c r="M29" s="216">
        <f t="shared" si="2"/>
        <v>0.05171164763345428</v>
      </c>
      <c r="N29" s="177">
        <f t="shared" si="8"/>
        <v>0.026542091457171218</v>
      </c>
    </row>
    <row r="30" spans="1:14" ht="15.75">
      <c r="A30" s="136" t="s">
        <v>28</v>
      </c>
      <c r="B30" s="43">
        <f t="shared" si="9"/>
        <v>29</v>
      </c>
      <c r="C30" s="43">
        <f>LN(B30)</f>
        <v>3.367295829986474</v>
      </c>
      <c r="D30" s="50">
        <v>548175</v>
      </c>
      <c r="E30" s="42">
        <f>C30^2</f>
        <v>11.338681206644297</v>
      </c>
      <c r="F30" s="42">
        <f>C30*D30</f>
        <v>1845867.3916028354</v>
      </c>
      <c r="G30" s="1"/>
      <c r="H30" s="131">
        <v>548175</v>
      </c>
      <c r="I30" s="128">
        <f t="shared" si="0"/>
        <v>514509.64729638794</v>
      </c>
      <c r="J30" s="173">
        <f>H30-I30</f>
        <v>33665.352703612065</v>
      </c>
      <c r="K30" s="183">
        <f t="shared" si="1"/>
        <v>33665.352703612065</v>
      </c>
      <c r="L30" s="181">
        <f>J30*J30</f>
        <v>1133355972.6586</v>
      </c>
      <c r="M30" s="214">
        <f>K30/H30</f>
        <v>0.06141351339191328</v>
      </c>
      <c r="N30" s="181">
        <f>K30/ABS(H30+I30)</f>
        <v>0.031679532389275816</v>
      </c>
    </row>
    <row r="31" spans="1:14" ht="15.75">
      <c r="A31" s="137" t="s">
        <v>29</v>
      </c>
      <c r="B31" s="45">
        <f t="shared" si="9"/>
        <v>30</v>
      </c>
      <c r="C31" s="45">
        <f t="shared" si="3"/>
        <v>3.4011973816621555</v>
      </c>
      <c r="D31" s="51">
        <v>543395.4</v>
      </c>
      <c r="E31" s="47">
        <f t="shared" si="4"/>
        <v>11.568143629025503</v>
      </c>
      <c r="F31" s="47">
        <f t="shared" si="5"/>
        <v>1848195.0116872597</v>
      </c>
      <c r="G31" s="1"/>
      <c r="H31" s="132">
        <v>543395.4</v>
      </c>
      <c r="I31" s="127">
        <f t="shared" si="0"/>
        <v>519670.2119127186</v>
      </c>
      <c r="J31" s="174">
        <f t="shared" si="6"/>
        <v>23725.18808728142</v>
      </c>
      <c r="K31" s="183">
        <f t="shared" si="1"/>
        <v>23725.18808728142</v>
      </c>
      <c r="L31" s="177">
        <f t="shared" si="7"/>
        <v>562884549.7768803</v>
      </c>
      <c r="M31" s="215">
        <f t="shared" si="2"/>
        <v>0.0436610028117305</v>
      </c>
      <c r="N31" s="177">
        <f t="shared" si="8"/>
        <v>0.022317708165344497</v>
      </c>
    </row>
    <row r="32" spans="1:14" ht="15.75">
      <c r="A32" s="137" t="s">
        <v>30</v>
      </c>
      <c r="B32" s="45">
        <f t="shared" si="9"/>
        <v>31</v>
      </c>
      <c r="C32" s="45">
        <f t="shared" si="3"/>
        <v>3.4339872044851463</v>
      </c>
      <c r="D32" s="51">
        <v>547678.9</v>
      </c>
      <c r="E32" s="47">
        <f t="shared" si="4"/>
        <v>11.79226812056771</v>
      </c>
      <c r="F32" s="47">
        <f t="shared" si="5"/>
        <v>1880722.3347665002</v>
      </c>
      <c r="G32" s="1"/>
      <c r="H32" s="132">
        <v>547678.9</v>
      </c>
      <c r="I32" s="127">
        <f t="shared" si="0"/>
        <v>524661.546853811</v>
      </c>
      <c r="J32" s="174">
        <f t="shared" si="6"/>
        <v>23017.35314618901</v>
      </c>
      <c r="K32" s="183">
        <f t="shared" si="1"/>
        <v>23017.35314618901</v>
      </c>
      <c r="L32" s="177">
        <f t="shared" si="7"/>
        <v>529798545.85637707</v>
      </c>
      <c r="M32" s="215">
        <f t="shared" si="2"/>
        <v>0.042027094975156075</v>
      </c>
      <c r="N32" s="177">
        <f t="shared" si="8"/>
        <v>0.02146459476905929</v>
      </c>
    </row>
    <row r="33" spans="1:14" ht="16.5" thickBot="1">
      <c r="A33" s="138" t="s">
        <v>31</v>
      </c>
      <c r="B33" s="52">
        <f t="shared" si="9"/>
        <v>32</v>
      </c>
      <c r="C33" s="52">
        <f t="shared" si="3"/>
        <v>3.4657359027997265</v>
      </c>
      <c r="D33" s="53">
        <v>549152.9</v>
      </c>
      <c r="E33" s="49">
        <f t="shared" si="4"/>
        <v>12.011325347955035</v>
      </c>
      <c r="F33" s="49">
        <f t="shared" si="5"/>
        <v>1903218.921656588</v>
      </c>
      <c r="G33" s="1"/>
      <c r="H33" s="133">
        <v>549152.9</v>
      </c>
      <c r="I33" s="129">
        <f t="shared" si="0"/>
        <v>529494.3996596107</v>
      </c>
      <c r="J33" s="175">
        <f t="shared" si="6"/>
        <v>19658.50034038932</v>
      </c>
      <c r="K33" s="183">
        <f t="shared" si="1"/>
        <v>19658.50034038932</v>
      </c>
      <c r="L33" s="182">
        <f t="shared" si="7"/>
        <v>386456635.63308704</v>
      </c>
      <c r="M33" s="216">
        <f t="shared" si="2"/>
        <v>0.03579786310950797</v>
      </c>
      <c r="N33" s="182">
        <f t="shared" si="8"/>
        <v>0.01822514212624735</v>
      </c>
    </row>
    <row r="34" spans="1:14" ht="15.75">
      <c r="A34" s="136" t="s">
        <v>32</v>
      </c>
      <c r="B34" s="45">
        <f t="shared" si="9"/>
        <v>33</v>
      </c>
      <c r="C34" s="43">
        <f>LN(B34)</f>
        <v>3.4965075614664802</v>
      </c>
      <c r="D34" s="50">
        <v>568758.9</v>
      </c>
      <c r="E34" s="42">
        <f>C34^2</f>
        <v>12.225565127392272</v>
      </c>
      <c r="F34" s="42">
        <f>C34*D34</f>
        <v>1988669.7945013577</v>
      </c>
      <c r="G34" s="1"/>
      <c r="H34" s="131">
        <v>568758.9</v>
      </c>
      <c r="I34" s="128">
        <f aca="true" t="shared" si="10" ref="I34:I58">D$76+D$77*C34</f>
        <v>534178.5254607127</v>
      </c>
      <c r="J34" s="173">
        <f>H34-I34</f>
        <v>34580.374539287295</v>
      </c>
      <c r="K34" s="181">
        <f aca="true" t="shared" si="11" ref="K34:K61">ABS(J34)</f>
        <v>34580.374539287295</v>
      </c>
      <c r="L34" s="184">
        <f>J34*J34</f>
        <v>1195802303.277389</v>
      </c>
      <c r="M34" s="214">
        <f>K34/H34</f>
        <v>0.06079970711541796</v>
      </c>
      <c r="N34" s="181">
        <f>K34/ABS(H34+I34)</f>
        <v>0.03135297954445836</v>
      </c>
    </row>
    <row r="35" spans="1:14" ht="15.75">
      <c r="A35" s="137" t="s">
        <v>33</v>
      </c>
      <c r="B35" s="45">
        <f t="shared" si="9"/>
        <v>34</v>
      </c>
      <c r="C35" s="45">
        <f t="shared" si="3"/>
        <v>3.5263605246161616</v>
      </c>
      <c r="D35" s="51">
        <v>583195.2</v>
      </c>
      <c r="E35" s="47">
        <f t="shared" si="4"/>
        <v>12.43521854957117</v>
      </c>
      <c r="F35" s="47">
        <f t="shared" si="5"/>
        <v>2056556.5314256272</v>
      </c>
      <c r="G35" s="1"/>
      <c r="H35" s="132">
        <v>583195.2</v>
      </c>
      <c r="I35" s="127">
        <f t="shared" si="10"/>
        <v>538722.8055218928</v>
      </c>
      <c r="J35" s="174">
        <f t="shared" si="6"/>
        <v>44472.394478107104</v>
      </c>
      <c r="K35" s="177">
        <f t="shared" si="11"/>
        <v>44472.394478107104</v>
      </c>
      <c r="L35" s="184">
        <f t="shared" si="7"/>
        <v>1977793870.6163712</v>
      </c>
      <c r="M35" s="215">
        <f t="shared" si="2"/>
        <v>0.07625644806079869</v>
      </c>
      <c r="N35" s="177">
        <f t="shared" si="8"/>
        <v>0.03963961203868858</v>
      </c>
    </row>
    <row r="36" spans="1:14" ht="15.75">
      <c r="A36" s="137" t="s">
        <v>34</v>
      </c>
      <c r="B36" s="45">
        <f t="shared" si="9"/>
        <v>35</v>
      </c>
      <c r="C36" s="45">
        <f t="shared" si="3"/>
        <v>3.5553480614894135</v>
      </c>
      <c r="D36" s="51">
        <v>589675.9</v>
      </c>
      <c r="E36" s="47">
        <f t="shared" si="4"/>
        <v>12.640499838336531</v>
      </c>
      <c r="F36" s="47">
        <f t="shared" si="5"/>
        <v>2096503.0679720254</v>
      </c>
      <c r="G36" s="1"/>
      <c r="H36" s="132">
        <v>589675.9</v>
      </c>
      <c r="I36" s="127">
        <f t="shared" si="10"/>
        <v>543135.3485976127</v>
      </c>
      <c r="J36" s="174">
        <f t="shared" si="6"/>
        <v>46540.551402387326</v>
      </c>
      <c r="K36" s="177">
        <f t="shared" si="11"/>
        <v>46540.551402387326</v>
      </c>
      <c r="L36" s="184">
        <f t="shared" si="7"/>
        <v>2166022924.838257</v>
      </c>
      <c r="M36" s="215">
        <f t="shared" si="2"/>
        <v>0.0789256461089682</v>
      </c>
      <c r="N36" s="177">
        <f t="shared" si="8"/>
        <v>0.041084118347167874</v>
      </c>
    </row>
    <row r="37" spans="1:14" ht="16.5" thickBot="1">
      <c r="A37" s="138" t="s">
        <v>35</v>
      </c>
      <c r="B37" s="45">
        <f t="shared" si="9"/>
        <v>36</v>
      </c>
      <c r="C37" s="52">
        <f t="shared" si="3"/>
        <v>3.58351893845611</v>
      </c>
      <c r="D37" s="53">
        <v>595970.9</v>
      </c>
      <c r="E37" s="49">
        <f t="shared" si="4"/>
        <v>12.841607982273604</v>
      </c>
      <c r="F37" s="49">
        <f t="shared" si="5"/>
        <v>2135673.0069187325</v>
      </c>
      <c r="G37" s="1"/>
      <c r="H37" s="133">
        <v>595970.9</v>
      </c>
      <c r="I37" s="129">
        <f t="shared" si="10"/>
        <v>547423.5780059916</v>
      </c>
      <c r="J37" s="175">
        <f t="shared" si="6"/>
        <v>48547.32199400838</v>
      </c>
      <c r="K37" s="182">
        <f t="shared" si="11"/>
        <v>48547.32199400838</v>
      </c>
      <c r="L37" s="184">
        <f t="shared" si="7"/>
        <v>2356842472.78993</v>
      </c>
      <c r="M37" s="216">
        <f t="shared" si="2"/>
        <v>0.08145921553218181</v>
      </c>
      <c r="N37" s="177">
        <f t="shared" si="8"/>
        <v>0.04245894389718574</v>
      </c>
    </row>
    <row r="38" spans="1:14" ht="15.75">
      <c r="A38" s="136" t="s">
        <v>36</v>
      </c>
      <c r="B38" s="43">
        <f t="shared" si="9"/>
        <v>37</v>
      </c>
      <c r="C38" s="43">
        <f>LN(B38)</f>
        <v>3.6109179126442243</v>
      </c>
      <c r="D38" s="50">
        <v>596536.5</v>
      </c>
      <c r="E38" s="42">
        <f>C38^2</f>
        <v>13.038728171854922</v>
      </c>
      <c r="F38" s="42">
        <f>C38*D38</f>
        <v>2154044.333396091</v>
      </c>
      <c r="G38" s="1"/>
      <c r="H38" s="131">
        <v>596536.5</v>
      </c>
      <c r="I38" s="128">
        <f t="shared" si="10"/>
        <v>551594.3067700195</v>
      </c>
      <c r="J38" s="173">
        <f>H38-I38</f>
        <v>44942.193229980534</v>
      </c>
      <c r="K38" s="183">
        <f t="shared" si="11"/>
        <v>44942.193229980534</v>
      </c>
      <c r="L38" s="181">
        <f>J38*J38</f>
        <v>2019800732.320908</v>
      </c>
      <c r="M38" s="214">
        <f>K38/H38</f>
        <v>0.07533854714670525</v>
      </c>
      <c r="N38" s="181">
        <f>K38/ABS(H38+I38)</f>
        <v>0.03914379177440088</v>
      </c>
    </row>
    <row r="39" spans="1:14" ht="15.75">
      <c r="A39" s="137" t="s">
        <v>37</v>
      </c>
      <c r="B39" s="45">
        <f t="shared" si="9"/>
        <v>38</v>
      </c>
      <c r="C39" s="45">
        <f t="shared" si="3"/>
        <v>3.6375861597263857</v>
      </c>
      <c r="D39" s="51">
        <v>594155.3</v>
      </c>
      <c r="E39" s="47">
        <f t="shared" si="4"/>
        <v>13.232033069432955</v>
      </c>
      <c r="F39" s="47">
        <f t="shared" si="5"/>
        <v>2161291.0960080787</v>
      </c>
      <c r="G39" s="1"/>
      <c r="H39" s="132">
        <v>594155.3</v>
      </c>
      <c r="I39" s="127">
        <f t="shared" si="10"/>
        <v>555653.8027361138</v>
      </c>
      <c r="J39" s="174">
        <f t="shared" si="6"/>
        <v>38501.49726388627</v>
      </c>
      <c r="K39" s="183">
        <f t="shared" si="11"/>
        <v>38501.49726388627</v>
      </c>
      <c r="L39" s="177">
        <f t="shared" si="7"/>
        <v>1482365291.5610418</v>
      </c>
      <c r="M39" s="215">
        <f t="shared" si="2"/>
        <v>0.06480039354001599</v>
      </c>
      <c r="N39" s="177">
        <f t="shared" si="8"/>
        <v>0.0334851212886271</v>
      </c>
    </row>
    <row r="40" spans="1:14" ht="15.75">
      <c r="A40" s="137" t="s">
        <v>38</v>
      </c>
      <c r="B40" s="45">
        <f t="shared" si="9"/>
        <v>39</v>
      </c>
      <c r="C40" s="45">
        <f t="shared" si="3"/>
        <v>3.6635616461296463</v>
      </c>
      <c r="D40" s="51">
        <v>580665.6</v>
      </c>
      <c r="E40" s="47">
        <f t="shared" si="4"/>
        <v>13.421683934992164</v>
      </c>
      <c r="F40" s="47">
        <f t="shared" si="5"/>
        <v>2127304.2213868587</v>
      </c>
      <c r="G40" s="1"/>
      <c r="H40" s="132">
        <v>580665.6</v>
      </c>
      <c r="I40" s="127">
        <f t="shared" si="10"/>
        <v>559607.8452326643</v>
      </c>
      <c r="J40" s="174">
        <f t="shared" si="6"/>
        <v>21057.75476733572</v>
      </c>
      <c r="K40" s="183">
        <f t="shared" si="11"/>
        <v>21057.75476733572</v>
      </c>
      <c r="L40" s="177">
        <f t="shared" si="7"/>
        <v>443429035.8412502</v>
      </c>
      <c r="M40" s="215">
        <f t="shared" si="2"/>
        <v>0.03626485668745612</v>
      </c>
      <c r="N40" s="177">
        <f t="shared" si="8"/>
        <v>0.01846728506690695</v>
      </c>
    </row>
    <row r="41" spans="1:14" ht="16.5" thickBot="1">
      <c r="A41" s="138" t="s">
        <v>39</v>
      </c>
      <c r="B41" s="52">
        <f t="shared" si="9"/>
        <v>40</v>
      </c>
      <c r="C41" s="52">
        <f t="shared" si="3"/>
        <v>3.6888794541139363</v>
      </c>
      <c r="D41" s="53">
        <v>567335.8</v>
      </c>
      <c r="E41" s="49">
        <f t="shared" si="4"/>
        <v>13.607831626983932</v>
      </c>
      <c r="F41" s="49">
        <f t="shared" si="5"/>
        <v>2092833.3762032934</v>
      </c>
      <c r="G41" s="1"/>
      <c r="H41" s="133">
        <v>567335.8</v>
      </c>
      <c r="I41" s="129">
        <f t="shared" si="10"/>
        <v>563461.7745541502</v>
      </c>
      <c r="J41" s="175">
        <f t="shared" si="6"/>
        <v>3874.0254458498675</v>
      </c>
      <c r="K41" s="183">
        <f t="shared" si="11"/>
        <v>3874.0254458498675</v>
      </c>
      <c r="L41" s="182">
        <f t="shared" si="7"/>
        <v>15008073.155092265</v>
      </c>
      <c r="M41" s="216">
        <f t="shared" si="2"/>
        <v>0.006828452295536201</v>
      </c>
      <c r="N41" s="182">
        <f t="shared" si="8"/>
        <v>0.0034259230237359806</v>
      </c>
    </row>
    <row r="42" spans="1:14" ht="15.75">
      <c r="A42" s="136" t="s">
        <v>40</v>
      </c>
      <c r="B42" s="45">
        <f t="shared" si="9"/>
        <v>41</v>
      </c>
      <c r="C42" s="43">
        <f>LN(B42)</f>
        <v>3.713572066704308</v>
      </c>
      <c r="D42" s="50">
        <v>560701.5</v>
      </c>
      <c r="E42" s="42">
        <f>C42^2</f>
        <v>13.790617494606504</v>
      </c>
      <c r="F42" s="42">
        <f>C42*D42</f>
        <v>2082205.4281592055</v>
      </c>
      <c r="G42" s="1"/>
      <c r="H42" s="131">
        <v>560701.5</v>
      </c>
      <c r="I42" s="128">
        <f t="shared" si="10"/>
        <v>567220.5353341189</v>
      </c>
      <c r="J42" s="173">
        <f>H42-I42</f>
        <v>-6519.035334118875</v>
      </c>
      <c r="K42" s="181">
        <f t="shared" si="11"/>
        <v>6519.035334118875</v>
      </c>
      <c r="L42" s="184">
        <f>J42*J42</f>
        <v>42497821.68749039</v>
      </c>
      <c r="M42" s="214">
        <f>K42/H42</f>
        <v>0.011626570169901231</v>
      </c>
      <c r="N42" s="181">
        <f>K42/ABS(H42+I42)</f>
        <v>0.005779686121822926</v>
      </c>
    </row>
    <row r="43" spans="1:14" ht="15.75">
      <c r="A43" s="137" t="s">
        <v>41</v>
      </c>
      <c r="B43" s="45">
        <f t="shared" si="9"/>
        <v>42</v>
      </c>
      <c r="C43" s="45">
        <f t="shared" si="3"/>
        <v>3.7376696182833684</v>
      </c>
      <c r="D43" s="51">
        <v>553728.3</v>
      </c>
      <c r="E43" s="47">
        <f t="shared" si="4"/>
        <v>13.97017417543854</v>
      </c>
      <c r="F43" s="47">
        <f t="shared" si="5"/>
        <v>2069653.4436936986</v>
      </c>
      <c r="G43" s="1"/>
      <c r="H43" s="132">
        <v>553728.3</v>
      </c>
      <c r="I43" s="127">
        <f t="shared" si="10"/>
        <v>570888.7146908859</v>
      </c>
      <c r="J43" s="174">
        <f t="shared" si="6"/>
        <v>-17160.41469088581</v>
      </c>
      <c r="K43" s="177">
        <f t="shared" si="11"/>
        <v>17160.41469088581</v>
      </c>
      <c r="L43" s="184">
        <f t="shared" si="7"/>
        <v>294479832.3631695</v>
      </c>
      <c r="M43" s="215">
        <f t="shared" si="2"/>
        <v>0.030990676638499075</v>
      </c>
      <c r="N43" s="177">
        <f t="shared" si="8"/>
        <v>0.015258896554755177</v>
      </c>
    </row>
    <row r="44" spans="1:14" ht="15.75">
      <c r="A44" s="137" t="s">
        <v>42</v>
      </c>
      <c r="B44" s="45">
        <f t="shared" si="9"/>
        <v>43</v>
      </c>
      <c r="C44" s="45">
        <f t="shared" si="3"/>
        <v>3.7612001156935624</v>
      </c>
      <c r="D44" s="51">
        <v>548450.7</v>
      </c>
      <c r="E44" s="47">
        <f t="shared" si="4"/>
        <v>14.146626310293268</v>
      </c>
      <c r="F44" s="47">
        <f t="shared" si="5"/>
        <v>2062832.8362922152</v>
      </c>
      <c r="G44" s="1"/>
      <c r="H44" s="132">
        <v>548450.7</v>
      </c>
      <c r="I44" s="127">
        <f t="shared" si="10"/>
        <v>574470.5758841838</v>
      </c>
      <c r="J44" s="174">
        <f t="shared" si="6"/>
        <v>-26019.8758841838</v>
      </c>
      <c r="K44" s="177">
        <f t="shared" si="11"/>
        <v>26019.8758841838</v>
      </c>
      <c r="L44" s="184">
        <f t="shared" si="7"/>
        <v>677033941.0283296</v>
      </c>
      <c r="M44" s="215">
        <f t="shared" si="2"/>
        <v>0.047442506471746325</v>
      </c>
      <c r="N44" s="177">
        <f t="shared" si="8"/>
        <v>0.023171593987028036</v>
      </c>
    </row>
    <row r="45" spans="1:14" ht="16.5" thickBot="1">
      <c r="A45" s="138" t="s">
        <v>43</v>
      </c>
      <c r="B45" s="45">
        <f t="shared" si="9"/>
        <v>44</v>
      </c>
      <c r="C45" s="52">
        <f t="shared" si="3"/>
        <v>3.784189633918261</v>
      </c>
      <c r="D45" s="51">
        <v>558026.2</v>
      </c>
      <c r="E45" s="49">
        <f t="shared" si="4"/>
        <v>14.320091185454423</v>
      </c>
      <c r="F45" s="49">
        <f t="shared" si="5"/>
        <v>2111676.9614947983</v>
      </c>
      <c r="G45" s="1"/>
      <c r="H45" s="132">
        <v>558026.2</v>
      </c>
      <c r="I45" s="129">
        <f t="shared" si="10"/>
        <v>577970.0881021443</v>
      </c>
      <c r="J45" s="175">
        <f t="shared" si="6"/>
        <v>-19943.888102144352</v>
      </c>
      <c r="K45" s="182">
        <f t="shared" si="11"/>
        <v>19943.888102144352</v>
      </c>
      <c r="L45" s="184">
        <f t="shared" si="7"/>
        <v>397758672.630855</v>
      </c>
      <c r="M45" s="216">
        <f t="shared" si="2"/>
        <v>0.03574005683271566</v>
      </c>
      <c r="N45" s="177">
        <f t="shared" si="8"/>
        <v>0.017556296892011564</v>
      </c>
    </row>
    <row r="46" spans="1:14" ht="15.75">
      <c r="A46" s="136" t="s">
        <v>44</v>
      </c>
      <c r="B46" s="43">
        <f t="shared" si="9"/>
        <v>45</v>
      </c>
      <c r="C46" s="43">
        <f>LN(B46)</f>
        <v>3.8066624897703196</v>
      </c>
      <c r="D46" s="50">
        <v>557442.5</v>
      </c>
      <c r="E46" s="42">
        <f>C46^2</f>
        <v>14.490679311024369</v>
      </c>
      <c r="F46" s="42">
        <f>C46*D46</f>
        <v>2121995.4549537916</v>
      </c>
      <c r="G46" s="1"/>
      <c r="H46" s="131">
        <v>557442.5</v>
      </c>
      <c r="I46" s="128">
        <f t="shared" si="10"/>
        <v>581390.9529005312</v>
      </c>
      <c r="J46" s="173">
        <f>H46-I46</f>
        <v>-23948.452900531236</v>
      </c>
      <c r="K46" s="183">
        <f t="shared" si="11"/>
        <v>23948.452900531236</v>
      </c>
      <c r="L46" s="181">
        <f>J46*J46</f>
        <v>573528396.3289629</v>
      </c>
      <c r="M46" s="214">
        <f>K46/H46</f>
        <v>0.04296129717510099</v>
      </c>
      <c r="N46" s="181">
        <f>K46/ABS(H46+I46)</f>
        <v>0.02102893345777309</v>
      </c>
    </row>
    <row r="47" spans="1:14" ht="15.75">
      <c r="A47" s="137" t="s">
        <v>45</v>
      </c>
      <c r="B47" s="45">
        <f t="shared" si="9"/>
        <v>46</v>
      </c>
      <c r="C47" s="45">
        <f t="shared" si="3"/>
        <v>3.828641396489095</v>
      </c>
      <c r="D47" s="51">
        <v>563668.2</v>
      </c>
      <c r="E47" s="47">
        <f t="shared" si="4"/>
        <v>14.658494942909968</v>
      </c>
      <c r="F47" s="47">
        <f t="shared" si="5"/>
        <v>2158083.4044044944</v>
      </c>
      <c r="G47" s="1"/>
      <c r="H47" s="132">
        <v>563668.2</v>
      </c>
      <c r="I47" s="127">
        <f t="shared" si="10"/>
        <v>584736.6277358193</v>
      </c>
      <c r="J47" s="174">
        <f t="shared" si="6"/>
        <v>-21068.427735819365</v>
      </c>
      <c r="K47" s="183">
        <f t="shared" si="11"/>
        <v>21068.427735819365</v>
      </c>
      <c r="L47" s="177">
        <f t="shared" si="7"/>
        <v>443878647.2594427</v>
      </c>
      <c r="M47" s="215">
        <f t="shared" si="2"/>
        <v>0.037377357345721056</v>
      </c>
      <c r="N47" s="177">
        <f t="shared" si="8"/>
        <v>0.01834581954636817</v>
      </c>
    </row>
    <row r="48" spans="1:14" ht="15.75">
      <c r="A48" s="137" t="s">
        <v>46</v>
      </c>
      <c r="B48" s="45">
        <f t="shared" si="9"/>
        <v>47</v>
      </c>
      <c r="C48" s="45">
        <f t="shared" si="3"/>
        <v>3.8501476017100584</v>
      </c>
      <c r="D48" s="51">
        <v>569176.8</v>
      </c>
      <c r="E48" s="47">
        <f t="shared" si="4"/>
        <v>14.823636554953715</v>
      </c>
      <c r="F48" s="47">
        <f t="shared" si="5"/>
        <v>2191414.691469006</v>
      </c>
      <c r="G48" s="1"/>
      <c r="H48" s="132">
        <v>569176.8</v>
      </c>
      <c r="I48" s="127">
        <f t="shared" si="10"/>
        <v>588010.3469672154</v>
      </c>
      <c r="J48" s="174">
        <f t="shared" si="6"/>
        <v>-18833.54696721537</v>
      </c>
      <c r="K48" s="183">
        <f t="shared" si="11"/>
        <v>18833.54696721537</v>
      </c>
      <c r="L48" s="177">
        <f t="shared" si="7"/>
        <v>354702491.36630726</v>
      </c>
      <c r="M48" s="215">
        <f t="shared" si="2"/>
        <v>0.033089098092570476</v>
      </c>
      <c r="N48" s="177">
        <f t="shared" si="8"/>
        <v>0.016275281847516882</v>
      </c>
    </row>
    <row r="49" spans="1:14" ht="16.5" thickBot="1">
      <c r="A49" s="138" t="s">
        <v>47</v>
      </c>
      <c r="B49" s="52">
        <f t="shared" si="9"/>
        <v>48</v>
      </c>
      <c r="C49" s="52">
        <f t="shared" si="3"/>
        <v>3.871201010907891</v>
      </c>
      <c r="D49" s="51">
        <v>587564.8</v>
      </c>
      <c r="E49" s="49">
        <f t="shared" si="4"/>
        <v>14.986197266854278</v>
      </c>
      <c r="F49" s="49">
        <f t="shared" si="5"/>
        <v>2274581.447733893</v>
      </c>
      <c r="G49" s="1"/>
      <c r="H49" s="132">
        <v>587564.8</v>
      </c>
      <c r="I49" s="129">
        <f t="shared" si="10"/>
        <v>591215.1406474233</v>
      </c>
      <c r="J49" s="175">
        <f t="shared" si="6"/>
        <v>-3650.3406474232906</v>
      </c>
      <c r="K49" s="183">
        <f t="shared" si="11"/>
        <v>3650.3406474232906</v>
      </c>
      <c r="L49" s="182">
        <f t="shared" si="7"/>
        <v>13324986.842230689</v>
      </c>
      <c r="M49" s="216">
        <f t="shared" si="2"/>
        <v>0.0062126605396090615</v>
      </c>
      <c r="N49" s="182">
        <f t="shared" si="8"/>
        <v>0.0030967108631136087</v>
      </c>
    </row>
    <row r="50" spans="1:14" ht="15.75">
      <c r="A50" s="136" t="s">
        <v>48</v>
      </c>
      <c r="B50" s="43">
        <f t="shared" si="9"/>
        <v>49</v>
      </c>
      <c r="C50" s="43">
        <f>LN(B50)</f>
        <v>3.8918202981106265</v>
      </c>
      <c r="D50" s="24">
        <v>584631.3</v>
      </c>
      <c r="E50" s="42">
        <f>C50^2</f>
        <v>15.146265232785886</v>
      </c>
      <c r="F50" s="42">
        <f>C50*D50</f>
        <v>2275279.9602508033</v>
      </c>
      <c r="G50" s="1"/>
      <c r="H50" s="131">
        <v>584631.3</v>
      </c>
      <c r="I50" s="128">
        <f t="shared" si="10"/>
        <v>594353.85137578</v>
      </c>
      <c r="J50" s="173">
        <f>H50-I50</f>
        <v>-9722.551375779905</v>
      </c>
      <c r="K50" s="181">
        <f t="shared" si="11"/>
        <v>9722.551375779905</v>
      </c>
      <c r="L50" s="184">
        <f>J50*J50</f>
        <v>94528005.25467972</v>
      </c>
      <c r="M50" s="214">
        <f>K50/H50</f>
        <v>0.016630227248831706</v>
      </c>
      <c r="N50" s="181">
        <f>K50/ABS(H50+I50)</f>
        <v>0.008246542684981636</v>
      </c>
    </row>
    <row r="51" spans="1:14" ht="15.75">
      <c r="A51" s="137" t="s">
        <v>49</v>
      </c>
      <c r="B51" s="45">
        <f t="shared" si="9"/>
        <v>50</v>
      </c>
      <c r="C51" s="45">
        <f t="shared" si="3"/>
        <v>3.912023005428146</v>
      </c>
      <c r="D51" s="28">
        <v>589489.7</v>
      </c>
      <c r="E51" s="47">
        <f t="shared" si="4"/>
        <v>15.303923994999064</v>
      </c>
      <c r="F51" s="47">
        <f t="shared" si="5"/>
        <v>2306097.267862936</v>
      </c>
      <c r="G51" s="1"/>
      <c r="H51" s="132">
        <v>589489.7</v>
      </c>
      <c r="I51" s="127">
        <f t="shared" si="10"/>
        <v>597429.1494486898</v>
      </c>
      <c r="J51" s="174">
        <f t="shared" si="6"/>
        <v>-7939.449448689818</v>
      </c>
      <c r="K51" s="177">
        <f t="shared" si="11"/>
        <v>7939.449448689818</v>
      </c>
      <c r="L51" s="184">
        <f t="shared" si="7"/>
        <v>63034857.54830106</v>
      </c>
      <c r="M51" s="215">
        <f t="shared" si="2"/>
        <v>0.013468342956102233</v>
      </c>
      <c r="N51" s="177">
        <f t="shared" si="8"/>
        <v>0.006689125758157436</v>
      </c>
    </row>
    <row r="52" spans="1:14" ht="15.75">
      <c r="A52" s="137" t="s">
        <v>50</v>
      </c>
      <c r="B52" s="45">
        <f t="shared" si="9"/>
        <v>51</v>
      </c>
      <c r="C52" s="45">
        <f t="shared" si="3"/>
        <v>3.9318256327243257</v>
      </c>
      <c r="D52" s="28">
        <v>582149.8</v>
      </c>
      <c r="E52" s="47">
        <f t="shared" si="4"/>
        <v>15.459252806148044</v>
      </c>
      <c r="F52" s="47">
        <f t="shared" si="5"/>
        <v>2288911.50572534</v>
      </c>
      <c r="G52" s="1"/>
      <c r="H52" s="132">
        <v>582149.8</v>
      </c>
      <c r="I52" s="127">
        <f t="shared" si="10"/>
        <v>600443.5465097056</v>
      </c>
      <c r="J52" s="174">
        <f t="shared" si="6"/>
        <v>-18293.746509705554</v>
      </c>
      <c r="K52" s="177">
        <f t="shared" si="11"/>
        <v>18293.746509705554</v>
      </c>
      <c r="L52" s="184">
        <f t="shared" si="7"/>
        <v>334661161.3613641</v>
      </c>
      <c r="M52" s="215">
        <f t="shared" si="2"/>
        <v>0.03142446585003646</v>
      </c>
      <c r="N52" s="177">
        <f t="shared" si="8"/>
        <v>0.015469177603355824</v>
      </c>
    </row>
    <row r="53" spans="1:14" ht="16.5" thickBot="1">
      <c r="A53" s="138" t="s">
        <v>51</v>
      </c>
      <c r="B53" s="52">
        <f t="shared" si="9"/>
        <v>52</v>
      </c>
      <c r="C53" s="52">
        <f t="shared" si="3"/>
        <v>3.9512437185814275</v>
      </c>
      <c r="D53" s="28">
        <v>599177.5</v>
      </c>
      <c r="E53" s="49">
        <f t="shared" si="4"/>
        <v>15.612326923629187</v>
      </c>
      <c r="F53" s="49">
        <f t="shared" si="5"/>
        <v>2367496.3331903233</v>
      </c>
      <c r="G53" s="1"/>
      <c r="H53" s="132">
        <v>599177.5</v>
      </c>
      <c r="I53" s="129">
        <f t="shared" si="10"/>
        <v>603399.407874096</v>
      </c>
      <c r="J53" s="175">
        <f t="shared" si="6"/>
        <v>-4221.907874095952</v>
      </c>
      <c r="K53" s="182">
        <f t="shared" si="11"/>
        <v>4221.907874095952</v>
      </c>
      <c r="L53" s="184">
        <f t="shared" si="7"/>
        <v>17824506.097353403</v>
      </c>
      <c r="M53" s="216">
        <f t="shared" si="2"/>
        <v>0.0070461722512877275</v>
      </c>
      <c r="N53" s="177">
        <f t="shared" si="8"/>
        <v>0.0035107175652985064</v>
      </c>
    </row>
    <row r="54" spans="1:14" ht="15.75">
      <c r="A54" s="136" t="s">
        <v>52</v>
      </c>
      <c r="B54" s="43">
        <f t="shared" si="9"/>
        <v>53</v>
      </c>
      <c r="C54" s="43">
        <f>LN(B54)</f>
        <v>3.970291913552122</v>
      </c>
      <c r="D54" s="24">
        <v>597108</v>
      </c>
      <c r="E54" s="42">
        <f>C54^2</f>
        <v>15.76321787881737</v>
      </c>
      <c r="F54" s="42">
        <f>C54*D54</f>
        <v>2370693.0639172806</v>
      </c>
      <c r="G54" s="1"/>
      <c r="H54" s="131">
        <v>597108</v>
      </c>
      <c r="I54" s="128">
        <f t="shared" si="10"/>
        <v>606298.9636794205</v>
      </c>
      <c r="J54" s="173">
        <f>H54-I54</f>
        <v>-9190.963679420529</v>
      </c>
      <c r="K54" s="183">
        <f t="shared" si="11"/>
        <v>9190.963679420529</v>
      </c>
      <c r="L54" s="181">
        <f>J54*J54</f>
        <v>84473813.35642734</v>
      </c>
      <c r="M54" s="214">
        <f>K54/H54</f>
        <v>0.015392464477817294</v>
      </c>
      <c r="N54" s="181">
        <f>K54/ABS(H54+I54)</f>
        <v>0.007637452629756378</v>
      </c>
    </row>
    <row r="55" spans="1:14" ht="15.75">
      <c r="A55" s="137" t="s">
        <v>53</v>
      </c>
      <c r="B55" s="45">
        <f t="shared" si="9"/>
        <v>54</v>
      </c>
      <c r="C55" s="45">
        <f t="shared" si="3"/>
        <v>3.9889840465642745</v>
      </c>
      <c r="D55" s="28">
        <v>604796.4</v>
      </c>
      <c r="E55" s="47">
        <f t="shared" si="4"/>
        <v>15.911993723744294</v>
      </c>
      <c r="F55" s="47">
        <f t="shared" si="5"/>
        <v>2412523.1910195057</v>
      </c>
      <c r="G55" s="1"/>
      <c r="H55" s="132">
        <v>604796.4</v>
      </c>
      <c r="I55" s="127">
        <f t="shared" si="10"/>
        <v>609144.3189938044</v>
      </c>
      <c r="J55" s="174">
        <f t="shared" si="6"/>
        <v>-4347.918993804371</v>
      </c>
      <c r="K55" s="183">
        <f t="shared" si="11"/>
        <v>4347.918993804371</v>
      </c>
      <c r="L55" s="177">
        <f t="shared" si="7"/>
        <v>18904399.576684814</v>
      </c>
      <c r="M55" s="215">
        <f t="shared" si="2"/>
        <v>0.007189062292375369</v>
      </c>
      <c r="N55" s="177">
        <f t="shared" si="8"/>
        <v>0.0035816567693752114</v>
      </c>
    </row>
    <row r="56" spans="1:14" ht="15.75">
      <c r="A56" s="137" t="s">
        <v>54</v>
      </c>
      <c r="B56" s="45">
        <f t="shared" si="9"/>
        <v>55</v>
      </c>
      <c r="C56" s="45">
        <f t="shared" si="3"/>
        <v>4.007333185232471</v>
      </c>
      <c r="D56" s="28">
        <v>606284.6</v>
      </c>
      <c r="E56" s="47">
        <f t="shared" si="4"/>
        <v>16.058719257465423</v>
      </c>
      <c r="F56" s="47">
        <f t="shared" si="5"/>
        <v>2429584.3972753948</v>
      </c>
      <c r="G56" s="1"/>
      <c r="H56" s="132">
        <v>606284.6</v>
      </c>
      <c r="I56" s="127">
        <f t="shared" si="10"/>
        <v>611937.462996684</v>
      </c>
      <c r="J56" s="174">
        <f t="shared" si="6"/>
        <v>-5652.862996684038</v>
      </c>
      <c r="K56" s="183">
        <f t="shared" si="11"/>
        <v>5652.862996684038</v>
      </c>
      <c r="L56" s="177">
        <f t="shared" si="7"/>
        <v>31954860.059279643</v>
      </c>
      <c r="M56" s="215">
        <f t="shared" si="2"/>
        <v>0.009323777969428942</v>
      </c>
      <c r="N56" s="177">
        <f t="shared" si="8"/>
        <v>0.0046402566234752425</v>
      </c>
    </row>
    <row r="57" spans="1:14" ht="16.5" thickBot="1">
      <c r="A57" s="138" t="s">
        <v>55</v>
      </c>
      <c r="B57" s="52">
        <f t="shared" si="9"/>
        <v>56</v>
      </c>
      <c r="C57" s="52">
        <f t="shared" si="3"/>
        <v>4.02535169073515</v>
      </c>
      <c r="D57" s="28">
        <v>630641.9</v>
      </c>
      <c r="E57" s="49">
        <f t="shared" si="4"/>
        <v>16.203456234104326</v>
      </c>
      <c r="F57" s="49">
        <f t="shared" si="5"/>
        <v>2538555.438413427</v>
      </c>
      <c r="G57" s="1"/>
      <c r="H57" s="132">
        <v>630641.9</v>
      </c>
      <c r="I57" s="129">
        <f t="shared" si="10"/>
        <v>614680.2773323175</v>
      </c>
      <c r="J57" s="175">
        <f t="shared" si="6"/>
        <v>15961.622667682474</v>
      </c>
      <c r="K57" s="183">
        <f t="shared" si="11"/>
        <v>15961.622667682474</v>
      </c>
      <c r="L57" s="182">
        <f t="shared" si="7"/>
        <v>254773398.18547496</v>
      </c>
      <c r="M57" s="216">
        <f t="shared" si="2"/>
        <v>0.025310120795466448</v>
      </c>
      <c r="N57" s="182">
        <f t="shared" si="8"/>
        <v>0.012817263643272509</v>
      </c>
    </row>
    <row r="58" spans="1:14" ht="16.5" thickBot="1">
      <c r="A58" s="136" t="s">
        <v>56</v>
      </c>
      <c r="B58" s="45">
        <f t="shared" si="9"/>
        <v>57</v>
      </c>
      <c r="C58" s="43">
        <f>LN(B58)</f>
        <v>4.04305126783455</v>
      </c>
      <c r="D58" s="24">
        <v>636801.4</v>
      </c>
      <c r="E58" s="42">
        <f>C58^2</f>
        <v>16.346263554338563</v>
      </c>
      <c r="F58" s="42">
        <f>C58*D58</f>
        <v>2574620.707628817</v>
      </c>
      <c r="G58" s="1"/>
      <c r="H58" s="131">
        <v>636801.4</v>
      </c>
      <c r="I58" s="128">
        <f t="shared" si="10"/>
        <v>617374.5437239265</v>
      </c>
      <c r="J58" s="176">
        <f>H58-I58</f>
        <v>19426.856276073493</v>
      </c>
      <c r="K58" s="181">
        <f t="shared" si="11"/>
        <v>19426.856276073493</v>
      </c>
      <c r="L58" s="184">
        <f>J58*J58</f>
        <v>377402744.7712161</v>
      </c>
      <c r="M58" s="214">
        <f>K58/H58</f>
        <v>0.030506930851712154</v>
      </c>
      <c r="N58" s="181">
        <f>K58/ABS(H58+I58)</f>
        <v>0.015489737602836527</v>
      </c>
    </row>
    <row r="59" spans="1:14" ht="15.75">
      <c r="A59" s="137" t="s">
        <v>57</v>
      </c>
      <c r="B59" s="45"/>
      <c r="C59" s="27"/>
      <c r="D59" s="28"/>
      <c r="E59" s="47">
        <f t="shared" si="4"/>
        <v>0</v>
      </c>
      <c r="F59" s="47">
        <f t="shared" si="5"/>
        <v>0</v>
      </c>
      <c r="G59" s="1"/>
      <c r="H59" s="134"/>
      <c r="I59" s="127"/>
      <c r="J59" s="177"/>
      <c r="K59" s="177">
        <f t="shared" si="11"/>
        <v>0</v>
      </c>
      <c r="L59" s="184">
        <f t="shared" si="7"/>
        <v>0</v>
      </c>
      <c r="M59" s="215"/>
      <c r="N59" s="177"/>
    </row>
    <row r="60" spans="1:14" ht="15.75">
      <c r="A60" s="137" t="s">
        <v>58</v>
      </c>
      <c r="B60" s="45"/>
      <c r="C60" s="27"/>
      <c r="D60" s="28"/>
      <c r="E60" s="47">
        <f t="shared" si="4"/>
        <v>0</v>
      </c>
      <c r="F60" s="47">
        <f t="shared" si="5"/>
        <v>0</v>
      </c>
      <c r="G60" s="1"/>
      <c r="H60" s="134"/>
      <c r="I60" s="127"/>
      <c r="J60" s="177"/>
      <c r="K60" s="177">
        <f t="shared" si="11"/>
        <v>0</v>
      </c>
      <c r="L60" s="184">
        <f t="shared" si="7"/>
        <v>0</v>
      </c>
      <c r="M60" s="215"/>
      <c r="N60" s="177"/>
    </row>
    <row r="61" spans="1:14" ht="16.5" thickBot="1">
      <c r="A61" s="138" t="s">
        <v>59</v>
      </c>
      <c r="B61" s="52"/>
      <c r="C61" s="31"/>
      <c r="D61" s="32"/>
      <c r="E61" s="49">
        <f t="shared" si="4"/>
        <v>0</v>
      </c>
      <c r="F61" s="49">
        <f t="shared" si="5"/>
        <v>0</v>
      </c>
      <c r="G61" s="1"/>
      <c r="H61" s="134"/>
      <c r="I61" s="127"/>
      <c r="J61" s="177"/>
      <c r="K61" s="182">
        <f t="shared" si="11"/>
        <v>0</v>
      </c>
      <c r="L61" s="185">
        <f t="shared" si="7"/>
        <v>0</v>
      </c>
      <c r="M61" s="216"/>
      <c r="N61" s="182"/>
    </row>
    <row r="62" spans="1:14" ht="16.5" thickBot="1">
      <c r="A62" s="139" t="s">
        <v>68</v>
      </c>
      <c r="B62" s="40">
        <f>SUM(B2:B58)</f>
        <v>1653</v>
      </c>
      <c r="C62" s="40">
        <f>SUM(C2:C58)</f>
        <v>176.39584840699737</v>
      </c>
      <c r="D62" s="39">
        <f>SUM(D2:D58)</f>
        <v>26961516.7</v>
      </c>
      <c r="E62" s="39">
        <f>SUM(E2:E58)</f>
        <v>591.0077750964699</v>
      </c>
      <c r="F62" s="39">
        <f>SUM(F2:F58)</f>
        <v>90305383.44018014</v>
      </c>
      <c r="G62" s="1"/>
      <c r="H62" s="39">
        <f>SUM(H2:H58)</f>
        <v>26961516.7</v>
      </c>
      <c r="I62" s="39">
        <f>SUM(I2:I58)</f>
        <v>26961516.700000014</v>
      </c>
      <c r="J62" s="110">
        <f>SUM(J2:J58)</f>
        <v>-1.8917489796876907E-08</v>
      </c>
      <c r="K62" s="190">
        <f>SUM(K2:K58)</f>
        <v>2139250.253678961</v>
      </c>
      <c r="L62" s="190">
        <f>SUM(L2:L58)</f>
        <v>136069644560.33133</v>
      </c>
      <c r="M62" s="213">
        <f>SUM(M2:M58)/57</f>
        <v>0.11221368638243841</v>
      </c>
      <c r="N62" s="213">
        <f>SUM(N2:N58)/57</f>
        <v>0.06284505929011712</v>
      </c>
    </row>
    <row r="63" spans="1:8" ht="15.75">
      <c r="A63" s="1"/>
      <c r="B63" s="1"/>
      <c r="C63" s="1"/>
      <c r="D63" s="1"/>
      <c r="E63" s="1"/>
      <c r="F63" s="1"/>
      <c r="G63" s="1"/>
      <c r="H63" s="1"/>
    </row>
    <row r="64" spans="1:8" ht="16.5" thickBot="1">
      <c r="A64" s="1"/>
      <c r="B64" s="1"/>
      <c r="C64" s="1"/>
      <c r="D64" s="1"/>
      <c r="E64" s="1"/>
      <c r="F64" s="1"/>
      <c r="G64" s="1"/>
      <c r="H64" s="1"/>
    </row>
    <row r="65" spans="1:9" ht="17.25" thickBot="1">
      <c r="A65" s="1"/>
      <c r="B65" s="1"/>
      <c r="C65" s="62" t="s">
        <v>69</v>
      </c>
      <c r="D65" s="54">
        <v>57</v>
      </c>
      <c r="E65" s="55">
        <f>C62</f>
        <v>176.39584840699737</v>
      </c>
      <c r="F65" s="1"/>
      <c r="G65" s="1"/>
      <c r="H65" s="220" t="s">
        <v>122</v>
      </c>
      <c r="I65" s="221">
        <f>SQRT(K62)/(SQRT(H62)+SQRT(I62))</f>
        <v>0.14084085104867305</v>
      </c>
    </row>
    <row r="66" spans="1:8" ht="16.5" thickBot="1">
      <c r="A66" s="1"/>
      <c r="B66" s="1"/>
      <c r="C66" s="63"/>
      <c r="D66" s="56">
        <f>C62</f>
        <v>176.39584840699737</v>
      </c>
      <c r="E66" s="57">
        <f>E62</f>
        <v>591.0077750964699</v>
      </c>
      <c r="F66" s="1"/>
      <c r="G66" s="1"/>
      <c r="H66" s="1"/>
    </row>
    <row r="67" spans="1:8" ht="16.5" thickBot="1">
      <c r="A67" s="1"/>
      <c r="B67" s="1"/>
      <c r="C67" s="63"/>
      <c r="D67" s="1"/>
      <c r="E67" s="1"/>
      <c r="F67" s="1"/>
      <c r="G67" s="1"/>
      <c r="H67" s="1"/>
    </row>
    <row r="68" spans="1:8" ht="16.5" thickBot="1">
      <c r="A68" s="1"/>
      <c r="B68" s="1"/>
      <c r="C68" s="62" t="s">
        <v>71</v>
      </c>
      <c r="D68" s="35">
        <f>D65*E66-E65^2</f>
        <v>2571.947845274386</v>
      </c>
      <c r="E68" s="1"/>
      <c r="F68" s="1"/>
      <c r="G68" s="1"/>
      <c r="H68" s="1"/>
    </row>
    <row r="69" spans="1:8" ht="16.5" thickBot="1">
      <c r="A69" s="1"/>
      <c r="B69" s="1"/>
      <c r="C69" s="63"/>
      <c r="D69" s="1"/>
      <c r="E69" s="1"/>
      <c r="F69" s="1"/>
      <c r="G69" s="1"/>
      <c r="H69" s="1"/>
    </row>
    <row r="70" spans="1:8" ht="16.5" thickBot="1">
      <c r="A70" s="1"/>
      <c r="B70" s="1"/>
      <c r="C70" s="62" t="s">
        <v>70</v>
      </c>
      <c r="D70" s="79">
        <f>E66/D68</f>
        <v>0.22978995323811427</v>
      </c>
      <c r="E70" s="80">
        <f>-E65/D68</f>
        <v>-0.06858453554223559</v>
      </c>
      <c r="F70" s="1"/>
      <c r="G70" s="1"/>
      <c r="H70" s="1"/>
    </row>
    <row r="71" spans="1:8" ht="16.5" thickBot="1">
      <c r="A71" s="1"/>
      <c r="B71" s="1"/>
      <c r="C71" s="63"/>
      <c r="D71" s="81">
        <f>E70</f>
        <v>-0.06858453554223559</v>
      </c>
      <c r="E71" s="82">
        <f>D65/D68</f>
        <v>0.022162191237559487</v>
      </c>
      <c r="F71" s="1"/>
      <c r="G71" s="1"/>
      <c r="H71" s="1"/>
    </row>
    <row r="72" spans="1:8" ht="16.5" thickBot="1">
      <c r="A72" s="1"/>
      <c r="B72" s="1"/>
      <c r="C72" s="63"/>
      <c r="D72" s="1"/>
      <c r="E72" s="1"/>
      <c r="F72" s="1"/>
      <c r="G72" s="1"/>
      <c r="H72" s="1"/>
    </row>
    <row r="73" spans="1:8" ht="16.5" thickBot="1">
      <c r="A73" s="1"/>
      <c r="B73" s="1"/>
      <c r="C73" s="62" t="s">
        <v>75</v>
      </c>
      <c r="D73" s="83">
        <f>D62</f>
        <v>26961516.7</v>
      </c>
      <c r="E73" s="1"/>
      <c r="F73" s="1"/>
      <c r="G73" s="1"/>
      <c r="H73" s="1"/>
    </row>
    <row r="74" spans="1:8" ht="16.5" thickBot="1">
      <c r="A74" s="1"/>
      <c r="B74" s="1"/>
      <c r="C74" s="63"/>
      <c r="D74" s="84">
        <f>F62</f>
        <v>90305383.44018014</v>
      </c>
      <c r="E74" s="1"/>
      <c r="F74" s="1"/>
      <c r="G74" s="1"/>
      <c r="H74" s="1"/>
    </row>
    <row r="75" spans="1:8" ht="16.5" thickBot="1">
      <c r="A75" s="1"/>
      <c r="B75" s="1"/>
      <c r="C75" s="63"/>
      <c r="D75" s="1"/>
      <c r="E75" s="1"/>
      <c r="F75" s="1"/>
      <c r="G75" s="1"/>
      <c r="H75" s="1"/>
    </row>
    <row r="76" spans="1:8" ht="15.75">
      <c r="A76" s="1"/>
      <c r="B76" s="1"/>
      <c r="C76" s="64" t="s">
        <v>73</v>
      </c>
      <c r="D76" s="85">
        <f>D70*D73+E70*D74</f>
        <v>1932.8815133888274</v>
      </c>
      <c r="E76" s="1"/>
      <c r="F76" s="1"/>
      <c r="G76" s="1"/>
      <c r="H76" s="1"/>
    </row>
    <row r="77" spans="1:8" ht="16.5" thickBot="1">
      <c r="A77" s="1"/>
      <c r="B77" s="1"/>
      <c r="C77" s="65" t="s">
        <v>74</v>
      </c>
      <c r="D77" s="86">
        <f>D71*D73+E71*D74</f>
        <v>152222.07719868142</v>
      </c>
      <c r="E77" s="1"/>
      <c r="F77" s="1"/>
      <c r="G77" s="1"/>
      <c r="H77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90"/>
  <sheetViews>
    <sheetView zoomScalePageLayoutView="0" workbookViewId="0" topLeftCell="A47">
      <selection activeCell="A1" sqref="A1:C61"/>
    </sheetView>
  </sheetViews>
  <sheetFormatPr defaultColWidth="9.140625" defaultRowHeight="12.75"/>
  <cols>
    <col min="1" max="2" width="8.140625" style="0" customWidth="1"/>
    <col min="3" max="3" width="10.57421875" style="0" customWidth="1"/>
    <col min="7" max="7" width="9.28125" style="0" bestFit="1" customWidth="1"/>
    <col min="8" max="8" width="11.57421875" style="0" bestFit="1" customWidth="1"/>
  </cols>
  <sheetData>
    <row r="1" spans="1:3" ht="16.5" thickBot="1">
      <c r="A1" s="17" t="s">
        <v>67</v>
      </c>
      <c r="B1" s="21" t="s">
        <v>60</v>
      </c>
      <c r="C1" s="22" t="s">
        <v>61</v>
      </c>
    </row>
    <row r="2" spans="1:3" ht="15.75">
      <c r="A2" s="2" t="s">
        <v>0</v>
      </c>
      <c r="B2" s="5">
        <v>1</v>
      </c>
      <c r="C2" s="11">
        <v>179342.9</v>
      </c>
    </row>
    <row r="3" spans="1:3" ht="15.75">
      <c r="A3" s="3" t="s">
        <v>1</v>
      </c>
      <c r="B3" s="6">
        <v>2</v>
      </c>
      <c r="C3" s="12">
        <v>179879.6</v>
      </c>
    </row>
    <row r="4" spans="1:3" ht="15.75">
      <c r="A4" s="3" t="s">
        <v>2</v>
      </c>
      <c r="B4" s="6">
        <f>B3+1</f>
        <v>3</v>
      </c>
      <c r="C4" s="12">
        <v>184157.9</v>
      </c>
    </row>
    <row r="5" spans="1:3" ht="16.5" thickBot="1">
      <c r="A5" s="4" t="s">
        <v>3</v>
      </c>
      <c r="B5" s="6">
        <f>B4+1</f>
        <v>4</v>
      </c>
      <c r="C5" s="13">
        <v>204782.7</v>
      </c>
    </row>
    <row r="6" spans="1:3" ht="15.75">
      <c r="A6" s="2" t="s">
        <v>4</v>
      </c>
      <c r="B6" s="5">
        <f aca="true" t="shared" si="0" ref="B6:B61">B5+1</f>
        <v>5</v>
      </c>
      <c r="C6" s="11">
        <v>215145.3</v>
      </c>
    </row>
    <row r="7" spans="1:3" ht="15.75">
      <c r="A7" s="3" t="s">
        <v>5</v>
      </c>
      <c r="B7" s="6">
        <f t="shared" si="0"/>
        <v>6</v>
      </c>
      <c r="C7" s="12">
        <v>220120.4</v>
      </c>
    </row>
    <row r="8" spans="1:3" ht="15.75">
      <c r="A8" s="3" t="s">
        <v>6</v>
      </c>
      <c r="B8" s="6">
        <f t="shared" si="0"/>
        <v>7</v>
      </c>
      <c r="C8" s="12">
        <v>224857.6</v>
      </c>
    </row>
    <row r="9" spans="1:3" ht="16.5" thickBot="1">
      <c r="A9" s="4" t="s">
        <v>7</v>
      </c>
      <c r="B9" s="7">
        <f t="shared" si="0"/>
        <v>8</v>
      </c>
      <c r="C9" s="13">
        <v>244498.9</v>
      </c>
    </row>
    <row r="10" spans="1:3" ht="15.75">
      <c r="A10" s="2" t="s">
        <v>8</v>
      </c>
      <c r="B10" s="6">
        <f t="shared" si="0"/>
        <v>9</v>
      </c>
      <c r="C10" s="11">
        <v>257013.4</v>
      </c>
    </row>
    <row r="11" spans="1:3" ht="15.75">
      <c r="A11" s="3" t="s">
        <v>9</v>
      </c>
      <c r="B11" s="6">
        <f t="shared" si="0"/>
        <v>10</v>
      </c>
      <c r="C11" s="12">
        <v>268251.6</v>
      </c>
    </row>
    <row r="12" spans="1:3" ht="15.75">
      <c r="A12" s="3" t="s">
        <v>10</v>
      </c>
      <c r="B12" s="6">
        <f t="shared" si="0"/>
        <v>11</v>
      </c>
      <c r="C12" s="12">
        <v>280707.7</v>
      </c>
    </row>
    <row r="13" spans="1:3" ht="16.5" thickBot="1">
      <c r="A13" s="4" t="s">
        <v>11</v>
      </c>
      <c r="B13" s="6">
        <f t="shared" si="0"/>
        <v>12</v>
      </c>
      <c r="C13" s="13">
        <v>306236.9</v>
      </c>
    </row>
    <row r="14" spans="1:3" ht="15.75">
      <c r="A14" s="2" t="s">
        <v>12</v>
      </c>
      <c r="B14" s="5">
        <f t="shared" si="0"/>
        <v>13</v>
      </c>
      <c r="C14" s="11">
        <v>320848.6</v>
      </c>
    </row>
    <row r="15" spans="1:3" ht="15.75">
      <c r="A15" s="3" t="s">
        <v>13</v>
      </c>
      <c r="B15" s="6">
        <f t="shared" si="0"/>
        <v>14</v>
      </c>
      <c r="C15" s="12">
        <v>329595.1</v>
      </c>
    </row>
    <row r="16" spans="1:3" ht="15.75">
      <c r="A16" s="3" t="s">
        <v>14</v>
      </c>
      <c r="B16" s="6">
        <f t="shared" si="0"/>
        <v>15</v>
      </c>
      <c r="C16" s="12">
        <v>336112.3</v>
      </c>
    </row>
    <row r="17" spans="1:3" ht="16.5" thickBot="1">
      <c r="A17" s="4" t="s">
        <v>15</v>
      </c>
      <c r="B17" s="7">
        <f t="shared" si="0"/>
        <v>16</v>
      </c>
      <c r="C17" s="13">
        <v>365625.2</v>
      </c>
    </row>
    <row r="18" spans="1:3" ht="15.75">
      <c r="A18" s="2" t="s">
        <v>16</v>
      </c>
      <c r="B18" s="6">
        <f t="shared" si="0"/>
        <v>17</v>
      </c>
      <c r="C18" s="11">
        <v>414840.1</v>
      </c>
    </row>
    <row r="19" spans="1:3" ht="15.75">
      <c r="A19" s="3" t="s">
        <v>17</v>
      </c>
      <c r="B19" s="6">
        <f t="shared" si="0"/>
        <v>18</v>
      </c>
      <c r="C19" s="12">
        <v>441183</v>
      </c>
    </row>
    <row r="20" spans="1:3" ht="15.75">
      <c r="A20" s="3" t="s">
        <v>18</v>
      </c>
      <c r="B20" s="6">
        <f t="shared" si="0"/>
        <v>19</v>
      </c>
      <c r="C20" s="12">
        <v>443649.1</v>
      </c>
    </row>
    <row r="21" spans="1:3" ht="16.5" thickBot="1">
      <c r="A21" s="4" t="s">
        <v>19</v>
      </c>
      <c r="B21" s="6">
        <f t="shared" si="0"/>
        <v>20</v>
      </c>
      <c r="C21" s="13">
        <v>473921.5</v>
      </c>
    </row>
    <row r="22" spans="1:3" ht="15.75">
      <c r="A22" s="2" t="s">
        <v>20</v>
      </c>
      <c r="B22" s="5">
        <f t="shared" si="0"/>
        <v>21</v>
      </c>
      <c r="C22" s="11">
        <v>493387.1</v>
      </c>
    </row>
    <row r="23" spans="1:3" ht="15.75">
      <c r="A23" s="3" t="s">
        <v>21</v>
      </c>
      <c r="B23" s="6">
        <f t="shared" si="0"/>
        <v>22</v>
      </c>
      <c r="C23" s="12">
        <v>512073.8</v>
      </c>
    </row>
    <row r="24" spans="1:3" ht="15.75">
      <c r="A24" s="3" t="s">
        <v>22</v>
      </c>
      <c r="B24" s="6">
        <f t="shared" si="0"/>
        <v>23</v>
      </c>
      <c r="C24" s="12">
        <v>527451.8</v>
      </c>
    </row>
    <row r="25" spans="1:3" ht="16.5" thickBot="1">
      <c r="A25" s="4" t="s">
        <v>23</v>
      </c>
      <c r="B25" s="7">
        <f t="shared" si="0"/>
        <v>24</v>
      </c>
      <c r="C25" s="13">
        <v>549745.5</v>
      </c>
    </row>
    <row r="26" spans="1:3" ht="15.75">
      <c r="A26" s="2" t="s">
        <v>24</v>
      </c>
      <c r="B26" s="5">
        <f t="shared" si="0"/>
        <v>25</v>
      </c>
      <c r="C26" s="11">
        <v>559644.4</v>
      </c>
    </row>
    <row r="27" spans="1:3" ht="15.75">
      <c r="A27" s="3" t="s">
        <v>25</v>
      </c>
      <c r="B27" s="6">
        <f t="shared" si="0"/>
        <v>26</v>
      </c>
      <c r="C27" s="12">
        <v>554565.3</v>
      </c>
    </row>
    <row r="28" spans="1:3" ht="15.75">
      <c r="A28" s="3" t="s">
        <v>26</v>
      </c>
      <c r="B28" s="6">
        <f t="shared" si="0"/>
        <v>27</v>
      </c>
      <c r="C28" s="12">
        <v>542409.4</v>
      </c>
    </row>
    <row r="29" spans="1:3" ht="16.5" thickBot="1">
      <c r="A29" s="4" t="s">
        <v>27</v>
      </c>
      <c r="B29" s="7">
        <f t="shared" si="0"/>
        <v>28</v>
      </c>
      <c r="C29" s="13">
        <v>536933.7</v>
      </c>
    </row>
    <row r="30" spans="1:8" ht="15.75">
      <c r="A30" s="2" t="s">
        <v>28</v>
      </c>
      <c r="B30" s="5">
        <f t="shared" si="0"/>
        <v>29</v>
      </c>
      <c r="C30" s="11">
        <v>548175</v>
      </c>
      <c r="D30" s="1"/>
      <c r="E30" s="1"/>
      <c r="F30" s="1"/>
      <c r="G30" s="1"/>
      <c r="H30" s="1"/>
    </row>
    <row r="31" spans="1:8" ht="15.75">
      <c r="A31" s="3" t="s">
        <v>29</v>
      </c>
      <c r="B31" s="6">
        <f t="shared" si="0"/>
        <v>30</v>
      </c>
      <c r="C31" s="12">
        <v>543395.4</v>
      </c>
      <c r="D31" s="1"/>
      <c r="E31" s="1"/>
      <c r="F31" s="1"/>
      <c r="G31" s="1"/>
      <c r="H31" s="1"/>
    </row>
    <row r="32" spans="1:8" ht="15.75">
      <c r="A32" s="3" t="s">
        <v>30</v>
      </c>
      <c r="B32" s="6">
        <f t="shared" si="0"/>
        <v>31</v>
      </c>
      <c r="C32" s="12">
        <v>547678.9</v>
      </c>
      <c r="D32" s="1"/>
      <c r="E32" s="1"/>
      <c r="F32" s="1"/>
      <c r="G32" s="1"/>
      <c r="H32" s="1"/>
    </row>
    <row r="33" spans="1:8" ht="16.5" thickBot="1">
      <c r="A33" s="4" t="s">
        <v>31</v>
      </c>
      <c r="B33" s="7">
        <f t="shared" si="0"/>
        <v>32</v>
      </c>
      <c r="C33" s="13">
        <v>549152.9</v>
      </c>
      <c r="D33" s="1"/>
      <c r="E33" s="1"/>
      <c r="F33" s="1"/>
      <c r="G33" s="1"/>
      <c r="H33" s="1"/>
    </row>
    <row r="34" spans="1:8" ht="15.75">
      <c r="A34" s="2" t="s">
        <v>32</v>
      </c>
      <c r="B34" s="6">
        <f t="shared" si="0"/>
        <v>33</v>
      </c>
      <c r="C34" s="11">
        <v>568758.9</v>
      </c>
      <c r="D34" s="1"/>
      <c r="E34" s="1"/>
      <c r="F34" s="1"/>
      <c r="G34" s="1"/>
      <c r="H34" s="1"/>
    </row>
    <row r="35" spans="1:8" ht="15.75">
      <c r="A35" s="3" t="s">
        <v>33</v>
      </c>
      <c r="B35" s="6">
        <f t="shared" si="0"/>
        <v>34</v>
      </c>
      <c r="C35" s="12">
        <v>583195.2</v>
      </c>
      <c r="D35" s="1"/>
      <c r="E35" s="1"/>
      <c r="F35" s="1"/>
      <c r="G35" s="1"/>
      <c r="H35" s="1"/>
    </row>
    <row r="36" spans="1:8" ht="15.75">
      <c r="A36" s="3" t="s">
        <v>34</v>
      </c>
      <c r="B36" s="6">
        <f t="shared" si="0"/>
        <v>35</v>
      </c>
      <c r="C36" s="12">
        <v>589675.9</v>
      </c>
      <c r="D36" s="1"/>
      <c r="E36" s="1"/>
      <c r="F36" s="1"/>
      <c r="G36" s="1"/>
      <c r="H36" s="1"/>
    </row>
    <row r="37" spans="1:8" ht="16.5" thickBot="1">
      <c r="A37" s="4" t="s">
        <v>35</v>
      </c>
      <c r="B37" s="6">
        <f t="shared" si="0"/>
        <v>36</v>
      </c>
      <c r="C37" s="13">
        <v>595970.9</v>
      </c>
      <c r="D37" s="1"/>
      <c r="E37" s="1"/>
      <c r="F37" s="1"/>
      <c r="G37" s="1"/>
      <c r="H37" s="1"/>
    </row>
    <row r="38" spans="1:8" ht="15.75">
      <c r="A38" s="2" t="s">
        <v>36</v>
      </c>
      <c r="B38" s="5">
        <f t="shared" si="0"/>
        <v>37</v>
      </c>
      <c r="C38" s="11">
        <v>596536.5</v>
      </c>
      <c r="D38" s="1"/>
      <c r="E38" s="1"/>
      <c r="F38" s="1"/>
      <c r="G38" s="1"/>
      <c r="H38" s="1"/>
    </row>
    <row r="39" spans="1:8" ht="15.75">
      <c r="A39" s="3" t="s">
        <v>37</v>
      </c>
      <c r="B39" s="6">
        <f t="shared" si="0"/>
        <v>38</v>
      </c>
      <c r="C39" s="12">
        <v>594155.3</v>
      </c>
      <c r="D39" s="1"/>
      <c r="E39" s="1"/>
      <c r="F39" s="1"/>
      <c r="G39" s="1"/>
      <c r="H39" s="1"/>
    </row>
    <row r="40" spans="1:8" ht="15.75">
      <c r="A40" s="3" t="s">
        <v>38</v>
      </c>
      <c r="B40" s="6">
        <f t="shared" si="0"/>
        <v>39</v>
      </c>
      <c r="C40" s="12">
        <v>580665.6</v>
      </c>
      <c r="D40" s="1"/>
      <c r="E40" s="1"/>
      <c r="F40" s="1"/>
      <c r="G40" s="1"/>
      <c r="H40" s="1"/>
    </row>
    <row r="41" spans="1:8" ht="16.5" thickBot="1">
      <c r="A41" s="4" t="s">
        <v>39</v>
      </c>
      <c r="B41" s="7">
        <f t="shared" si="0"/>
        <v>40</v>
      </c>
      <c r="C41" s="13">
        <v>567335.8</v>
      </c>
      <c r="D41" s="1"/>
      <c r="E41" s="1"/>
      <c r="F41" s="1"/>
      <c r="G41" s="1"/>
      <c r="H41" s="1"/>
    </row>
    <row r="42" spans="1:8" ht="15.75">
      <c r="A42" s="2" t="s">
        <v>40</v>
      </c>
      <c r="B42" s="6">
        <f t="shared" si="0"/>
        <v>41</v>
      </c>
      <c r="C42" s="11">
        <v>560701.5</v>
      </c>
      <c r="D42" s="1"/>
      <c r="E42" s="1"/>
      <c r="F42" s="1"/>
      <c r="G42" s="1"/>
      <c r="H42" s="1"/>
    </row>
    <row r="43" spans="1:8" ht="15.75">
      <c r="A43" s="3" t="s">
        <v>41</v>
      </c>
      <c r="B43" s="6">
        <f t="shared" si="0"/>
        <v>42</v>
      </c>
      <c r="C43" s="12">
        <v>553728.3</v>
      </c>
      <c r="D43" s="1"/>
      <c r="E43" s="1"/>
      <c r="F43" s="1"/>
      <c r="G43" s="1"/>
      <c r="H43" s="1"/>
    </row>
    <row r="44" spans="1:8" ht="15.75">
      <c r="A44" s="3" t="s">
        <v>42</v>
      </c>
      <c r="B44" s="6">
        <f t="shared" si="0"/>
        <v>43</v>
      </c>
      <c r="C44" s="12">
        <v>548450.7</v>
      </c>
      <c r="D44" s="1"/>
      <c r="E44" s="1"/>
      <c r="F44" s="1"/>
      <c r="G44" s="1"/>
      <c r="H44" s="1"/>
    </row>
    <row r="45" spans="1:8" ht="16.5" thickBot="1">
      <c r="A45" s="4" t="s">
        <v>43</v>
      </c>
      <c r="B45" s="6">
        <f t="shared" si="0"/>
        <v>44</v>
      </c>
      <c r="C45" s="12">
        <v>558026.2</v>
      </c>
      <c r="D45" s="1"/>
      <c r="E45" s="1"/>
      <c r="F45" s="1"/>
      <c r="G45" s="1"/>
      <c r="H45" s="1"/>
    </row>
    <row r="46" spans="1:8" ht="15.75">
      <c r="A46" s="2" t="s">
        <v>44</v>
      </c>
      <c r="B46" s="5">
        <f t="shared" si="0"/>
        <v>45</v>
      </c>
      <c r="C46" s="11">
        <v>557442.5</v>
      </c>
      <c r="D46" s="1"/>
      <c r="E46" s="1"/>
      <c r="F46" s="1"/>
      <c r="G46" s="1"/>
      <c r="H46" s="1"/>
    </row>
    <row r="47" spans="1:8" ht="15.75">
      <c r="A47" s="3" t="s">
        <v>45</v>
      </c>
      <c r="B47" s="6">
        <f t="shared" si="0"/>
        <v>46</v>
      </c>
      <c r="C47" s="12">
        <v>563668.2</v>
      </c>
      <c r="D47" s="1"/>
      <c r="E47" s="1"/>
      <c r="F47" s="1"/>
      <c r="G47" s="1"/>
      <c r="H47" s="1"/>
    </row>
    <row r="48" spans="1:8" ht="15.75">
      <c r="A48" s="3" t="s">
        <v>46</v>
      </c>
      <c r="B48" s="6">
        <f t="shared" si="0"/>
        <v>47</v>
      </c>
      <c r="C48" s="12">
        <v>569176.8</v>
      </c>
      <c r="D48" s="1"/>
      <c r="E48" s="1"/>
      <c r="F48" s="1"/>
      <c r="G48" s="1"/>
      <c r="H48" s="1"/>
    </row>
    <row r="49" spans="1:8" ht="16.5" thickBot="1">
      <c r="A49" s="4" t="s">
        <v>47</v>
      </c>
      <c r="B49" s="7">
        <f t="shared" si="0"/>
        <v>48</v>
      </c>
      <c r="C49" s="12">
        <v>587564.8</v>
      </c>
      <c r="D49" s="1"/>
      <c r="E49" s="1"/>
      <c r="F49" s="1"/>
      <c r="G49" s="1"/>
      <c r="H49" s="1"/>
    </row>
    <row r="50" spans="1:8" ht="15.75">
      <c r="A50" s="2" t="s">
        <v>48</v>
      </c>
      <c r="B50" s="8">
        <f t="shared" si="0"/>
        <v>49</v>
      </c>
      <c r="C50" s="14">
        <v>584631.3</v>
      </c>
      <c r="D50" s="1"/>
      <c r="E50" s="1"/>
      <c r="F50" s="1"/>
      <c r="G50" s="1"/>
      <c r="H50" s="1"/>
    </row>
    <row r="51" spans="1:8" ht="15.75">
      <c r="A51" s="3" t="s">
        <v>49</v>
      </c>
      <c r="B51" s="9">
        <f t="shared" si="0"/>
        <v>50</v>
      </c>
      <c r="C51" s="15">
        <v>589489.7</v>
      </c>
      <c r="D51" s="1"/>
      <c r="E51" s="1"/>
      <c r="F51" s="1"/>
      <c r="G51" s="1"/>
      <c r="H51" s="1"/>
    </row>
    <row r="52" spans="1:8" ht="15.75">
      <c r="A52" s="3" t="s">
        <v>50</v>
      </c>
      <c r="B52" s="9">
        <f t="shared" si="0"/>
        <v>51</v>
      </c>
      <c r="C52" s="15">
        <v>582149.8</v>
      </c>
      <c r="D52" s="1"/>
      <c r="E52" s="1"/>
      <c r="F52" s="1"/>
      <c r="G52" s="1"/>
      <c r="H52" s="1"/>
    </row>
    <row r="53" spans="1:8" ht="16.5" thickBot="1">
      <c r="A53" s="4" t="s">
        <v>51</v>
      </c>
      <c r="B53" s="10">
        <f t="shared" si="0"/>
        <v>52</v>
      </c>
      <c r="C53" s="15">
        <v>599177.5</v>
      </c>
      <c r="D53" s="1"/>
      <c r="E53" s="1"/>
      <c r="F53" s="1"/>
      <c r="G53" s="1"/>
      <c r="H53" s="1"/>
    </row>
    <row r="54" spans="1:8" ht="15.75">
      <c r="A54" s="2" t="s">
        <v>52</v>
      </c>
      <c r="B54" s="8">
        <f t="shared" si="0"/>
        <v>53</v>
      </c>
      <c r="C54" s="14">
        <v>597108</v>
      </c>
      <c r="D54" s="1"/>
      <c r="E54" s="1"/>
      <c r="F54" s="1"/>
      <c r="G54" s="1"/>
      <c r="H54" s="1"/>
    </row>
    <row r="55" spans="1:8" ht="15.75">
      <c r="A55" s="3" t="s">
        <v>53</v>
      </c>
      <c r="B55" s="9">
        <f t="shared" si="0"/>
        <v>54</v>
      </c>
      <c r="C55" s="15">
        <v>604796.4</v>
      </c>
      <c r="D55" s="1"/>
      <c r="E55" s="1"/>
      <c r="F55" s="1"/>
      <c r="G55" s="1"/>
      <c r="H55" s="1"/>
    </row>
    <row r="56" spans="1:8" ht="15.75">
      <c r="A56" s="3" t="s">
        <v>54</v>
      </c>
      <c r="B56" s="9">
        <f t="shared" si="0"/>
        <v>55</v>
      </c>
      <c r="C56" s="15">
        <v>606284.6</v>
      </c>
      <c r="D56" s="1"/>
      <c r="E56" s="1"/>
      <c r="F56" s="1"/>
      <c r="G56" s="1"/>
      <c r="H56" s="1"/>
    </row>
    <row r="57" spans="1:8" ht="16.5" thickBot="1">
      <c r="A57" s="4" t="s">
        <v>55</v>
      </c>
      <c r="B57" s="10">
        <f t="shared" si="0"/>
        <v>56</v>
      </c>
      <c r="C57" s="15">
        <v>630641.9</v>
      </c>
      <c r="D57" s="1"/>
      <c r="E57" s="1"/>
      <c r="F57" s="1"/>
      <c r="G57" s="1"/>
      <c r="H57" s="1"/>
    </row>
    <row r="58" spans="1:8" ht="15.75">
      <c r="A58" s="2" t="s">
        <v>56</v>
      </c>
      <c r="B58" s="9">
        <f t="shared" si="0"/>
        <v>57</v>
      </c>
      <c r="C58" s="14">
        <v>636801.4</v>
      </c>
      <c r="D58" s="1"/>
      <c r="E58" s="1"/>
      <c r="F58" s="1"/>
      <c r="G58" s="1"/>
      <c r="H58" s="1"/>
    </row>
    <row r="59" spans="1:8" ht="15.75">
      <c r="A59" s="3" t="s">
        <v>57</v>
      </c>
      <c r="B59" s="9">
        <f t="shared" si="0"/>
        <v>58</v>
      </c>
      <c r="C59" s="15"/>
      <c r="D59" s="1"/>
      <c r="E59" s="1"/>
      <c r="F59" s="1"/>
      <c r="G59" s="1"/>
      <c r="H59" s="1"/>
    </row>
    <row r="60" spans="1:8" ht="15.75">
      <c r="A60" s="3" t="s">
        <v>58</v>
      </c>
      <c r="B60" s="9">
        <f t="shared" si="0"/>
        <v>59</v>
      </c>
      <c r="C60" s="15"/>
      <c r="D60" s="1"/>
      <c r="E60" s="1"/>
      <c r="F60" s="1"/>
      <c r="G60" s="1"/>
      <c r="H60" s="1"/>
    </row>
    <row r="61" spans="1:8" ht="16.5" thickBot="1">
      <c r="A61" s="4" t="s">
        <v>59</v>
      </c>
      <c r="B61" s="10">
        <f t="shared" si="0"/>
        <v>60</v>
      </c>
      <c r="C61" s="16"/>
      <c r="D61" s="1"/>
      <c r="E61" s="1"/>
      <c r="F61" s="1"/>
      <c r="G61" s="1"/>
      <c r="H61" s="1"/>
    </row>
    <row r="62" spans="1:8" ht="15.75">
      <c r="A62" s="1"/>
      <c r="B62" s="1"/>
      <c r="C62" s="1"/>
      <c r="D62" s="1"/>
      <c r="E62" s="1"/>
      <c r="F62" s="1"/>
      <c r="G62" s="1"/>
      <c r="H62" s="1"/>
    </row>
    <row r="63" spans="1:8" ht="15.75">
      <c r="A63" s="1"/>
      <c r="B63" s="1"/>
      <c r="C63" s="1"/>
      <c r="D63" s="1"/>
      <c r="E63" s="1"/>
      <c r="F63" s="1"/>
      <c r="G63" s="1"/>
      <c r="H63" s="1"/>
    </row>
    <row r="64" spans="1:8" ht="15.75">
      <c r="A64" s="1"/>
      <c r="B64" s="1"/>
      <c r="C64" s="1"/>
      <c r="D64" s="1"/>
      <c r="E64" s="1"/>
      <c r="F64" s="1"/>
      <c r="G64" s="1"/>
      <c r="H64" s="1"/>
    </row>
    <row r="65" spans="1:8" ht="15.75">
      <c r="A65" s="1"/>
      <c r="B65" s="1"/>
      <c r="C65" s="1"/>
      <c r="D65" s="1"/>
      <c r="E65" s="1"/>
      <c r="F65" s="1"/>
      <c r="G65" s="1"/>
      <c r="H65" s="1"/>
    </row>
    <row r="66" spans="1:8" ht="15.75">
      <c r="A66" s="1"/>
      <c r="B66" s="1"/>
      <c r="C66" s="1"/>
      <c r="D66" s="1"/>
      <c r="E66" s="1"/>
      <c r="F66" s="1"/>
      <c r="G66" s="1"/>
      <c r="H66" s="1"/>
    </row>
    <row r="67" spans="1:8" ht="15.75">
      <c r="A67" s="1"/>
      <c r="B67" s="1"/>
      <c r="C67" s="1"/>
      <c r="D67" s="1"/>
      <c r="E67" s="1"/>
      <c r="F67" s="1"/>
      <c r="G67" s="1"/>
      <c r="H67" s="1"/>
    </row>
    <row r="68" spans="1:8" ht="15.75">
      <c r="A68" s="1"/>
      <c r="B68" s="1"/>
      <c r="C68" s="1"/>
      <c r="D68" s="1"/>
      <c r="E68" s="1"/>
      <c r="F68" s="1"/>
      <c r="G68" s="1"/>
      <c r="H68" s="1"/>
    </row>
    <row r="69" spans="1:8" ht="15.75">
      <c r="A69" s="1"/>
      <c r="B69" s="1"/>
      <c r="C69" s="1"/>
      <c r="D69" s="1"/>
      <c r="E69" s="1"/>
      <c r="F69" s="1"/>
      <c r="G69" s="1"/>
      <c r="H69" s="1"/>
    </row>
    <row r="70" spans="1:8" ht="15.75">
      <c r="A70" s="1"/>
      <c r="B70" s="1"/>
      <c r="C70" s="1"/>
      <c r="D70" s="1"/>
      <c r="E70" s="1"/>
      <c r="F70" s="1"/>
      <c r="G70" s="1"/>
      <c r="H70" s="1"/>
    </row>
    <row r="71" spans="1:8" ht="15.75">
      <c r="A71" s="1"/>
      <c r="B71" s="1"/>
      <c r="C71" s="1"/>
      <c r="D71" s="1"/>
      <c r="E71" s="1"/>
      <c r="F71" s="1"/>
      <c r="G71" s="1"/>
      <c r="H71" s="1"/>
    </row>
    <row r="72" spans="1:8" ht="15.75">
      <c r="A72" s="1"/>
      <c r="B72" s="1"/>
      <c r="C72" s="1"/>
      <c r="D72" s="1"/>
      <c r="E72" s="1"/>
      <c r="F72" s="1"/>
      <c r="G72" s="1"/>
      <c r="H72" s="1"/>
    </row>
    <row r="73" spans="1:8" ht="15.75">
      <c r="A73" s="1"/>
      <c r="B73" s="1"/>
      <c r="C73" s="1"/>
      <c r="D73" s="1"/>
      <c r="E73" s="1"/>
      <c r="F73" s="1"/>
      <c r="G73" s="1"/>
      <c r="H73" s="1"/>
    </row>
    <row r="74" spans="1:8" ht="15.75">
      <c r="A74" s="1"/>
      <c r="B74" s="1"/>
      <c r="C74" s="1"/>
      <c r="D74" s="1"/>
      <c r="E74" s="1"/>
      <c r="F74" s="1"/>
      <c r="G74" s="1"/>
      <c r="H74" s="1"/>
    </row>
    <row r="75" spans="1:8" ht="15.75">
      <c r="A75" s="1"/>
      <c r="B75" s="1"/>
      <c r="C75" s="1"/>
      <c r="D75" s="1"/>
      <c r="E75" s="1"/>
      <c r="F75" s="1"/>
      <c r="G75" s="1"/>
      <c r="H75" s="1"/>
    </row>
    <row r="76" spans="1:8" ht="15.75">
      <c r="A76" s="1"/>
      <c r="B76" s="1"/>
      <c r="C76" s="1"/>
      <c r="D76" s="1"/>
      <c r="E76" s="1"/>
      <c r="F76" s="1"/>
      <c r="G76" s="1"/>
      <c r="H76" s="1"/>
    </row>
    <row r="77" spans="1:8" ht="15.75">
      <c r="A77" s="1"/>
      <c r="B77" s="1"/>
      <c r="C77" s="1"/>
      <c r="D77" s="1"/>
      <c r="E77" s="1"/>
      <c r="F77" s="1"/>
      <c r="G77" s="1"/>
      <c r="H77" s="1"/>
    </row>
    <row r="78" spans="1:8" ht="15.75">
      <c r="A78" s="1"/>
      <c r="B78" s="1"/>
      <c r="C78" s="1"/>
      <c r="D78" s="1"/>
      <c r="E78" s="1"/>
      <c r="F78" s="1"/>
      <c r="G78" s="1"/>
      <c r="H78" s="1"/>
    </row>
    <row r="79" spans="1:8" ht="15.75">
      <c r="A79" s="1"/>
      <c r="B79" s="1"/>
      <c r="C79" s="1"/>
      <c r="D79" s="1"/>
      <c r="E79" s="1"/>
      <c r="F79" s="1"/>
      <c r="G79" s="1"/>
      <c r="H79" s="1"/>
    </row>
    <row r="80" spans="1:8" ht="15.75">
      <c r="A80" s="1"/>
      <c r="B80" s="1"/>
      <c r="C80" s="1"/>
      <c r="D80" s="1"/>
      <c r="E80" s="1"/>
      <c r="F80" s="1"/>
      <c r="G80" s="1"/>
      <c r="H80" s="1"/>
    </row>
    <row r="81" spans="1:8" ht="15.75">
      <c r="A81" s="1"/>
      <c r="B81" s="1"/>
      <c r="C81" s="1"/>
      <c r="D81" s="1"/>
      <c r="E81" s="1"/>
      <c r="F81" s="1"/>
      <c r="G81" s="1"/>
      <c r="H81" s="1"/>
    </row>
    <row r="82" spans="1:8" ht="15.75">
      <c r="A82" s="1"/>
      <c r="B82" s="1"/>
      <c r="C82" s="1"/>
      <c r="D82" s="1"/>
      <c r="E82" s="1"/>
      <c r="F82" s="1"/>
      <c r="G82" s="1"/>
      <c r="H82" s="1"/>
    </row>
    <row r="83" spans="1:8" ht="15.75">
      <c r="A83" s="1"/>
      <c r="B83" s="1"/>
      <c r="C83" s="1"/>
      <c r="D83" s="1"/>
      <c r="E83" s="1"/>
      <c r="F83" s="1"/>
      <c r="G83" s="1"/>
      <c r="H83" s="1"/>
    </row>
    <row r="84" spans="1:8" ht="15.75">
      <c r="A84" s="1"/>
      <c r="B84" s="1"/>
      <c r="C84" s="1"/>
      <c r="D84" s="1"/>
      <c r="E84" s="1"/>
      <c r="F84" s="1"/>
      <c r="G84" s="1"/>
      <c r="H84" s="1"/>
    </row>
    <row r="85" spans="1:8" ht="15.75">
      <c r="A85" s="1"/>
      <c r="B85" s="1"/>
      <c r="C85" s="1"/>
      <c r="D85" s="1"/>
      <c r="E85" s="1"/>
      <c r="F85" s="1"/>
      <c r="G85" s="1"/>
      <c r="H85" s="1"/>
    </row>
    <row r="86" spans="1:8" ht="15.75">
      <c r="A86" s="1"/>
      <c r="B86" s="1"/>
      <c r="C86" s="1"/>
      <c r="D86" s="1"/>
      <c r="E86" s="1"/>
      <c r="F86" s="1"/>
      <c r="G86" s="1"/>
      <c r="H86" s="1"/>
    </row>
    <row r="87" spans="1:8" ht="15.75">
      <c r="A87" s="1"/>
      <c r="B87" s="1"/>
      <c r="C87" s="1"/>
      <c r="D87" s="1"/>
      <c r="E87" s="1"/>
      <c r="F87" s="1"/>
      <c r="G87" s="1"/>
      <c r="H87" s="1"/>
    </row>
    <row r="88" spans="1:8" ht="15.75">
      <c r="A88" s="1"/>
      <c r="B88" s="1"/>
      <c r="C88" s="1"/>
      <c r="D88" s="1"/>
      <c r="E88" s="1"/>
      <c r="F88" s="1"/>
      <c r="G88" s="1"/>
      <c r="H88" s="1"/>
    </row>
    <row r="89" spans="1:8" ht="15.75">
      <c r="A89" s="1"/>
      <c r="B89" s="1"/>
      <c r="C89" s="1"/>
      <c r="D89" s="1"/>
      <c r="E89" s="1"/>
      <c r="F89" s="1"/>
      <c r="G89" s="1"/>
      <c r="H89" s="1"/>
    </row>
    <row r="90" spans="1:8" ht="15.75">
      <c r="A90" s="1"/>
      <c r="B90" s="1"/>
      <c r="C90" s="1"/>
      <c r="D90" s="1"/>
      <c r="E90" s="1"/>
      <c r="F90" s="1"/>
      <c r="G90" s="1"/>
      <c r="H90" s="1"/>
    </row>
    <row r="91" spans="1:8" ht="15.75">
      <c r="A91" s="1"/>
      <c r="B91" s="1"/>
      <c r="C91" s="1"/>
      <c r="D91" s="1"/>
      <c r="E91" s="1"/>
      <c r="F91" s="1"/>
      <c r="G91" s="1"/>
      <c r="H91" s="1"/>
    </row>
    <row r="92" spans="1:8" ht="15.75">
      <c r="A92" s="1"/>
      <c r="B92" s="1"/>
      <c r="C92" s="1"/>
      <c r="D92" s="1"/>
      <c r="E92" s="1"/>
      <c r="F92" s="1"/>
      <c r="G92" s="1"/>
      <c r="H92" s="1"/>
    </row>
    <row r="93" spans="1:8" ht="15.75">
      <c r="A93" s="1"/>
      <c r="B93" s="1"/>
      <c r="C93" s="1"/>
      <c r="D93" s="1"/>
      <c r="E93" s="1"/>
      <c r="F93" s="1"/>
      <c r="G93" s="1"/>
      <c r="H93" s="1"/>
    </row>
    <row r="94" spans="1:8" ht="15.75">
      <c r="A94" s="1"/>
      <c r="B94" s="1"/>
      <c r="C94" s="1"/>
      <c r="D94" s="1"/>
      <c r="E94" s="1"/>
      <c r="F94" s="1"/>
      <c r="G94" s="1"/>
      <c r="H94" s="1"/>
    </row>
    <row r="95" spans="1:8" ht="15.75">
      <c r="A95" s="1"/>
      <c r="B95" s="1"/>
      <c r="C95" s="1"/>
      <c r="D95" s="1"/>
      <c r="E95" s="1"/>
      <c r="F95" s="1"/>
      <c r="G95" s="1"/>
      <c r="H95" s="1"/>
    </row>
    <row r="96" spans="1:8" ht="15.75">
      <c r="A96" s="1"/>
      <c r="B96" s="1"/>
      <c r="C96" s="1"/>
      <c r="D96" s="1"/>
      <c r="E96" s="1"/>
      <c r="F96" s="1"/>
      <c r="G96" s="1"/>
      <c r="H96" s="1"/>
    </row>
    <row r="97" spans="1:8" ht="15.75">
      <c r="A97" s="1"/>
      <c r="B97" s="1"/>
      <c r="C97" s="1"/>
      <c r="D97" s="1"/>
      <c r="E97" s="1"/>
      <c r="F97" s="1"/>
      <c r="G97" s="1"/>
      <c r="H97" s="1"/>
    </row>
    <row r="98" spans="1:8" ht="15.75">
      <c r="A98" s="1"/>
      <c r="B98" s="1"/>
      <c r="C98" s="1"/>
      <c r="D98" s="1"/>
      <c r="E98" s="1"/>
      <c r="F98" s="1"/>
      <c r="G98" s="1"/>
      <c r="H98" s="1"/>
    </row>
    <row r="99" spans="1:8" ht="15.75">
      <c r="A99" s="1"/>
      <c r="B99" s="1"/>
      <c r="C99" s="1"/>
      <c r="D99" s="1"/>
      <c r="E99" s="1"/>
      <c r="F99" s="1"/>
      <c r="G99" s="1"/>
      <c r="H99" s="1"/>
    </row>
    <row r="100" spans="1:8" ht="15.75">
      <c r="A100" s="1"/>
      <c r="B100" s="1"/>
      <c r="C100" s="1"/>
      <c r="D100" s="1"/>
      <c r="E100" s="1"/>
      <c r="F100" s="1"/>
      <c r="G100" s="1"/>
      <c r="H100" s="1"/>
    </row>
    <row r="101" spans="1:8" ht="15.75">
      <c r="A101" s="1"/>
      <c r="B101" s="1"/>
      <c r="C101" s="1"/>
      <c r="D101" s="1"/>
      <c r="E101" s="1"/>
      <c r="F101" s="1"/>
      <c r="G101" s="1"/>
      <c r="H101" s="1"/>
    </row>
    <row r="102" spans="1:8" ht="15.75">
      <c r="A102" s="1"/>
      <c r="B102" s="1"/>
      <c r="C102" s="1"/>
      <c r="D102" s="1"/>
      <c r="E102" s="1"/>
      <c r="F102" s="1"/>
      <c r="G102" s="1"/>
      <c r="H102" s="1"/>
    </row>
    <row r="103" spans="1:8" ht="15.75">
      <c r="A103" s="1"/>
      <c r="B103" s="1"/>
      <c r="C103" s="1"/>
      <c r="D103" s="1"/>
      <c r="E103" s="1"/>
      <c r="F103" s="1"/>
      <c r="G103" s="1"/>
      <c r="H103" s="1"/>
    </row>
    <row r="104" spans="1:8" ht="15.75">
      <c r="A104" s="1"/>
      <c r="B104" s="1"/>
      <c r="C104" s="1"/>
      <c r="D104" s="1"/>
      <c r="E104" s="1"/>
      <c r="F104" s="1"/>
      <c r="G104" s="1"/>
      <c r="H104" s="1"/>
    </row>
    <row r="105" spans="1:8" ht="15.75">
      <c r="A105" s="1"/>
      <c r="B105" s="1"/>
      <c r="C105" s="1"/>
      <c r="D105" s="1"/>
      <c r="E105" s="1"/>
      <c r="F105" s="1"/>
      <c r="G105" s="1"/>
      <c r="H105" s="1"/>
    </row>
    <row r="106" spans="1:8" ht="15.75">
      <c r="A106" s="1"/>
      <c r="B106" s="1"/>
      <c r="C106" s="1"/>
      <c r="D106" s="1"/>
      <c r="E106" s="1"/>
      <c r="F106" s="1"/>
      <c r="G106" s="1"/>
      <c r="H106" s="1"/>
    </row>
    <row r="107" spans="1:8" ht="15.75">
      <c r="A107" s="1"/>
      <c r="B107" s="1"/>
      <c r="C107" s="1"/>
      <c r="D107" s="1"/>
      <c r="E107" s="1"/>
      <c r="F107" s="1"/>
      <c r="G107" s="1"/>
      <c r="H107" s="1"/>
    </row>
    <row r="108" spans="1:8" ht="15.75">
      <c r="A108" s="1"/>
      <c r="B108" s="1"/>
      <c r="C108" s="1"/>
      <c r="D108" s="1"/>
      <c r="E108" s="1"/>
      <c r="F108" s="1"/>
      <c r="G108" s="1"/>
      <c r="H108" s="1"/>
    </row>
    <row r="109" spans="1:8" ht="15.75">
      <c r="A109" s="1"/>
      <c r="B109" s="1"/>
      <c r="C109" s="1"/>
      <c r="D109" s="1"/>
      <c r="E109" s="1"/>
      <c r="F109" s="1"/>
      <c r="G109" s="1"/>
      <c r="H109" s="1"/>
    </row>
    <row r="110" spans="1:8" ht="15.75">
      <c r="A110" s="1"/>
      <c r="B110" s="1"/>
      <c r="C110" s="1"/>
      <c r="D110" s="1"/>
      <c r="E110" s="1"/>
      <c r="F110" s="1"/>
      <c r="G110" s="1"/>
      <c r="H110" s="1"/>
    </row>
    <row r="111" spans="1:8" ht="15.75">
      <c r="A111" s="1"/>
      <c r="B111" s="1"/>
      <c r="C111" s="1"/>
      <c r="D111" s="1"/>
      <c r="E111" s="1"/>
      <c r="F111" s="1"/>
      <c r="G111" s="1"/>
      <c r="H111" s="1"/>
    </row>
    <row r="112" spans="1:8" ht="15.75">
      <c r="A112" s="1"/>
      <c r="B112" s="1"/>
      <c r="C112" s="1"/>
      <c r="D112" s="1"/>
      <c r="E112" s="1"/>
      <c r="F112" s="1"/>
      <c r="G112" s="1"/>
      <c r="H112" s="1"/>
    </row>
    <row r="113" spans="1:8" ht="15.75">
      <c r="A113" s="1"/>
      <c r="B113" s="1"/>
      <c r="C113" s="1"/>
      <c r="D113" s="1"/>
      <c r="E113" s="1"/>
      <c r="F113" s="1"/>
      <c r="G113" s="1"/>
      <c r="H113" s="1"/>
    </row>
    <row r="114" spans="1:8" ht="15.75">
      <c r="A114" s="1"/>
      <c r="B114" s="1"/>
      <c r="C114" s="1"/>
      <c r="D114" s="1"/>
      <c r="E114" s="1"/>
      <c r="F114" s="1"/>
      <c r="G114" s="1"/>
      <c r="H114" s="1"/>
    </row>
    <row r="115" spans="1:8" ht="15.75">
      <c r="A115" s="1"/>
      <c r="B115" s="1"/>
      <c r="C115" s="1"/>
      <c r="D115" s="1"/>
      <c r="E115" s="1"/>
      <c r="F115" s="1"/>
      <c r="G115" s="1"/>
      <c r="H115" s="1"/>
    </row>
    <row r="116" spans="1:8" ht="15.75">
      <c r="A116" s="1"/>
      <c r="B116" s="1"/>
      <c r="C116" s="1"/>
      <c r="D116" s="1"/>
      <c r="E116" s="1"/>
      <c r="F116" s="1"/>
      <c r="G116" s="1"/>
      <c r="H116" s="1"/>
    </row>
    <row r="117" spans="1:8" ht="15.75">
      <c r="A117" s="1"/>
      <c r="B117" s="1"/>
      <c r="C117" s="1"/>
      <c r="D117" s="1"/>
      <c r="E117" s="1"/>
      <c r="F117" s="1"/>
      <c r="G117" s="1"/>
      <c r="H117" s="1"/>
    </row>
    <row r="118" spans="1:8" ht="15.75">
      <c r="A118" s="1"/>
      <c r="B118" s="1"/>
      <c r="C118" s="1"/>
      <c r="D118" s="1"/>
      <c r="E118" s="1"/>
      <c r="F118" s="1"/>
      <c r="G118" s="1"/>
      <c r="H118" s="1"/>
    </row>
    <row r="119" spans="1:8" ht="15.75">
      <c r="A119" s="1"/>
      <c r="B119" s="1"/>
      <c r="C119" s="1"/>
      <c r="D119" s="1"/>
      <c r="E119" s="1"/>
      <c r="F119" s="1"/>
      <c r="G119" s="1"/>
      <c r="H119" s="1"/>
    </row>
    <row r="120" spans="1:8" ht="15.75">
      <c r="A120" s="1"/>
      <c r="B120" s="1"/>
      <c r="C120" s="1"/>
      <c r="D120" s="1"/>
      <c r="E120" s="1"/>
      <c r="F120" s="1"/>
      <c r="G120" s="1"/>
      <c r="H120" s="1"/>
    </row>
    <row r="121" spans="1:8" ht="15.75">
      <c r="A121" s="1"/>
      <c r="B121" s="1"/>
      <c r="C121" s="1"/>
      <c r="D121" s="1"/>
      <c r="E121" s="1"/>
      <c r="F121" s="1"/>
      <c r="G121" s="1"/>
      <c r="H121" s="1"/>
    </row>
    <row r="122" spans="1:8" ht="15.75">
      <c r="A122" s="1"/>
      <c r="B122" s="1"/>
      <c r="C122" s="1"/>
      <c r="D122" s="1"/>
      <c r="E122" s="1"/>
      <c r="F122" s="1"/>
      <c r="G122" s="1"/>
      <c r="H122" s="1"/>
    </row>
    <row r="123" spans="1:8" ht="15.75">
      <c r="A123" s="1"/>
      <c r="B123" s="1"/>
      <c r="C123" s="1"/>
      <c r="D123" s="1"/>
      <c r="E123" s="1"/>
      <c r="F123" s="1"/>
      <c r="G123" s="1"/>
      <c r="H123" s="1"/>
    </row>
    <row r="124" spans="1:8" ht="15.75">
      <c r="A124" s="1"/>
      <c r="B124" s="1"/>
      <c r="C124" s="1"/>
      <c r="D124" s="1"/>
      <c r="E124" s="1"/>
      <c r="F124" s="1"/>
      <c r="G124" s="1"/>
      <c r="H124" s="1"/>
    </row>
    <row r="125" spans="1:8" ht="15.75">
      <c r="A125" s="1"/>
      <c r="B125" s="1"/>
      <c r="C125" s="1"/>
      <c r="D125" s="1"/>
      <c r="E125" s="1"/>
      <c r="F125" s="1"/>
      <c r="G125" s="1"/>
      <c r="H125" s="1"/>
    </row>
    <row r="126" spans="1:8" ht="15.75">
      <c r="A126" s="1"/>
      <c r="B126" s="1"/>
      <c r="C126" s="1"/>
      <c r="D126" s="1"/>
      <c r="E126" s="1"/>
      <c r="F126" s="1"/>
      <c r="G126" s="1"/>
      <c r="H126" s="1"/>
    </row>
    <row r="127" spans="1:8" ht="15.75">
      <c r="A127" s="1"/>
      <c r="B127" s="1"/>
      <c r="C127" s="1"/>
      <c r="D127" s="1"/>
      <c r="E127" s="1"/>
      <c r="F127" s="1"/>
      <c r="G127" s="1"/>
      <c r="H127" s="1"/>
    </row>
    <row r="128" spans="1:8" ht="15.75">
      <c r="A128" s="1"/>
      <c r="B128" s="1"/>
      <c r="C128" s="1"/>
      <c r="D128" s="1"/>
      <c r="E128" s="1"/>
      <c r="F128" s="1"/>
      <c r="G128" s="1"/>
      <c r="H128" s="1"/>
    </row>
    <row r="129" spans="1:8" ht="15.75">
      <c r="A129" s="1"/>
      <c r="B129" s="1"/>
      <c r="C129" s="1"/>
      <c r="D129" s="1"/>
      <c r="E129" s="1"/>
      <c r="F129" s="1"/>
      <c r="G129" s="1"/>
      <c r="H129" s="1"/>
    </row>
    <row r="130" spans="1:8" ht="15.75">
      <c r="A130" s="1"/>
      <c r="B130" s="1"/>
      <c r="C130" s="1"/>
      <c r="D130" s="1"/>
      <c r="E130" s="1"/>
      <c r="F130" s="1"/>
      <c r="G130" s="1"/>
      <c r="H130" s="1"/>
    </row>
    <row r="131" spans="1:8" ht="15.75">
      <c r="A131" s="1"/>
      <c r="B131" s="1"/>
      <c r="C131" s="1"/>
      <c r="D131" s="1"/>
      <c r="E131" s="1"/>
      <c r="F131" s="1"/>
      <c r="G131" s="1"/>
      <c r="H131" s="1"/>
    </row>
    <row r="132" spans="1:8" ht="15.75">
      <c r="A132" s="1"/>
      <c r="B132" s="1"/>
      <c r="C132" s="1"/>
      <c r="D132" s="1"/>
      <c r="E132" s="1"/>
      <c r="F132" s="1"/>
      <c r="G132" s="1"/>
      <c r="H132" s="1"/>
    </row>
    <row r="133" spans="1:8" ht="15.75">
      <c r="A133" s="1"/>
      <c r="B133" s="1"/>
      <c r="C133" s="1"/>
      <c r="D133" s="1"/>
      <c r="E133" s="1"/>
      <c r="F133" s="1"/>
      <c r="G133" s="1"/>
      <c r="H133" s="1"/>
    </row>
    <row r="134" spans="1:8" ht="15.75">
      <c r="A134" s="1"/>
      <c r="B134" s="1"/>
      <c r="C134" s="1"/>
      <c r="D134" s="1"/>
      <c r="E134" s="1"/>
      <c r="F134" s="1"/>
      <c r="G134" s="1"/>
      <c r="H134" s="1"/>
    </row>
    <row r="135" spans="1:8" ht="15.75">
      <c r="A135" s="1"/>
      <c r="B135" s="1"/>
      <c r="C135" s="1"/>
      <c r="D135" s="1"/>
      <c r="E135" s="1"/>
      <c r="F135" s="1"/>
      <c r="G135" s="1"/>
      <c r="H135" s="1"/>
    </row>
    <row r="136" spans="1:8" ht="15.75">
      <c r="A136" s="1"/>
      <c r="B136" s="1"/>
      <c r="C136" s="1"/>
      <c r="D136" s="1"/>
      <c r="E136" s="1"/>
      <c r="F136" s="1"/>
      <c r="G136" s="1"/>
      <c r="H136" s="1"/>
    </row>
    <row r="137" spans="1:8" ht="15.75">
      <c r="A137" s="1"/>
      <c r="B137" s="1"/>
      <c r="C137" s="1"/>
      <c r="D137" s="1"/>
      <c r="E137" s="1"/>
      <c r="F137" s="1"/>
      <c r="G137" s="1"/>
      <c r="H137" s="1"/>
    </row>
    <row r="138" spans="1:8" ht="15.75">
      <c r="A138" s="1"/>
      <c r="B138" s="1"/>
      <c r="C138" s="1"/>
      <c r="D138" s="1"/>
      <c r="E138" s="1"/>
      <c r="F138" s="1"/>
      <c r="G138" s="1"/>
      <c r="H138" s="1"/>
    </row>
    <row r="139" spans="1:8" ht="15.75">
      <c r="A139" s="1"/>
      <c r="B139" s="1"/>
      <c r="C139" s="1"/>
      <c r="D139" s="1"/>
      <c r="E139" s="1"/>
      <c r="F139" s="1"/>
      <c r="G139" s="1"/>
      <c r="H139" s="1"/>
    </row>
    <row r="140" spans="1:8" ht="15.75">
      <c r="A140" s="1"/>
      <c r="B140" s="1"/>
      <c r="C140" s="1"/>
      <c r="D140" s="1"/>
      <c r="E140" s="1"/>
      <c r="F140" s="1"/>
      <c r="G140" s="1"/>
      <c r="H140" s="1"/>
    </row>
    <row r="141" spans="1:8" ht="15.75">
      <c r="A141" s="1"/>
      <c r="B141" s="1"/>
      <c r="C141" s="1"/>
      <c r="D141" s="1"/>
      <c r="E141" s="1"/>
      <c r="F141" s="1"/>
      <c r="G141" s="1"/>
      <c r="H141" s="1"/>
    </row>
    <row r="142" spans="1:8" ht="15.75">
      <c r="A142" s="1"/>
      <c r="B142" s="1"/>
      <c r="C142" s="1"/>
      <c r="D142" s="1"/>
      <c r="E142" s="1"/>
      <c r="F142" s="1"/>
      <c r="G142" s="1"/>
      <c r="H142" s="1"/>
    </row>
    <row r="143" spans="1:8" ht="15.75">
      <c r="A143" s="1"/>
      <c r="B143" s="1"/>
      <c r="C143" s="1"/>
      <c r="D143" s="1"/>
      <c r="E143" s="1"/>
      <c r="F143" s="1"/>
      <c r="G143" s="1"/>
      <c r="H143" s="1"/>
    </row>
    <row r="144" spans="1:8" ht="15.75">
      <c r="A144" s="1"/>
      <c r="B144" s="1"/>
      <c r="C144" s="1"/>
      <c r="D144" s="1"/>
      <c r="E144" s="1"/>
      <c r="F144" s="1"/>
      <c r="G144" s="1"/>
      <c r="H144" s="1"/>
    </row>
    <row r="145" spans="1:8" ht="15.75">
      <c r="A145" s="1"/>
      <c r="B145" s="1"/>
      <c r="C145" s="1"/>
      <c r="D145" s="1"/>
      <c r="E145" s="1"/>
      <c r="F145" s="1"/>
      <c r="G145" s="1"/>
      <c r="H145" s="1"/>
    </row>
    <row r="146" spans="1:8" ht="15.75">
      <c r="A146" s="1"/>
      <c r="B146" s="1"/>
      <c r="C146" s="1"/>
      <c r="D146" s="1"/>
      <c r="E146" s="1"/>
      <c r="F146" s="1"/>
      <c r="G146" s="1"/>
      <c r="H146" s="1"/>
    </row>
    <row r="147" spans="1:8" ht="15.75">
      <c r="A147" s="1"/>
      <c r="B147" s="1"/>
      <c r="C147" s="1"/>
      <c r="D147" s="1"/>
      <c r="E147" s="1"/>
      <c r="F147" s="1"/>
      <c r="G147" s="1"/>
      <c r="H147" s="1"/>
    </row>
    <row r="148" spans="1:8" ht="15.75">
      <c r="A148" s="1"/>
      <c r="B148" s="1"/>
      <c r="C148" s="1"/>
      <c r="D148" s="1"/>
      <c r="E148" s="1"/>
      <c r="F148" s="1"/>
      <c r="G148" s="1"/>
      <c r="H148" s="1"/>
    </row>
    <row r="149" spans="1:8" ht="15.75">
      <c r="A149" s="1"/>
      <c r="B149" s="1"/>
      <c r="C149" s="1"/>
      <c r="D149" s="1"/>
      <c r="E149" s="1"/>
      <c r="F149" s="1"/>
      <c r="G149" s="1"/>
      <c r="H149" s="1"/>
    </row>
    <row r="150" spans="1:8" ht="15.75">
      <c r="A150" s="1"/>
      <c r="B150" s="1"/>
      <c r="C150" s="1"/>
      <c r="D150" s="1"/>
      <c r="E150" s="1"/>
      <c r="F150" s="1"/>
      <c r="G150" s="1"/>
      <c r="H150" s="1"/>
    </row>
    <row r="151" spans="1:8" ht="15.75">
      <c r="A151" s="1"/>
      <c r="B151" s="1"/>
      <c r="C151" s="1"/>
      <c r="D151" s="1"/>
      <c r="E151" s="1"/>
      <c r="F151" s="1"/>
      <c r="G151" s="1"/>
      <c r="H151" s="1"/>
    </row>
    <row r="152" spans="1:8" ht="15.75">
      <c r="A152" s="1"/>
      <c r="B152" s="1"/>
      <c r="C152" s="1"/>
      <c r="D152" s="1"/>
      <c r="E152" s="1"/>
      <c r="F152" s="1"/>
      <c r="G152" s="1"/>
      <c r="H152" s="1"/>
    </row>
    <row r="153" spans="1:8" ht="15.75">
      <c r="A153" s="1"/>
      <c r="B153" s="1"/>
      <c r="C153" s="1"/>
      <c r="D153" s="1"/>
      <c r="E153" s="1"/>
      <c r="F153" s="1"/>
      <c r="G153" s="1"/>
      <c r="H153" s="1"/>
    </row>
    <row r="154" spans="1:8" ht="15.75">
      <c r="A154" s="1"/>
      <c r="B154" s="1"/>
      <c r="C154" s="1"/>
      <c r="D154" s="1"/>
      <c r="E154" s="1"/>
      <c r="F154" s="1"/>
      <c r="G154" s="1"/>
      <c r="H154" s="1"/>
    </row>
    <row r="155" spans="1:8" ht="15.75">
      <c r="A155" s="1"/>
      <c r="B155" s="1"/>
      <c r="C155" s="1"/>
      <c r="D155" s="1"/>
      <c r="E155" s="1"/>
      <c r="F155" s="1"/>
      <c r="G155" s="1"/>
      <c r="H155" s="1"/>
    </row>
    <row r="156" spans="1:8" ht="15.75">
      <c r="A156" s="1"/>
      <c r="B156" s="1"/>
      <c r="C156" s="1"/>
      <c r="D156" s="1"/>
      <c r="E156" s="1"/>
      <c r="F156" s="1"/>
      <c r="G156" s="1"/>
      <c r="H156" s="1"/>
    </row>
    <row r="157" spans="1:8" ht="15.75">
      <c r="A157" s="1"/>
      <c r="B157" s="1"/>
      <c r="C157" s="1"/>
      <c r="D157" s="1"/>
      <c r="E157" s="1"/>
      <c r="F157" s="1"/>
      <c r="G157" s="1"/>
      <c r="H157" s="1"/>
    </row>
    <row r="158" spans="1:8" ht="15.75">
      <c r="A158" s="1"/>
      <c r="B158" s="1"/>
      <c r="C158" s="1"/>
      <c r="D158" s="1"/>
      <c r="E158" s="1"/>
      <c r="F158" s="1"/>
      <c r="G158" s="1"/>
      <c r="H158" s="1"/>
    </row>
    <row r="159" spans="1:8" ht="15.75">
      <c r="A159" s="1"/>
      <c r="B159" s="1"/>
      <c r="C159" s="1"/>
      <c r="D159" s="1"/>
      <c r="E159" s="1"/>
      <c r="F159" s="1"/>
      <c r="G159" s="1"/>
      <c r="H159" s="1"/>
    </row>
    <row r="160" spans="1:8" ht="15.75">
      <c r="A160" s="1"/>
      <c r="B160" s="1"/>
      <c r="C160" s="1"/>
      <c r="D160" s="1"/>
      <c r="E160" s="1"/>
      <c r="F160" s="1"/>
      <c r="G160" s="1"/>
      <c r="H160" s="1"/>
    </row>
    <row r="161" spans="1:8" ht="15.75">
      <c r="A161" s="1"/>
      <c r="B161" s="1"/>
      <c r="C161" s="1"/>
      <c r="D161" s="1"/>
      <c r="E161" s="1"/>
      <c r="F161" s="1"/>
      <c r="G161" s="1"/>
      <c r="H161" s="1"/>
    </row>
    <row r="162" spans="1:8" ht="15.75">
      <c r="A162" s="1"/>
      <c r="B162" s="1"/>
      <c r="C162" s="1"/>
      <c r="D162" s="1"/>
      <c r="E162" s="1"/>
      <c r="F162" s="1"/>
      <c r="G162" s="1"/>
      <c r="H162" s="1"/>
    </row>
    <row r="163" spans="1:8" ht="15.75">
      <c r="A163" s="1"/>
      <c r="B163" s="1"/>
      <c r="C163" s="1"/>
      <c r="D163" s="1"/>
      <c r="E163" s="1"/>
      <c r="F163" s="1"/>
      <c r="G163" s="1"/>
      <c r="H163" s="1"/>
    </row>
    <row r="164" spans="1:8" ht="15.75">
      <c r="A164" s="1"/>
      <c r="B164" s="1"/>
      <c r="C164" s="1"/>
      <c r="D164" s="1"/>
      <c r="E164" s="1"/>
      <c r="F164" s="1"/>
      <c r="G164" s="1"/>
      <c r="H164" s="1"/>
    </row>
    <row r="165" spans="1:8" ht="15.75">
      <c r="A165" s="1"/>
      <c r="B165" s="1"/>
      <c r="C165" s="1"/>
      <c r="D165" s="1"/>
      <c r="E165" s="1"/>
      <c r="F165" s="1"/>
      <c r="G165" s="1"/>
      <c r="H165" s="1"/>
    </row>
    <row r="166" spans="1:8" ht="15.75">
      <c r="A166" s="1"/>
      <c r="B166" s="1"/>
      <c r="C166" s="1"/>
      <c r="D166" s="1"/>
      <c r="E166" s="1"/>
      <c r="F166" s="1"/>
      <c r="G166" s="1"/>
      <c r="H166" s="1"/>
    </row>
    <row r="167" spans="1:8" ht="15.75">
      <c r="A167" s="1"/>
      <c r="B167" s="1"/>
      <c r="C167" s="1"/>
      <c r="D167" s="1"/>
      <c r="E167" s="1"/>
      <c r="F167" s="1"/>
      <c r="G167" s="1"/>
      <c r="H167" s="1"/>
    </row>
    <row r="168" spans="1:8" ht="15.75">
      <c r="A168" s="1"/>
      <c r="B168" s="1"/>
      <c r="C168" s="1"/>
      <c r="D168" s="1"/>
      <c r="E168" s="1"/>
      <c r="F168" s="1"/>
      <c r="G168" s="1"/>
      <c r="H168" s="1"/>
    </row>
    <row r="169" spans="1:8" ht="15.75">
      <c r="A169" s="1"/>
      <c r="B169" s="1"/>
      <c r="C169" s="1"/>
      <c r="D169" s="1"/>
      <c r="E169" s="1"/>
      <c r="F169" s="1"/>
      <c r="G169" s="1"/>
      <c r="H169" s="1"/>
    </row>
    <row r="170" spans="1:8" ht="15.75">
      <c r="A170" s="1"/>
      <c r="B170" s="1"/>
      <c r="C170" s="1"/>
      <c r="D170" s="1"/>
      <c r="E170" s="1"/>
      <c r="F170" s="1"/>
      <c r="G170" s="1"/>
      <c r="H170" s="1"/>
    </row>
    <row r="171" spans="1:8" ht="15.75">
      <c r="A171" s="1"/>
      <c r="B171" s="1"/>
      <c r="C171" s="1"/>
      <c r="D171" s="1"/>
      <c r="E171" s="1"/>
      <c r="F171" s="1"/>
      <c r="G171" s="1"/>
      <c r="H171" s="1"/>
    </row>
    <row r="172" spans="1:8" ht="15.75">
      <c r="A172" s="1"/>
      <c r="B172" s="1"/>
      <c r="C172" s="1"/>
      <c r="D172" s="1"/>
      <c r="E172" s="1"/>
      <c r="F172" s="1"/>
      <c r="G172" s="1"/>
      <c r="H172" s="1"/>
    </row>
    <row r="173" spans="1:8" ht="15.75">
      <c r="A173" s="1"/>
      <c r="B173" s="1"/>
      <c r="C173" s="1"/>
      <c r="D173" s="1"/>
      <c r="E173" s="1"/>
      <c r="F173" s="1"/>
      <c r="G173" s="1"/>
      <c r="H173" s="1"/>
    </row>
    <row r="174" spans="1:8" ht="15.75">
      <c r="A174" s="1"/>
      <c r="B174" s="1"/>
      <c r="C174" s="1"/>
      <c r="D174" s="1"/>
      <c r="E174" s="1"/>
      <c r="F174" s="1"/>
      <c r="G174" s="1"/>
      <c r="H174" s="1"/>
    </row>
    <row r="175" spans="1:8" ht="15.75">
      <c r="A175" s="1"/>
      <c r="B175" s="1"/>
      <c r="C175" s="1"/>
      <c r="D175" s="1"/>
      <c r="E175" s="1"/>
      <c r="F175" s="1"/>
      <c r="G175" s="1"/>
      <c r="H175" s="1"/>
    </row>
    <row r="176" spans="1:8" ht="15.75">
      <c r="A176" s="1"/>
      <c r="B176" s="1"/>
      <c r="C176" s="1"/>
      <c r="D176" s="1"/>
      <c r="E176" s="1"/>
      <c r="F176" s="1"/>
      <c r="G176" s="1"/>
      <c r="H176" s="1"/>
    </row>
    <row r="177" spans="1:8" ht="15.75">
      <c r="A177" s="1"/>
      <c r="B177" s="1"/>
      <c r="C177" s="1"/>
      <c r="D177" s="1"/>
      <c r="E177" s="1"/>
      <c r="F177" s="1"/>
      <c r="G177" s="1"/>
      <c r="H177" s="1"/>
    </row>
    <row r="178" spans="1:8" ht="15.75">
      <c r="A178" s="1"/>
      <c r="B178" s="1"/>
      <c r="C178" s="1"/>
      <c r="D178" s="1"/>
      <c r="E178" s="1"/>
      <c r="F178" s="1"/>
      <c r="G178" s="1"/>
      <c r="H178" s="1"/>
    </row>
    <row r="179" spans="1:8" ht="15.75">
      <c r="A179" s="1"/>
      <c r="B179" s="1"/>
      <c r="C179" s="1"/>
      <c r="D179" s="1"/>
      <c r="E179" s="1"/>
      <c r="F179" s="1"/>
      <c r="G179" s="1"/>
      <c r="H179" s="1"/>
    </row>
    <row r="180" spans="1:8" ht="15.75">
      <c r="A180" s="1"/>
      <c r="B180" s="1"/>
      <c r="C180" s="1"/>
      <c r="D180" s="1"/>
      <c r="E180" s="1"/>
      <c r="F180" s="1"/>
      <c r="G180" s="1"/>
      <c r="H180" s="1"/>
    </row>
    <row r="181" spans="1:8" ht="15.75">
      <c r="A181" s="1"/>
      <c r="B181" s="1"/>
      <c r="C181" s="1"/>
      <c r="D181" s="1"/>
      <c r="E181" s="1"/>
      <c r="F181" s="1"/>
      <c r="G181" s="1"/>
      <c r="H181" s="1"/>
    </row>
    <row r="182" spans="1:8" ht="15.75">
      <c r="A182" s="1"/>
      <c r="B182" s="1"/>
      <c r="C182" s="1"/>
      <c r="D182" s="1"/>
      <c r="E182" s="1"/>
      <c r="F182" s="1"/>
      <c r="G182" s="1"/>
      <c r="H182" s="1"/>
    </row>
    <row r="183" spans="1:8" ht="15.75">
      <c r="A183" s="1"/>
      <c r="B183" s="1"/>
      <c r="C183" s="1"/>
      <c r="D183" s="1"/>
      <c r="E183" s="1"/>
      <c r="F183" s="1"/>
      <c r="G183" s="1"/>
      <c r="H183" s="1"/>
    </row>
    <row r="184" spans="1:8" ht="15.75">
      <c r="A184" s="1"/>
      <c r="B184" s="1"/>
      <c r="C184" s="1"/>
      <c r="D184" s="1"/>
      <c r="E184" s="1"/>
      <c r="F184" s="1"/>
      <c r="G184" s="1"/>
      <c r="H184" s="1"/>
    </row>
    <row r="185" spans="1:8" ht="15.75">
      <c r="A185" s="1"/>
      <c r="B185" s="1"/>
      <c r="C185" s="1"/>
      <c r="D185" s="1"/>
      <c r="E185" s="1"/>
      <c r="F185" s="1"/>
      <c r="G185" s="1"/>
      <c r="H185" s="1"/>
    </row>
    <row r="186" spans="1:8" ht="15.75">
      <c r="A186" s="1"/>
      <c r="B186" s="1"/>
      <c r="C186" s="1"/>
      <c r="D186" s="1"/>
      <c r="E186" s="1"/>
      <c r="F186" s="1"/>
      <c r="G186" s="1"/>
      <c r="H186" s="1"/>
    </row>
    <row r="187" spans="1:8" ht="15.75">
      <c r="A187" s="1"/>
      <c r="B187" s="1"/>
      <c r="C187" s="1"/>
      <c r="D187" s="1"/>
      <c r="E187" s="1"/>
      <c r="F187" s="1"/>
      <c r="G187" s="1"/>
      <c r="H187" s="1"/>
    </row>
    <row r="188" spans="1:8" ht="15.75">
      <c r="A188" s="1"/>
      <c r="B188" s="1"/>
      <c r="C188" s="1"/>
      <c r="D188" s="1"/>
      <c r="E188" s="1"/>
      <c r="F188" s="1"/>
      <c r="G188" s="1"/>
      <c r="H188" s="1"/>
    </row>
    <row r="189" spans="1:8" ht="15.75">
      <c r="A189" s="1"/>
      <c r="B189" s="1"/>
      <c r="C189" s="1"/>
      <c r="D189" s="1"/>
      <c r="E189" s="1"/>
      <c r="F189" s="1"/>
      <c r="G189" s="1"/>
      <c r="H189" s="1"/>
    </row>
    <row r="190" spans="1:8" ht="15.75">
      <c r="A190" s="1"/>
      <c r="B190" s="1"/>
      <c r="C190" s="1"/>
      <c r="D190" s="1"/>
      <c r="E190" s="1"/>
      <c r="F190" s="1"/>
      <c r="G190" s="1"/>
      <c r="H190" s="1"/>
    </row>
    <row r="191" spans="1:8" ht="15.75">
      <c r="A191" s="1"/>
      <c r="B191" s="1"/>
      <c r="C191" s="1"/>
      <c r="D191" s="1"/>
      <c r="E191" s="1"/>
      <c r="F191" s="1"/>
      <c r="G191" s="1"/>
      <c r="H191" s="1"/>
    </row>
    <row r="192" spans="1:8" ht="15.75">
      <c r="A192" s="1"/>
      <c r="B192" s="1"/>
      <c r="C192" s="1"/>
      <c r="D192" s="1"/>
      <c r="E192" s="1"/>
      <c r="F192" s="1"/>
      <c r="G192" s="1"/>
      <c r="H192" s="1"/>
    </row>
    <row r="193" spans="1:8" ht="15.75">
      <c r="A193" s="1"/>
      <c r="B193" s="1"/>
      <c r="C193" s="1"/>
      <c r="D193" s="1"/>
      <c r="E193" s="1"/>
      <c r="F193" s="1"/>
      <c r="G193" s="1"/>
      <c r="H193" s="1"/>
    </row>
    <row r="194" spans="1:8" ht="15.75">
      <c r="A194" s="1"/>
      <c r="B194" s="1"/>
      <c r="C194" s="1"/>
      <c r="D194" s="1"/>
      <c r="E194" s="1"/>
      <c r="F194" s="1"/>
      <c r="G194" s="1"/>
      <c r="H194" s="1"/>
    </row>
    <row r="195" spans="1:8" ht="15.75">
      <c r="A195" s="1"/>
      <c r="B195" s="1"/>
      <c r="C195" s="1"/>
      <c r="D195" s="1"/>
      <c r="E195" s="1"/>
      <c r="F195" s="1"/>
      <c r="G195" s="1"/>
      <c r="H195" s="1"/>
    </row>
    <row r="196" spans="1:8" ht="15.75">
      <c r="A196" s="1"/>
      <c r="B196" s="1"/>
      <c r="C196" s="1"/>
      <c r="D196" s="1"/>
      <c r="E196" s="1"/>
      <c r="F196" s="1"/>
      <c r="G196" s="1"/>
      <c r="H196" s="1"/>
    </row>
    <row r="197" spans="1:8" ht="15.75">
      <c r="A197" s="1"/>
      <c r="B197" s="1"/>
      <c r="C197" s="1"/>
      <c r="D197" s="1"/>
      <c r="E197" s="1"/>
      <c r="F197" s="1"/>
      <c r="G197" s="1"/>
      <c r="H197" s="1"/>
    </row>
    <row r="198" spans="1:8" ht="15.75">
      <c r="A198" s="1"/>
      <c r="B198" s="1"/>
      <c r="C198" s="1"/>
      <c r="D198" s="1"/>
      <c r="E198" s="1"/>
      <c r="F198" s="1"/>
      <c r="G198" s="1"/>
      <c r="H198" s="1"/>
    </row>
    <row r="199" spans="1:8" ht="15.75">
      <c r="A199" s="1"/>
      <c r="B199" s="1"/>
      <c r="C199" s="1"/>
      <c r="D199" s="1"/>
      <c r="E199" s="1"/>
      <c r="F199" s="1"/>
      <c r="G199" s="1"/>
      <c r="H199" s="1"/>
    </row>
    <row r="200" spans="1:8" ht="15.75">
      <c r="A200" s="1"/>
      <c r="B200" s="1"/>
      <c r="C200" s="1"/>
      <c r="D200" s="1"/>
      <c r="E200" s="1"/>
      <c r="F200" s="1"/>
      <c r="G200" s="1"/>
      <c r="H200" s="1"/>
    </row>
    <row r="201" spans="1:8" ht="15.75">
      <c r="A201" s="1"/>
      <c r="B201" s="1"/>
      <c r="C201" s="1"/>
      <c r="D201" s="1"/>
      <c r="E201" s="1"/>
      <c r="F201" s="1"/>
      <c r="G201" s="1"/>
      <c r="H201" s="1"/>
    </row>
    <row r="202" spans="1:8" ht="15.75">
      <c r="A202" s="1"/>
      <c r="B202" s="1"/>
      <c r="C202" s="1"/>
      <c r="D202" s="1"/>
      <c r="E202" s="1"/>
      <c r="F202" s="1"/>
      <c r="G202" s="1"/>
      <c r="H202" s="1"/>
    </row>
    <row r="203" spans="1:8" ht="15.75">
      <c r="A203" s="1"/>
      <c r="B203" s="1"/>
      <c r="C203" s="1"/>
      <c r="D203" s="1"/>
      <c r="E203" s="1"/>
      <c r="F203" s="1"/>
      <c r="G203" s="1"/>
      <c r="H203" s="1"/>
    </row>
    <row r="204" spans="1:8" ht="15.75">
      <c r="A204" s="1"/>
      <c r="B204" s="1"/>
      <c r="C204" s="1"/>
      <c r="D204" s="1"/>
      <c r="E204" s="1"/>
      <c r="F204" s="1"/>
      <c r="G204" s="1"/>
      <c r="H204" s="1"/>
    </row>
    <row r="205" spans="1:8" ht="15.75">
      <c r="A205" s="1"/>
      <c r="B205" s="1"/>
      <c r="C205" s="1"/>
      <c r="D205" s="1"/>
      <c r="E205" s="1"/>
      <c r="F205" s="1"/>
      <c r="G205" s="1"/>
      <c r="H205" s="1"/>
    </row>
    <row r="206" spans="1:8" ht="15.75">
      <c r="A206" s="1"/>
      <c r="B206" s="1"/>
      <c r="C206" s="1"/>
      <c r="D206" s="1"/>
      <c r="E206" s="1"/>
      <c r="F206" s="1"/>
      <c r="G206" s="1"/>
      <c r="H206" s="1"/>
    </row>
    <row r="207" spans="1:8" ht="15.75">
      <c r="A207" s="1"/>
      <c r="B207" s="1"/>
      <c r="C207" s="1"/>
      <c r="D207" s="1"/>
      <c r="E207" s="1"/>
      <c r="F207" s="1"/>
      <c r="G207" s="1"/>
      <c r="H207" s="1"/>
    </row>
    <row r="208" spans="1:8" ht="15.75">
      <c r="A208" s="1"/>
      <c r="B208" s="1"/>
      <c r="C208" s="1"/>
      <c r="D208" s="1"/>
      <c r="E208" s="1"/>
      <c r="F208" s="1"/>
      <c r="G208" s="1"/>
      <c r="H208" s="1"/>
    </row>
    <row r="209" spans="1:8" ht="15.75">
      <c r="A209" s="1"/>
      <c r="B209" s="1"/>
      <c r="C209" s="1"/>
      <c r="D209" s="1"/>
      <c r="E209" s="1"/>
      <c r="F209" s="1"/>
      <c r="G209" s="1"/>
      <c r="H209" s="1"/>
    </row>
    <row r="210" spans="1:8" ht="15.75">
      <c r="A210" s="1"/>
      <c r="B210" s="1"/>
      <c r="C210" s="1"/>
      <c r="D210" s="1"/>
      <c r="E210" s="1"/>
      <c r="F210" s="1"/>
      <c r="G210" s="1"/>
      <c r="H210" s="1"/>
    </row>
    <row r="211" spans="1:8" ht="15.75">
      <c r="A211" s="1"/>
      <c r="B211" s="1"/>
      <c r="C211" s="1"/>
      <c r="D211" s="1"/>
      <c r="E211" s="1"/>
      <c r="F211" s="1"/>
      <c r="G211" s="1"/>
      <c r="H211" s="1"/>
    </row>
    <row r="212" spans="1:8" ht="15.75">
      <c r="A212" s="1"/>
      <c r="B212" s="1"/>
      <c r="C212" s="1"/>
      <c r="D212" s="1"/>
      <c r="E212" s="1"/>
      <c r="F212" s="1"/>
      <c r="G212" s="1"/>
      <c r="H212" s="1"/>
    </row>
    <row r="213" spans="1:8" ht="15.75">
      <c r="A213" s="1"/>
      <c r="B213" s="1"/>
      <c r="C213" s="1"/>
      <c r="D213" s="1"/>
      <c r="E213" s="1"/>
      <c r="F213" s="1"/>
      <c r="G213" s="1"/>
      <c r="H213" s="1"/>
    </row>
    <row r="214" spans="1:8" ht="15.75">
      <c r="A214" s="1"/>
      <c r="B214" s="1"/>
      <c r="C214" s="1"/>
      <c r="D214" s="1"/>
      <c r="E214" s="1"/>
      <c r="F214" s="1"/>
      <c r="G214" s="1"/>
      <c r="H214" s="1"/>
    </row>
    <row r="215" spans="1:8" ht="15.75">
      <c r="A215" s="1"/>
      <c r="B215" s="1"/>
      <c r="C215" s="1"/>
      <c r="D215" s="1"/>
      <c r="E215" s="1"/>
      <c r="F215" s="1"/>
      <c r="G215" s="1"/>
      <c r="H215" s="1"/>
    </row>
    <row r="216" spans="1:8" ht="15.75">
      <c r="A216" s="1"/>
      <c r="B216" s="1"/>
      <c r="C216" s="1"/>
      <c r="D216" s="1"/>
      <c r="E216" s="1"/>
      <c r="F216" s="1"/>
      <c r="G216" s="1"/>
      <c r="H216" s="1"/>
    </row>
    <row r="217" spans="1:8" ht="15.75">
      <c r="A217" s="1"/>
      <c r="B217" s="1"/>
      <c r="C217" s="1"/>
      <c r="D217" s="1"/>
      <c r="E217" s="1"/>
      <c r="F217" s="1"/>
      <c r="G217" s="1"/>
      <c r="H217" s="1"/>
    </row>
    <row r="218" spans="1:8" ht="15.75">
      <c r="A218" s="1"/>
      <c r="B218" s="1"/>
      <c r="C218" s="1"/>
      <c r="D218" s="1"/>
      <c r="E218" s="1"/>
      <c r="F218" s="1"/>
      <c r="G218" s="1"/>
      <c r="H218" s="1"/>
    </row>
    <row r="219" spans="1:8" ht="15.75">
      <c r="A219" s="1"/>
      <c r="B219" s="1"/>
      <c r="C219" s="1"/>
      <c r="D219" s="1"/>
      <c r="E219" s="1"/>
      <c r="F219" s="1"/>
      <c r="G219" s="1"/>
      <c r="H219" s="1"/>
    </row>
    <row r="220" spans="1:8" ht="15.75">
      <c r="A220" s="1"/>
      <c r="B220" s="1"/>
      <c r="C220" s="1"/>
      <c r="D220" s="1"/>
      <c r="E220" s="1"/>
      <c r="F220" s="1"/>
      <c r="G220" s="1"/>
      <c r="H220" s="1"/>
    </row>
    <row r="221" spans="1:8" ht="15.75">
      <c r="A221" s="1"/>
      <c r="B221" s="1"/>
      <c r="C221" s="1"/>
      <c r="D221" s="1"/>
      <c r="E221" s="1"/>
      <c r="F221" s="1"/>
      <c r="G221" s="1"/>
      <c r="H221" s="1"/>
    </row>
    <row r="222" spans="1:8" ht="15.75">
      <c r="A222" s="1"/>
      <c r="B222" s="1"/>
      <c r="C222" s="1"/>
      <c r="D222" s="1"/>
      <c r="E222" s="1"/>
      <c r="F222" s="1"/>
      <c r="G222" s="1"/>
      <c r="H222" s="1"/>
    </row>
    <row r="223" spans="1:8" ht="15.75">
      <c r="A223" s="1"/>
      <c r="B223" s="1"/>
      <c r="C223" s="1"/>
      <c r="D223" s="1"/>
      <c r="E223" s="1"/>
      <c r="F223" s="1"/>
      <c r="G223" s="1"/>
      <c r="H223" s="1"/>
    </row>
    <row r="224" spans="1:8" ht="15.75">
      <c r="A224" s="1"/>
      <c r="B224" s="1"/>
      <c r="C224" s="1"/>
      <c r="D224" s="1"/>
      <c r="E224" s="1"/>
      <c r="F224" s="1"/>
      <c r="G224" s="1"/>
      <c r="H224" s="1"/>
    </row>
    <row r="225" spans="1:8" ht="15.75">
      <c r="A225" s="1"/>
      <c r="B225" s="1"/>
      <c r="C225" s="1"/>
      <c r="D225" s="1"/>
      <c r="E225" s="1"/>
      <c r="F225" s="1"/>
      <c r="G225" s="1"/>
      <c r="H225" s="1"/>
    </row>
    <row r="226" spans="1:8" ht="15.75">
      <c r="A226" s="1"/>
      <c r="B226" s="1"/>
      <c r="C226" s="1"/>
      <c r="D226" s="1"/>
      <c r="E226" s="1"/>
      <c r="F226" s="1"/>
      <c r="G226" s="1"/>
      <c r="H226" s="1"/>
    </row>
    <row r="227" spans="1:8" ht="15.75">
      <c r="A227" s="1"/>
      <c r="B227" s="1"/>
      <c r="C227" s="1"/>
      <c r="D227" s="1"/>
      <c r="E227" s="1"/>
      <c r="F227" s="1"/>
      <c r="G227" s="1"/>
      <c r="H227" s="1"/>
    </row>
    <row r="228" spans="1:8" ht="15.75">
      <c r="A228" s="1"/>
      <c r="B228" s="1"/>
      <c r="C228" s="1"/>
      <c r="D228" s="1"/>
      <c r="E228" s="1"/>
      <c r="F228" s="1"/>
      <c r="G228" s="1"/>
      <c r="H228" s="1"/>
    </row>
    <row r="229" spans="1:8" ht="15.75">
      <c r="A229" s="1"/>
      <c r="B229" s="1"/>
      <c r="C229" s="1"/>
      <c r="D229" s="1"/>
      <c r="E229" s="1"/>
      <c r="F229" s="1"/>
      <c r="G229" s="1"/>
      <c r="H229" s="1"/>
    </row>
    <row r="230" spans="1:8" ht="15.75">
      <c r="A230" s="1"/>
      <c r="B230" s="1"/>
      <c r="C230" s="1"/>
      <c r="D230" s="1"/>
      <c r="E230" s="1"/>
      <c r="F230" s="1"/>
      <c r="G230" s="1"/>
      <c r="H230" s="1"/>
    </row>
    <row r="231" spans="1:8" ht="15.75">
      <c r="A231" s="1"/>
      <c r="B231" s="1"/>
      <c r="C231" s="1"/>
      <c r="D231" s="1"/>
      <c r="E231" s="1"/>
      <c r="F231" s="1"/>
      <c r="G231" s="1"/>
      <c r="H231" s="1"/>
    </row>
    <row r="232" spans="1:8" ht="15.75">
      <c r="A232" s="1"/>
      <c r="B232" s="1"/>
      <c r="C232" s="1"/>
      <c r="D232" s="1"/>
      <c r="E232" s="1"/>
      <c r="F232" s="1"/>
      <c r="G232" s="1"/>
      <c r="H232" s="1"/>
    </row>
    <row r="233" spans="1:8" ht="15.75">
      <c r="A233" s="1"/>
      <c r="B233" s="1"/>
      <c r="C233" s="1"/>
      <c r="D233" s="1"/>
      <c r="E233" s="1"/>
      <c r="F233" s="1"/>
      <c r="G233" s="1"/>
      <c r="H233" s="1"/>
    </row>
    <row r="234" spans="1:8" ht="15.75">
      <c r="A234" s="1"/>
      <c r="B234" s="1"/>
      <c r="C234" s="1"/>
      <c r="D234" s="1"/>
      <c r="E234" s="1"/>
      <c r="F234" s="1"/>
      <c r="G234" s="1"/>
      <c r="H234" s="1"/>
    </row>
    <row r="235" spans="1:8" ht="15.75">
      <c r="A235" s="1"/>
      <c r="B235" s="1"/>
      <c r="C235" s="1"/>
      <c r="D235" s="1"/>
      <c r="E235" s="1"/>
      <c r="F235" s="1"/>
      <c r="G235" s="1"/>
      <c r="H235" s="1"/>
    </row>
    <row r="236" spans="1:8" ht="15.75">
      <c r="A236" s="1"/>
      <c r="B236" s="1"/>
      <c r="C236" s="1"/>
      <c r="D236" s="1"/>
      <c r="E236" s="1"/>
      <c r="F236" s="1"/>
      <c r="G236" s="1"/>
      <c r="H236" s="1"/>
    </row>
    <row r="237" spans="1:8" ht="15.75">
      <c r="A237" s="1"/>
      <c r="B237" s="1"/>
      <c r="C237" s="1"/>
      <c r="D237" s="1"/>
      <c r="E237" s="1"/>
      <c r="F237" s="1"/>
      <c r="G237" s="1"/>
      <c r="H237" s="1"/>
    </row>
    <row r="238" spans="1:8" ht="15.75">
      <c r="A238" s="1"/>
      <c r="B238" s="1"/>
      <c r="C238" s="1"/>
      <c r="D238" s="1"/>
      <c r="E238" s="1"/>
      <c r="F238" s="1"/>
      <c r="G238" s="1"/>
      <c r="H238" s="1"/>
    </row>
    <row r="239" spans="1:8" ht="15.75">
      <c r="A239" s="1"/>
      <c r="B239" s="1"/>
      <c r="C239" s="1"/>
      <c r="D239" s="1"/>
      <c r="E239" s="1"/>
      <c r="F239" s="1"/>
      <c r="G239" s="1"/>
      <c r="H239" s="1"/>
    </row>
    <row r="240" spans="1:8" ht="15.75">
      <c r="A240" s="1"/>
      <c r="B240" s="1"/>
      <c r="C240" s="1"/>
      <c r="D240" s="1"/>
      <c r="E240" s="1"/>
      <c r="F240" s="1"/>
      <c r="G240" s="1"/>
      <c r="H240" s="1"/>
    </row>
    <row r="241" spans="1:8" ht="15.75">
      <c r="A241" s="1"/>
      <c r="B241" s="1"/>
      <c r="C241" s="1"/>
      <c r="D241" s="1"/>
      <c r="E241" s="1"/>
      <c r="F241" s="1"/>
      <c r="G241" s="1"/>
      <c r="H241" s="1"/>
    </row>
    <row r="242" spans="1:8" ht="15.75">
      <c r="A242" s="1"/>
      <c r="B242" s="1"/>
      <c r="C242" s="1"/>
      <c r="D242" s="1"/>
      <c r="E242" s="1"/>
      <c r="F242" s="1"/>
      <c r="G242" s="1"/>
      <c r="H242" s="1"/>
    </row>
    <row r="243" spans="1:8" ht="15.75">
      <c r="A243" s="1"/>
      <c r="B243" s="1"/>
      <c r="C243" s="1"/>
      <c r="D243" s="1"/>
      <c r="E243" s="1"/>
      <c r="F243" s="1"/>
      <c r="G243" s="1"/>
      <c r="H243" s="1"/>
    </row>
    <row r="244" spans="1:8" ht="15.75">
      <c r="A244" s="1"/>
      <c r="B244" s="1"/>
      <c r="C244" s="1"/>
      <c r="D244" s="1"/>
      <c r="E244" s="1"/>
      <c r="F244" s="1"/>
      <c r="G244" s="1"/>
      <c r="H244" s="1"/>
    </row>
    <row r="245" spans="1:8" ht="15.75">
      <c r="A245" s="1"/>
      <c r="B245" s="1"/>
      <c r="C245" s="1"/>
      <c r="D245" s="1"/>
      <c r="E245" s="1"/>
      <c r="F245" s="1"/>
      <c r="G245" s="1"/>
      <c r="H245" s="1"/>
    </row>
    <row r="246" spans="1:8" ht="15.75">
      <c r="A246" s="1"/>
      <c r="B246" s="1"/>
      <c r="C246" s="1"/>
      <c r="D246" s="1"/>
      <c r="E246" s="1"/>
      <c r="F246" s="1"/>
      <c r="G246" s="1"/>
      <c r="H246" s="1"/>
    </row>
    <row r="247" spans="1:8" ht="15.75">
      <c r="A247" s="1"/>
      <c r="B247" s="1"/>
      <c r="C247" s="1"/>
      <c r="D247" s="1"/>
      <c r="E247" s="1"/>
      <c r="F247" s="1"/>
      <c r="G247" s="1"/>
      <c r="H247" s="1"/>
    </row>
    <row r="248" spans="1:8" ht="15.75">
      <c r="A248" s="1"/>
      <c r="B248" s="1"/>
      <c r="C248" s="1"/>
      <c r="D248" s="1"/>
      <c r="E248" s="1"/>
      <c r="F248" s="1"/>
      <c r="G248" s="1"/>
      <c r="H248" s="1"/>
    </row>
    <row r="249" spans="1:8" ht="15.75">
      <c r="A249" s="1"/>
      <c r="B249" s="1"/>
      <c r="C249" s="1"/>
      <c r="D249" s="1"/>
      <c r="E249" s="1"/>
      <c r="F249" s="1"/>
      <c r="G249" s="1"/>
      <c r="H249" s="1"/>
    </row>
    <row r="250" spans="1:8" ht="15.75">
      <c r="A250" s="1"/>
      <c r="B250" s="1"/>
      <c r="C250" s="1"/>
      <c r="D250" s="1"/>
      <c r="E250" s="1"/>
      <c r="F250" s="1"/>
      <c r="G250" s="1"/>
      <c r="H250" s="1"/>
    </row>
    <row r="251" spans="1:8" ht="15.75">
      <c r="A251" s="1"/>
      <c r="B251" s="1"/>
      <c r="C251" s="1"/>
      <c r="D251" s="1"/>
      <c r="E251" s="1"/>
      <c r="F251" s="1"/>
      <c r="G251" s="1"/>
      <c r="H251" s="1"/>
    </row>
    <row r="252" spans="1:8" ht="15.75">
      <c r="A252" s="1"/>
      <c r="B252" s="1"/>
      <c r="C252" s="1"/>
      <c r="D252" s="1"/>
      <c r="E252" s="1"/>
      <c r="F252" s="1"/>
      <c r="G252" s="1"/>
      <c r="H252" s="1"/>
    </row>
    <row r="253" spans="1:8" ht="15.75">
      <c r="A253" s="1"/>
      <c r="B253" s="1"/>
      <c r="C253" s="1"/>
      <c r="D253" s="1"/>
      <c r="E253" s="1"/>
      <c r="F253" s="1"/>
      <c r="G253" s="1"/>
      <c r="H253" s="1"/>
    </row>
    <row r="254" spans="1:8" ht="15.75">
      <c r="A254" s="1"/>
      <c r="B254" s="1"/>
      <c r="C254" s="1"/>
      <c r="D254" s="1"/>
      <c r="E254" s="1"/>
      <c r="F254" s="1"/>
      <c r="G254" s="1"/>
      <c r="H254" s="1"/>
    </row>
    <row r="255" spans="1:8" ht="15.75">
      <c r="A255" s="1"/>
      <c r="B255" s="1"/>
      <c r="C255" s="1"/>
      <c r="D255" s="1"/>
      <c r="E255" s="1"/>
      <c r="F255" s="1"/>
      <c r="G255" s="1"/>
      <c r="H255" s="1"/>
    </row>
    <row r="256" spans="1:8" ht="15.75">
      <c r="A256" s="1"/>
      <c r="B256" s="1"/>
      <c r="C256" s="1"/>
      <c r="D256" s="1"/>
      <c r="E256" s="1"/>
      <c r="F256" s="1"/>
      <c r="G256" s="1"/>
      <c r="H256" s="1"/>
    </row>
    <row r="257" spans="1:8" ht="15.75">
      <c r="A257" s="1"/>
      <c r="B257" s="1"/>
      <c r="C257" s="1"/>
      <c r="D257" s="1"/>
      <c r="E257" s="1"/>
      <c r="F257" s="1"/>
      <c r="G257" s="1"/>
      <c r="H257" s="1"/>
    </row>
    <row r="258" spans="1:8" ht="15.75">
      <c r="A258" s="1"/>
      <c r="B258" s="1"/>
      <c r="C258" s="1"/>
      <c r="D258" s="1"/>
      <c r="E258" s="1"/>
      <c r="F258" s="1"/>
      <c r="G258" s="1"/>
      <c r="H258" s="1"/>
    </row>
    <row r="259" spans="1:8" ht="15.75">
      <c r="A259" s="1"/>
      <c r="B259" s="1"/>
      <c r="C259" s="1"/>
      <c r="D259" s="1"/>
      <c r="E259" s="1"/>
      <c r="F259" s="1"/>
      <c r="G259" s="1"/>
      <c r="H259" s="1"/>
    </row>
    <row r="260" spans="1:8" ht="15.75">
      <c r="A260" s="1"/>
      <c r="B260" s="1"/>
      <c r="C260" s="1"/>
      <c r="D260" s="1"/>
      <c r="E260" s="1"/>
      <c r="F260" s="1"/>
      <c r="G260" s="1"/>
      <c r="H260" s="1"/>
    </row>
    <row r="261" spans="1:8" ht="15.75">
      <c r="A261" s="1"/>
      <c r="B261" s="1"/>
      <c r="C261" s="1"/>
      <c r="D261" s="1"/>
      <c r="E261" s="1"/>
      <c r="F261" s="1"/>
      <c r="G261" s="1"/>
      <c r="H261" s="1"/>
    </row>
    <row r="262" spans="1:8" ht="15.75">
      <c r="A262" s="1"/>
      <c r="B262" s="1"/>
      <c r="C262" s="1"/>
      <c r="D262" s="1"/>
      <c r="E262" s="1"/>
      <c r="F262" s="1"/>
      <c r="G262" s="1"/>
      <c r="H262" s="1"/>
    </row>
    <row r="263" spans="1:8" ht="15.75">
      <c r="A263" s="1"/>
      <c r="B263" s="1"/>
      <c r="C263" s="1"/>
      <c r="D263" s="1"/>
      <c r="E263" s="1"/>
      <c r="F263" s="1"/>
      <c r="G263" s="1"/>
      <c r="H263" s="1"/>
    </row>
    <row r="264" spans="1:8" ht="15.75">
      <c r="A264" s="1"/>
      <c r="B264" s="1"/>
      <c r="C264" s="1"/>
      <c r="D264" s="1"/>
      <c r="E264" s="1"/>
      <c r="F264" s="1"/>
      <c r="G264" s="1"/>
      <c r="H264" s="1"/>
    </row>
    <row r="265" spans="1:8" ht="15.75">
      <c r="A265" s="1"/>
      <c r="B265" s="1"/>
      <c r="C265" s="1"/>
      <c r="D265" s="1"/>
      <c r="E265" s="1"/>
      <c r="F265" s="1"/>
      <c r="G265" s="1"/>
      <c r="H265" s="1"/>
    </row>
    <row r="266" spans="1:8" ht="15.75">
      <c r="A266" s="1"/>
      <c r="B266" s="1"/>
      <c r="C266" s="1"/>
      <c r="D266" s="1"/>
      <c r="E266" s="1"/>
      <c r="F266" s="1"/>
      <c r="G266" s="1"/>
      <c r="H266" s="1"/>
    </row>
    <row r="267" spans="1:8" ht="15.75">
      <c r="A267" s="1"/>
      <c r="B267" s="1"/>
      <c r="C267" s="1"/>
      <c r="D267" s="1"/>
      <c r="E267" s="1"/>
      <c r="F267" s="1"/>
      <c r="G267" s="1"/>
      <c r="H267" s="1"/>
    </row>
    <row r="268" spans="1:8" ht="15.75">
      <c r="A268" s="1"/>
      <c r="B268" s="1"/>
      <c r="C268" s="1"/>
      <c r="D268" s="1"/>
      <c r="E268" s="1"/>
      <c r="F268" s="1"/>
      <c r="G268" s="1"/>
      <c r="H268" s="1"/>
    </row>
    <row r="269" spans="1:8" ht="15.75">
      <c r="A269" s="1"/>
      <c r="B269" s="1"/>
      <c r="C269" s="1"/>
      <c r="D269" s="1"/>
      <c r="E269" s="1"/>
      <c r="F269" s="1"/>
      <c r="G269" s="1"/>
      <c r="H269" s="1"/>
    </row>
    <row r="270" spans="1:8" ht="15.75">
      <c r="A270" s="1"/>
      <c r="B270" s="1"/>
      <c r="C270" s="1"/>
      <c r="D270" s="1"/>
      <c r="E270" s="1"/>
      <c r="F270" s="1"/>
      <c r="G270" s="1"/>
      <c r="H270" s="1"/>
    </row>
    <row r="271" spans="1:8" ht="15.75">
      <c r="A271" s="1"/>
      <c r="B271" s="1"/>
      <c r="C271" s="1"/>
      <c r="D271" s="1"/>
      <c r="E271" s="1"/>
      <c r="F271" s="1"/>
      <c r="G271" s="1"/>
      <c r="H271" s="1"/>
    </row>
    <row r="272" spans="1:8" ht="15.75">
      <c r="A272" s="1"/>
      <c r="B272" s="1"/>
      <c r="C272" s="1"/>
      <c r="D272" s="1"/>
      <c r="E272" s="1"/>
      <c r="F272" s="1"/>
      <c r="G272" s="1"/>
      <c r="H272" s="1"/>
    </row>
    <row r="273" spans="1:8" ht="15.75">
      <c r="A273" s="1"/>
      <c r="B273" s="1"/>
      <c r="C273" s="1"/>
      <c r="D273" s="1"/>
      <c r="E273" s="1"/>
      <c r="F273" s="1"/>
      <c r="G273" s="1"/>
      <c r="H273" s="1"/>
    </row>
    <row r="274" spans="1:8" ht="15.75">
      <c r="A274" s="1"/>
      <c r="B274" s="1"/>
      <c r="C274" s="1"/>
      <c r="D274" s="1"/>
      <c r="E274" s="1"/>
      <c r="F274" s="1"/>
      <c r="G274" s="1"/>
      <c r="H274" s="1"/>
    </row>
    <row r="275" spans="1:8" ht="15.75">
      <c r="A275" s="1"/>
      <c r="B275" s="1"/>
      <c r="C275" s="1"/>
      <c r="D275" s="1"/>
      <c r="E275" s="1"/>
      <c r="F275" s="1"/>
      <c r="G275" s="1"/>
      <c r="H275" s="1"/>
    </row>
    <row r="276" spans="1:8" ht="15.75">
      <c r="A276" s="1"/>
      <c r="B276" s="1"/>
      <c r="C276" s="1"/>
      <c r="D276" s="1"/>
      <c r="E276" s="1"/>
      <c r="F276" s="1"/>
      <c r="G276" s="1"/>
      <c r="H276" s="1"/>
    </row>
    <row r="277" spans="1:8" ht="15.75">
      <c r="A277" s="1"/>
      <c r="B277" s="1"/>
      <c r="C277" s="1"/>
      <c r="D277" s="1"/>
      <c r="E277" s="1"/>
      <c r="F277" s="1"/>
      <c r="G277" s="1"/>
      <c r="H277" s="1"/>
    </row>
    <row r="278" spans="1:8" ht="15.75">
      <c r="A278" s="1"/>
      <c r="B278" s="1"/>
      <c r="C278" s="1"/>
      <c r="D278" s="1"/>
      <c r="E278" s="1"/>
      <c r="F278" s="1"/>
      <c r="G278" s="1"/>
      <c r="H278" s="1"/>
    </row>
    <row r="279" spans="1:8" ht="15.75">
      <c r="A279" s="1"/>
      <c r="B279" s="1"/>
      <c r="C279" s="1"/>
      <c r="D279" s="1"/>
      <c r="E279" s="1"/>
      <c r="F279" s="1"/>
      <c r="G279" s="1"/>
      <c r="H279" s="1"/>
    </row>
    <row r="280" spans="1:8" ht="15.75">
      <c r="A280" s="1"/>
      <c r="B280" s="1"/>
      <c r="C280" s="1"/>
      <c r="D280" s="1"/>
      <c r="E280" s="1"/>
      <c r="F280" s="1"/>
      <c r="G280" s="1"/>
      <c r="H280" s="1"/>
    </row>
    <row r="281" spans="1:8" ht="15.75">
      <c r="A281" s="1"/>
      <c r="B281" s="1"/>
      <c r="C281" s="1"/>
      <c r="D281" s="1"/>
      <c r="E281" s="1"/>
      <c r="F281" s="1"/>
      <c r="G281" s="1"/>
      <c r="H281" s="1"/>
    </row>
    <row r="282" spans="1:8" ht="15.75">
      <c r="A282" s="1"/>
      <c r="B282" s="1"/>
      <c r="C282" s="1"/>
      <c r="D282" s="1"/>
      <c r="E282" s="1"/>
      <c r="F282" s="1"/>
      <c r="G282" s="1"/>
      <c r="H282" s="1"/>
    </row>
    <row r="283" spans="1:8" ht="15.75">
      <c r="A283" s="1"/>
      <c r="B283" s="1"/>
      <c r="C283" s="1"/>
      <c r="D283" s="1"/>
      <c r="E283" s="1"/>
      <c r="F283" s="1"/>
      <c r="G283" s="1"/>
      <c r="H283" s="1"/>
    </row>
    <row r="284" spans="1:8" ht="15.75">
      <c r="A284" s="1"/>
      <c r="B284" s="1"/>
      <c r="C284" s="1"/>
      <c r="D284" s="1"/>
      <c r="E284" s="1"/>
      <c r="F284" s="1"/>
      <c r="G284" s="1"/>
      <c r="H284" s="1"/>
    </row>
    <row r="285" spans="1:8" ht="15.75">
      <c r="A285" s="1"/>
      <c r="B285" s="1"/>
      <c r="C285" s="1"/>
      <c r="D285" s="1"/>
      <c r="E285" s="1"/>
      <c r="F285" s="1"/>
      <c r="G285" s="1"/>
      <c r="H285" s="1"/>
    </row>
    <row r="286" spans="1:8" ht="15.75">
      <c r="A286" s="1"/>
      <c r="B286" s="1"/>
      <c r="C286" s="1"/>
      <c r="D286" s="1"/>
      <c r="E286" s="1"/>
      <c r="F286" s="1"/>
      <c r="G286" s="1"/>
      <c r="H286" s="1"/>
    </row>
    <row r="287" spans="1:8" ht="15.75">
      <c r="A287" s="1"/>
      <c r="B287" s="1"/>
      <c r="C287" s="1"/>
      <c r="D287" s="1"/>
      <c r="E287" s="1"/>
      <c r="F287" s="1"/>
      <c r="G287" s="1"/>
      <c r="H287" s="1"/>
    </row>
    <row r="288" spans="1:8" ht="15.75">
      <c r="A288" s="1"/>
      <c r="B288" s="1"/>
      <c r="C288" s="1"/>
      <c r="D288" s="1"/>
      <c r="E288" s="1"/>
      <c r="F288" s="1"/>
      <c r="G288" s="1"/>
      <c r="H288" s="1"/>
    </row>
    <row r="289" spans="1:8" ht="15.75">
      <c r="A289" s="1"/>
      <c r="B289" s="1"/>
      <c r="C289" s="1"/>
      <c r="D289" s="1"/>
      <c r="E289" s="1"/>
      <c r="F289" s="1"/>
      <c r="G289" s="1"/>
      <c r="H289" s="1"/>
    </row>
    <row r="290" spans="1:8" ht="15.75">
      <c r="A290" s="1"/>
      <c r="B290" s="1"/>
      <c r="C290" s="1"/>
      <c r="D290" s="1"/>
      <c r="E290" s="1"/>
      <c r="F290" s="1"/>
      <c r="G290" s="1"/>
      <c r="H290" s="1"/>
    </row>
    <row r="291" spans="1:8" ht="15.75">
      <c r="A291" s="1"/>
      <c r="B291" s="1"/>
      <c r="C291" s="1"/>
      <c r="D291" s="1"/>
      <c r="E291" s="1"/>
      <c r="F291" s="1"/>
      <c r="G291" s="1"/>
      <c r="H291" s="1"/>
    </row>
    <row r="292" spans="1:8" ht="15.75">
      <c r="A292" s="1"/>
      <c r="B292" s="1"/>
      <c r="C292" s="1"/>
      <c r="D292" s="1"/>
      <c r="E292" s="1"/>
      <c r="F292" s="1"/>
      <c r="G292" s="1"/>
      <c r="H292" s="1"/>
    </row>
    <row r="293" spans="1:8" ht="15.75">
      <c r="A293" s="1"/>
      <c r="B293" s="1"/>
      <c r="C293" s="1"/>
      <c r="D293" s="1"/>
      <c r="E293" s="1"/>
      <c r="F293" s="1"/>
      <c r="G293" s="1"/>
      <c r="H293" s="1"/>
    </row>
    <row r="294" spans="1:8" ht="15.75">
      <c r="A294" s="1"/>
      <c r="B294" s="1"/>
      <c r="C294" s="1"/>
      <c r="D294" s="1"/>
      <c r="E294" s="1"/>
      <c r="F294" s="1"/>
      <c r="G294" s="1"/>
      <c r="H294" s="1"/>
    </row>
    <row r="295" spans="1:8" ht="15.75">
      <c r="A295" s="1"/>
      <c r="B295" s="1"/>
      <c r="C295" s="1"/>
      <c r="D295" s="1"/>
      <c r="E295" s="1"/>
      <c r="F295" s="1"/>
      <c r="G295" s="1"/>
      <c r="H295" s="1"/>
    </row>
    <row r="296" spans="1:8" ht="15.75">
      <c r="A296" s="1"/>
      <c r="B296" s="1"/>
      <c r="C296" s="1"/>
      <c r="D296" s="1"/>
      <c r="E296" s="1"/>
      <c r="F296" s="1"/>
      <c r="G296" s="1"/>
      <c r="H296" s="1"/>
    </row>
    <row r="297" spans="1:8" ht="15.75">
      <c r="A297" s="1"/>
      <c r="B297" s="1"/>
      <c r="C297" s="1"/>
      <c r="D297" s="1"/>
      <c r="E297" s="1"/>
      <c r="F297" s="1"/>
      <c r="G297" s="1"/>
      <c r="H297" s="1"/>
    </row>
    <row r="298" spans="1:8" ht="15.75">
      <c r="A298" s="1"/>
      <c r="B298" s="1"/>
      <c r="C298" s="1"/>
      <c r="D298" s="1"/>
      <c r="E298" s="1"/>
      <c r="F298" s="1"/>
      <c r="G298" s="1"/>
      <c r="H298" s="1"/>
    </row>
    <row r="299" spans="1:8" ht="15.75">
      <c r="A299" s="1"/>
      <c r="B299" s="1"/>
      <c r="C299" s="1"/>
      <c r="D299" s="1"/>
      <c r="E299" s="1"/>
      <c r="F299" s="1"/>
      <c r="G299" s="1"/>
      <c r="H299" s="1"/>
    </row>
    <row r="300" spans="1:8" ht="15.75">
      <c r="A300" s="1"/>
      <c r="B300" s="1"/>
      <c r="C300" s="1"/>
      <c r="D300" s="1"/>
      <c r="E300" s="1"/>
      <c r="F300" s="1"/>
      <c r="G300" s="1"/>
      <c r="H300" s="1"/>
    </row>
    <row r="301" spans="1:8" ht="15.75">
      <c r="A301" s="1"/>
      <c r="B301" s="1"/>
      <c r="C301" s="1"/>
      <c r="D301" s="1"/>
      <c r="E301" s="1"/>
      <c r="F301" s="1"/>
      <c r="G301" s="1"/>
      <c r="H301" s="1"/>
    </row>
    <row r="302" spans="1:8" ht="15.75">
      <c r="A302" s="1"/>
      <c r="B302" s="1"/>
      <c r="C302" s="1"/>
      <c r="D302" s="1"/>
      <c r="E302" s="1"/>
      <c r="F302" s="1"/>
      <c r="G302" s="1"/>
      <c r="H302" s="1"/>
    </row>
    <row r="303" spans="1:8" ht="15.75">
      <c r="A303" s="1"/>
      <c r="B303" s="1"/>
      <c r="C303" s="1"/>
      <c r="D303" s="1"/>
      <c r="E303" s="1"/>
      <c r="F303" s="1"/>
      <c r="G303" s="1"/>
      <c r="H303" s="1"/>
    </row>
    <row r="304" spans="1:8" ht="15.75">
      <c r="A304" s="1"/>
      <c r="B304" s="1"/>
      <c r="C304" s="1"/>
      <c r="D304" s="1"/>
      <c r="E304" s="1"/>
      <c r="F304" s="1"/>
      <c r="G304" s="1"/>
      <c r="H304" s="1"/>
    </row>
    <row r="305" spans="1:8" ht="15.75">
      <c r="A305" s="1"/>
      <c r="B305" s="1"/>
      <c r="C305" s="1"/>
      <c r="D305" s="1"/>
      <c r="E305" s="1"/>
      <c r="F305" s="1"/>
      <c r="G305" s="1"/>
      <c r="H305" s="1"/>
    </row>
    <row r="306" spans="1:8" ht="15.75">
      <c r="A306" s="1"/>
      <c r="B306" s="1"/>
      <c r="C306" s="1"/>
      <c r="D306" s="1"/>
      <c r="E306" s="1"/>
      <c r="F306" s="1"/>
      <c r="G306" s="1"/>
      <c r="H306" s="1"/>
    </row>
    <row r="307" spans="1:8" ht="15.75">
      <c r="A307" s="1"/>
      <c r="B307" s="1"/>
      <c r="C307" s="1"/>
      <c r="D307" s="1"/>
      <c r="E307" s="1"/>
      <c r="F307" s="1"/>
      <c r="G307" s="1"/>
      <c r="H307" s="1"/>
    </row>
    <row r="308" spans="1:8" ht="15.75">
      <c r="A308" s="1"/>
      <c r="B308" s="1"/>
      <c r="C308" s="1"/>
      <c r="D308" s="1"/>
      <c r="E308" s="1"/>
      <c r="F308" s="1"/>
      <c r="G308" s="1"/>
      <c r="H308" s="1"/>
    </row>
    <row r="309" spans="1:8" ht="15.75">
      <c r="A309" s="1"/>
      <c r="B309" s="1"/>
      <c r="C309" s="1"/>
      <c r="D309" s="1"/>
      <c r="E309" s="1"/>
      <c r="F309" s="1"/>
      <c r="G309" s="1"/>
      <c r="H309" s="1"/>
    </row>
    <row r="310" spans="1:8" ht="15.75">
      <c r="A310" s="1"/>
      <c r="B310" s="1"/>
      <c r="C310" s="1"/>
      <c r="D310" s="1"/>
      <c r="E310" s="1"/>
      <c r="F310" s="1"/>
      <c r="G310" s="1"/>
      <c r="H310" s="1"/>
    </row>
    <row r="311" spans="1:8" ht="15.75">
      <c r="A311" s="1"/>
      <c r="B311" s="1"/>
      <c r="C311" s="1"/>
      <c r="D311" s="1"/>
      <c r="E311" s="1"/>
      <c r="F311" s="1"/>
      <c r="G311" s="1"/>
      <c r="H311" s="1"/>
    </row>
    <row r="312" spans="1:8" ht="15.75">
      <c r="A312" s="1"/>
      <c r="B312" s="1"/>
      <c r="C312" s="1"/>
      <c r="D312" s="1"/>
      <c r="E312" s="1"/>
      <c r="F312" s="1"/>
      <c r="G312" s="1"/>
      <c r="H312" s="1"/>
    </row>
    <row r="313" spans="1:8" ht="15.75">
      <c r="A313" s="1"/>
      <c r="B313" s="1"/>
      <c r="C313" s="1"/>
      <c r="D313" s="1"/>
      <c r="E313" s="1"/>
      <c r="F313" s="1"/>
      <c r="G313" s="1"/>
      <c r="H313" s="1"/>
    </row>
    <row r="314" spans="1:8" ht="15.75">
      <c r="A314" s="1"/>
      <c r="B314" s="1"/>
      <c r="C314" s="1"/>
      <c r="D314" s="1"/>
      <c r="E314" s="1"/>
      <c r="F314" s="1"/>
      <c r="G314" s="1"/>
      <c r="H314" s="1"/>
    </row>
    <row r="315" spans="1:8" ht="15.75">
      <c r="A315" s="1"/>
      <c r="B315" s="1"/>
      <c r="C315" s="1"/>
      <c r="D315" s="1"/>
      <c r="E315" s="1"/>
      <c r="F315" s="1"/>
      <c r="G315" s="1"/>
      <c r="H315" s="1"/>
    </row>
    <row r="316" spans="1:8" ht="15.75">
      <c r="A316" s="1"/>
      <c r="B316" s="1"/>
      <c r="C316" s="1"/>
      <c r="D316" s="1"/>
      <c r="E316" s="1"/>
      <c r="F316" s="1"/>
      <c r="G316" s="1"/>
      <c r="H316" s="1"/>
    </row>
    <row r="317" spans="1:8" ht="15.75">
      <c r="A317" s="1"/>
      <c r="B317" s="1"/>
      <c r="C317" s="1"/>
      <c r="D317" s="1"/>
      <c r="E317" s="1"/>
      <c r="F317" s="1"/>
      <c r="G317" s="1"/>
      <c r="H317" s="1"/>
    </row>
    <row r="318" spans="1:8" ht="15.75">
      <c r="A318" s="1"/>
      <c r="B318" s="1"/>
      <c r="C318" s="1"/>
      <c r="D318" s="1"/>
      <c r="E318" s="1"/>
      <c r="F318" s="1"/>
      <c r="G318" s="1"/>
      <c r="H318" s="1"/>
    </row>
    <row r="319" spans="1:8" ht="15.75">
      <c r="A319" s="1"/>
      <c r="B319" s="1"/>
      <c r="C319" s="1"/>
      <c r="D319" s="1"/>
      <c r="E319" s="1"/>
      <c r="F319" s="1"/>
      <c r="G319" s="1"/>
      <c r="H319" s="1"/>
    </row>
    <row r="320" spans="1:8" ht="15.75">
      <c r="A320" s="1"/>
      <c r="B320" s="1"/>
      <c r="C320" s="1"/>
      <c r="D320" s="1"/>
      <c r="E320" s="1"/>
      <c r="F320" s="1"/>
      <c r="G320" s="1"/>
      <c r="H320" s="1"/>
    </row>
    <row r="321" spans="1:8" ht="15.75">
      <c r="A321" s="1"/>
      <c r="B321" s="1"/>
      <c r="C321" s="1"/>
      <c r="D321" s="1"/>
      <c r="E321" s="1"/>
      <c r="F321" s="1"/>
      <c r="G321" s="1"/>
      <c r="H321" s="1"/>
    </row>
    <row r="322" spans="1:8" ht="15.75">
      <c r="A322" s="1"/>
      <c r="B322" s="1"/>
      <c r="C322" s="1"/>
      <c r="D322" s="1"/>
      <c r="E322" s="1"/>
      <c r="F322" s="1"/>
      <c r="G322" s="1"/>
      <c r="H322" s="1"/>
    </row>
    <row r="323" spans="1:8" ht="15.75">
      <c r="A323" s="1"/>
      <c r="B323" s="1"/>
      <c r="C323" s="1"/>
      <c r="D323" s="1"/>
      <c r="E323" s="1"/>
      <c r="F323" s="1"/>
      <c r="G323" s="1"/>
      <c r="H323" s="1"/>
    </row>
    <row r="324" spans="1:8" ht="15.75">
      <c r="A324" s="1"/>
      <c r="B324" s="1"/>
      <c r="C324" s="1"/>
      <c r="D324" s="1"/>
      <c r="E324" s="1"/>
      <c r="F324" s="1"/>
      <c r="G324" s="1"/>
      <c r="H324" s="1"/>
    </row>
    <row r="325" spans="1:8" ht="15.75">
      <c r="A325" s="1"/>
      <c r="B325" s="1"/>
      <c r="C325" s="1"/>
      <c r="D325" s="1"/>
      <c r="E325" s="1"/>
      <c r="F325" s="1"/>
      <c r="G325" s="1"/>
      <c r="H325" s="1"/>
    </row>
    <row r="326" spans="1:8" ht="15.75">
      <c r="A326" s="1"/>
      <c r="B326" s="1"/>
      <c r="C326" s="1"/>
      <c r="D326" s="1"/>
      <c r="E326" s="1"/>
      <c r="F326" s="1"/>
      <c r="G326" s="1"/>
      <c r="H326" s="1"/>
    </row>
    <row r="327" spans="1:8" ht="15.75">
      <c r="A327" s="1"/>
      <c r="B327" s="1"/>
      <c r="C327" s="1"/>
      <c r="D327" s="1"/>
      <c r="E327" s="1"/>
      <c r="F327" s="1"/>
      <c r="G327" s="1"/>
      <c r="H327" s="1"/>
    </row>
    <row r="328" spans="1:8" ht="15.75">
      <c r="A328" s="1"/>
      <c r="B328" s="1"/>
      <c r="C328" s="1"/>
      <c r="D328" s="1"/>
      <c r="E328" s="1"/>
      <c r="F328" s="1"/>
      <c r="G328" s="1"/>
      <c r="H328" s="1"/>
    </row>
    <row r="329" spans="1:8" ht="15.75">
      <c r="A329" s="1"/>
      <c r="B329" s="1"/>
      <c r="C329" s="1"/>
      <c r="D329" s="1"/>
      <c r="E329" s="1"/>
      <c r="F329" s="1"/>
      <c r="G329" s="1"/>
      <c r="H329" s="1"/>
    </row>
    <row r="330" spans="1:8" ht="15.75">
      <c r="A330" s="1"/>
      <c r="B330" s="1"/>
      <c r="C330" s="1"/>
      <c r="D330" s="1"/>
      <c r="E330" s="1"/>
      <c r="F330" s="1"/>
      <c r="G330" s="1"/>
      <c r="H330" s="1"/>
    </row>
    <row r="331" spans="1:8" ht="15.75">
      <c r="A331" s="1"/>
      <c r="B331" s="1"/>
      <c r="C331" s="1"/>
      <c r="D331" s="1"/>
      <c r="E331" s="1"/>
      <c r="F331" s="1"/>
      <c r="G331" s="1"/>
      <c r="H331" s="1"/>
    </row>
    <row r="332" spans="1:8" ht="15.75">
      <c r="A332" s="1"/>
      <c r="B332" s="1"/>
      <c r="C332" s="1"/>
      <c r="D332" s="1"/>
      <c r="E332" s="1"/>
      <c r="F332" s="1"/>
      <c r="G332" s="1"/>
      <c r="H332" s="1"/>
    </row>
    <row r="333" spans="1:8" ht="15.75">
      <c r="A333" s="1"/>
      <c r="B333" s="1"/>
      <c r="C333" s="1"/>
      <c r="D333" s="1"/>
      <c r="E333" s="1"/>
      <c r="F333" s="1"/>
      <c r="G333" s="1"/>
      <c r="H333" s="1"/>
    </row>
    <row r="334" spans="1:8" ht="15.75">
      <c r="A334" s="1"/>
      <c r="B334" s="1"/>
      <c r="C334" s="1"/>
      <c r="D334" s="1"/>
      <c r="E334" s="1"/>
      <c r="F334" s="1"/>
      <c r="G334" s="1"/>
      <c r="H334" s="1"/>
    </row>
    <row r="335" spans="1:8" ht="15.75">
      <c r="A335" s="1"/>
      <c r="B335" s="1"/>
      <c r="C335" s="1"/>
      <c r="D335" s="1"/>
      <c r="E335" s="1"/>
      <c r="F335" s="1"/>
      <c r="G335" s="1"/>
      <c r="H335" s="1"/>
    </row>
    <row r="336" spans="1:8" ht="15.75">
      <c r="A336" s="1"/>
      <c r="B336" s="1"/>
      <c r="C336" s="1"/>
      <c r="D336" s="1"/>
      <c r="E336" s="1"/>
      <c r="F336" s="1"/>
      <c r="G336" s="1"/>
      <c r="H336" s="1"/>
    </row>
    <row r="337" spans="1:8" ht="15.75">
      <c r="A337" s="1"/>
      <c r="B337" s="1"/>
      <c r="C337" s="1"/>
      <c r="D337" s="1"/>
      <c r="E337" s="1"/>
      <c r="F337" s="1"/>
      <c r="G337" s="1"/>
      <c r="H337" s="1"/>
    </row>
    <row r="338" spans="1:8" ht="15.75">
      <c r="A338" s="1"/>
      <c r="B338" s="1"/>
      <c r="C338" s="1"/>
      <c r="D338" s="1"/>
      <c r="E338" s="1"/>
      <c r="F338" s="1"/>
      <c r="G338" s="1"/>
      <c r="H338" s="1"/>
    </row>
    <row r="339" spans="1:8" ht="15.75">
      <c r="A339" s="1"/>
      <c r="B339" s="1"/>
      <c r="C339" s="1"/>
      <c r="D339" s="1"/>
      <c r="E339" s="1"/>
      <c r="F339" s="1"/>
      <c r="G339" s="1"/>
      <c r="H339" s="1"/>
    </row>
    <row r="340" spans="1:8" ht="15.75">
      <c r="A340" s="1"/>
      <c r="B340" s="1"/>
      <c r="C340" s="1"/>
      <c r="D340" s="1"/>
      <c r="E340" s="1"/>
      <c r="F340" s="1"/>
      <c r="G340" s="1"/>
      <c r="H340" s="1"/>
    </row>
    <row r="341" spans="1:8" ht="15.75">
      <c r="A341" s="1"/>
      <c r="B341" s="1"/>
      <c r="C341" s="1"/>
      <c r="D341" s="1"/>
      <c r="E341" s="1"/>
      <c r="F341" s="1"/>
      <c r="G341" s="1"/>
      <c r="H341" s="1"/>
    </row>
    <row r="342" spans="1:8" ht="15.75">
      <c r="A342" s="1"/>
      <c r="B342" s="1"/>
      <c r="C342" s="1"/>
      <c r="D342" s="1"/>
      <c r="E342" s="1"/>
      <c r="F342" s="1"/>
      <c r="G342" s="1"/>
      <c r="H342" s="1"/>
    </row>
    <row r="343" spans="1:8" ht="15.75">
      <c r="A343" s="1"/>
      <c r="B343" s="1"/>
      <c r="C343" s="1"/>
      <c r="D343" s="1"/>
      <c r="E343" s="1"/>
      <c r="F343" s="1"/>
      <c r="G343" s="1"/>
      <c r="H343" s="1"/>
    </row>
    <row r="344" spans="1:8" ht="15.75">
      <c r="A344" s="1"/>
      <c r="B344" s="1"/>
      <c r="C344" s="1"/>
      <c r="D344" s="1"/>
      <c r="E344" s="1"/>
      <c r="F344" s="1"/>
      <c r="G344" s="1"/>
      <c r="H344" s="1"/>
    </row>
    <row r="345" spans="1:8" ht="15.75">
      <c r="A345" s="1"/>
      <c r="B345" s="1"/>
      <c r="C345" s="1"/>
      <c r="D345" s="1"/>
      <c r="E345" s="1"/>
      <c r="F345" s="1"/>
      <c r="G345" s="1"/>
      <c r="H345" s="1"/>
    </row>
    <row r="346" spans="1:8" ht="15.75">
      <c r="A346" s="1"/>
      <c r="B346" s="1"/>
      <c r="C346" s="1"/>
      <c r="D346" s="1"/>
      <c r="E346" s="1"/>
      <c r="F346" s="1"/>
      <c r="G346" s="1"/>
      <c r="H346" s="1"/>
    </row>
    <row r="347" spans="1:8" ht="15.75">
      <c r="A347" s="1"/>
      <c r="B347" s="1"/>
      <c r="C347" s="1"/>
      <c r="D347" s="1"/>
      <c r="E347" s="1"/>
      <c r="F347" s="1"/>
      <c r="G347" s="1"/>
      <c r="H347" s="1"/>
    </row>
    <row r="348" spans="1:8" ht="15.75">
      <c r="A348" s="1"/>
      <c r="B348" s="1"/>
      <c r="C348" s="1"/>
      <c r="D348" s="1"/>
      <c r="E348" s="1"/>
      <c r="F348" s="1"/>
      <c r="G348" s="1"/>
      <c r="H348" s="1"/>
    </row>
    <row r="349" spans="1:8" ht="15.75">
      <c r="A349" s="1"/>
      <c r="B349" s="1"/>
      <c r="C349" s="1"/>
      <c r="D349" s="1"/>
      <c r="E349" s="1"/>
      <c r="F349" s="1"/>
      <c r="G349" s="1"/>
      <c r="H349" s="1"/>
    </row>
    <row r="350" spans="1:8" ht="15.75">
      <c r="A350" s="1"/>
      <c r="B350" s="1"/>
      <c r="C350" s="1"/>
      <c r="D350" s="1"/>
      <c r="E350" s="1"/>
      <c r="F350" s="1"/>
      <c r="G350" s="1"/>
      <c r="H350" s="1"/>
    </row>
    <row r="351" spans="1:8" ht="15.75">
      <c r="A351" s="1"/>
      <c r="B351" s="1"/>
      <c r="C351" s="1"/>
      <c r="D351" s="1"/>
      <c r="E351" s="1"/>
      <c r="F351" s="1"/>
      <c r="G351" s="1"/>
      <c r="H351" s="1"/>
    </row>
    <row r="352" spans="1:8" ht="15.75">
      <c r="A352" s="1"/>
      <c r="B352" s="1"/>
      <c r="C352" s="1"/>
      <c r="D352" s="1"/>
      <c r="E352" s="1"/>
      <c r="F352" s="1"/>
      <c r="G352" s="1"/>
      <c r="H352" s="1"/>
    </row>
    <row r="353" spans="1:8" ht="15.75">
      <c r="A353" s="1"/>
      <c r="B353" s="1"/>
      <c r="C353" s="1"/>
      <c r="D353" s="1"/>
      <c r="E353" s="1"/>
      <c r="F353" s="1"/>
      <c r="G353" s="1"/>
      <c r="H353" s="1"/>
    </row>
    <row r="354" spans="1:8" ht="15.75">
      <c r="A354" s="1"/>
      <c r="B354" s="1"/>
      <c r="C354" s="1"/>
      <c r="D354" s="1"/>
      <c r="E354" s="1"/>
      <c r="F354" s="1"/>
      <c r="G354" s="1"/>
      <c r="H354" s="1"/>
    </row>
    <row r="355" spans="1:8" ht="15.75">
      <c r="A355" s="1"/>
      <c r="B355" s="1"/>
      <c r="C355" s="1"/>
      <c r="D355" s="1"/>
      <c r="E355" s="1"/>
      <c r="F355" s="1"/>
      <c r="G355" s="1"/>
      <c r="H355" s="1"/>
    </row>
    <row r="356" spans="1:8" ht="15.75">
      <c r="A356" s="1"/>
      <c r="B356" s="1"/>
      <c r="C356" s="1"/>
      <c r="D356" s="1"/>
      <c r="E356" s="1"/>
      <c r="F356" s="1"/>
      <c r="G356" s="1"/>
      <c r="H356" s="1"/>
    </row>
    <row r="357" spans="1:8" ht="15.75">
      <c r="A357" s="1"/>
      <c r="B357" s="1"/>
      <c r="C357" s="1"/>
      <c r="D357" s="1"/>
      <c r="E357" s="1"/>
      <c r="F357" s="1"/>
      <c r="G357" s="1"/>
      <c r="H357" s="1"/>
    </row>
    <row r="358" spans="1:8" ht="15.75">
      <c r="A358" s="1"/>
      <c r="B358" s="1"/>
      <c r="C358" s="1"/>
      <c r="D358" s="1"/>
      <c r="E358" s="1"/>
      <c r="F358" s="1"/>
      <c r="G358" s="1"/>
      <c r="H358" s="1"/>
    </row>
    <row r="359" spans="1:8" ht="15.75">
      <c r="A359" s="1"/>
      <c r="B359" s="1"/>
      <c r="C359" s="1"/>
      <c r="D359" s="1"/>
      <c r="E359" s="1"/>
      <c r="F359" s="1"/>
      <c r="G359" s="1"/>
      <c r="H359" s="1"/>
    </row>
    <row r="360" spans="1:8" ht="15.75">
      <c r="A360" s="1"/>
      <c r="B360" s="1"/>
      <c r="C360" s="1"/>
      <c r="D360" s="1"/>
      <c r="E360" s="1"/>
      <c r="F360" s="1"/>
      <c r="G360" s="1"/>
      <c r="H360" s="1"/>
    </row>
    <row r="361" spans="1:8" ht="15.75">
      <c r="A361" s="1"/>
      <c r="B361" s="1"/>
      <c r="C361" s="1"/>
      <c r="D361" s="1"/>
      <c r="E361" s="1"/>
      <c r="F361" s="1"/>
      <c r="G361" s="1"/>
      <c r="H361" s="1"/>
    </row>
    <row r="362" spans="1:8" ht="15.75">
      <c r="A362" s="1"/>
      <c r="B362" s="1"/>
      <c r="C362" s="1"/>
      <c r="D362" s="1"/>
      <c r="E362" s="1"/>
      <c r="F362" s="1"/>
      <c r="G362" s="1"/>
      <c r="H362" s="1"/>
    </row>
    <row r="363" spans="1:8" ht="15.75">
      <c r="A363" s="1"/>
      <c r="B363" s="1"/>
      <c r="C363" s="1"/>
      <c r="D363" s="1"/>
      <c r="E363" s="1"/>
      <c r="F363" s="1"/>
      <c r="G363" s="1"/>
      <c r="H363" s="1"/>
    </row>
    <row r="364" spans="1:8" ht="15.75">
      <c r="A364" s="1"/>
      <c r="B364" s="1"/>
      <c r="C364" s="1"/>
      <c r="D364" s="1"/>
      <c r="E364" s="1"/>
      <c r="F364" s="1"/>
      <c r="G364" s="1"/>
      <c r="H364" s="1"/>
    </row>
    <row r="365" spans="1:8" ht="15.75">
      <c r="A365" s="1"/>
      <c r="B365" s="1"/>
      <c r="C365" s="1"/>
      <c r="D365" s="1"/>
      <c r="E365" s="1"/>
      <c r="F365" s="1"/>
      <c r="G365" s="1"/>
      <c r="H365" s="1"/>
    </row>
    <row r="366" spans="1:8" ht="15.75">
      <c r="A366" s="1"/>
      <c r="B366" s="1"/>
      <c r="C366" s="1"/>
      <c r="D366" s="1"/>
      <c r="E366" s="1"/>
      <c r="F366" s="1"/>
      <c r="G366" s="1"/>
      <c r="H366" s="1"/>
    </row>
    <row r="367" spans="1:8" ht="15.75">
      <c r="A367" s="1"/>
      <c r="B367" s="1"/>
      <c r="C367" s="1"/>
      <c r="D367" s="1"/>
      <c r="E367" s="1"/>
      <c r="F367" s="1"/>
      <c r="G367" s="1"/>
      <c r="H367" s="1"/>
    </row>
    <row r="368" spans="1:8" ht="15.75">
      <c r="A368" s="1"/>
      <c r="B368" s="1"/>
      <c r="C368" s="1"/>
      <c r="D368" s="1"/>
      <c r="E368" s="1"/>
      <c r="F368" s="1"/>
      <c r="G368" s="1"/>
      <c r="H368" s="1"/>
    </row>
    <row r="369" spans="1:8" ht="15.75">
      <c r="A369" s="1"/>
      <c r="B369" s="1"/>
      <c r="C369" s="1"/>
      <c r="D369" s="1"/>
      <c r="E369" s="1"/>
      <c r="F369" s="1"/>
      <c r="G369" s="1"/>
      <c r="H369" s="1"/>
    </row>
    <row r="370" spans="1:8" ht="15.75">
      <c r="A370" s="1"/>
      <c r="B370" s="1"/>
      <c r="C370" s="1"/>
      <c r="D370" s="1"/>
      <c r="E370" s="1"/>
      <c r="F370" s="1"/>
      <c r="G370" s="1"/>
      <c r="H370" s="1"/>
    </row>
    <row r="371" spans="1:8" ht="15.75">
      <c r="A371" s="1"/>
      <c r="B371" s="1"/>
      <c r="C371" s="1"/>
      <c r="D371" s="1"/>
      <c r="E371" s="1"/>
      <c r="F371" s="1"/>
      <c r="G371" s="1"/>
      <c r="H371" s="1"/>
    </row>
    <row r="372" spans="1:8" ht="15.75">
      <c r="A372" s="1"/>
      <c r="B372" s="1"/>
      <c r="C372" s="1"/>
      <c r="D372" s="1"/>
      <c r="E372" s="1"/>
      <c r="F372" s="1"/>
      <c r="G372" s="1"/>
      <c r="H372" s="1"/>
    </row>
    <row r="373" spans="1:8" ht="15.75">
      <c r="A373" s="1"/>
      <c r="B373" s="1"/>
      <c r="C373" s="1"/>
      <c r="D373" s="1"/>
      <c r="E373" s="1"/>
      <c r="F373" s="1"/>
      <c r="G373" s="1"/>
      <c r="H373" s="1"/>
    </row>
    <row r="374" spans="1:8" ht="15.75">
      <c r="A374" s="1"/>
      <c r="B374" s="1"/>
      <c r="C374" s="1"/>
      <c r="D374" s="1"/>
      <c r="E374" s="1"/>
      <c r="F374" s="1"/>
      <c r="G374" s="1"/>
      <c r="H374" s="1"/>
    </row>
    <row r="375" spans="1:8" ht="15.75">
      <c r="A375" s="1"/>
      <c r="B375" s="1"/>
      <c r="C375" s="1"/>
      <c r="D375" s="1"/>
      <c r="E375" s="1"/>
      <c r="F375" s="1"/>
      <c r="G375" s="1"/>
      <c r="H375" s="1"/>
    </row>
    <row r="376" spans="1:8" ht="15.75">
      <c r="A376" s="1"/>
      <c r="B376" s="1"/>
      <c r="C376" s="1"/>
      <c r="D376" s="1"/>
      <c r="E376" s="1"/>
      <c r="F376" s="1"/>
      <c r="G376" s="1"/>
      <c r="H376" s="1"/>
    </row>
    <row r="377" spans="1:8" ht="15.75">
      <c r="A377" s="1"/>
      <c r="B377" s="1"/>
      <c r="C377" s="1"/>
      <c r="D377" s="1"/>
      <c r="E377" s="1"/>
      <c r="F377" s="1"/>
      <c r="G377" s="1"/>
      <c r="H377" s="1"/>
    </row>
    <row r="378" spans="1:8" ht="15.75">
      <c r="A378" s="1"/>
      <c r="B378" s="1"/>
      <c r="C378" s="1"/>
      <c r="D378" s="1"/>
      <c r="E378" s="1"/>
      <c r="F378" s="1"/>
      <c r="G378" s="1"/>
      <c r="H378" s="1"/>
    </row>
    <row r="379" spans="1:8" ht="15.75">
      <c r="A379" s="1"/>
      <c r="B379" s="1"/>
      <c r="C379" s="1"/>
      <c r="D379" s="1"/>
      <c r="E379" s="1"/>
      <c r="F379" s="1"/>
      <c r="G379" s="1"/>
      <c r="H379" s="1"/>
    </row>
    <row r="380" spans="1:8" ht="15.75">
      <c r="A380" s="1"/>
      <c r="B380" s="1"/>
      <c r="C380" s="1"/>
      <c r="D380" s="1"/>
      <c r="E380" s="1"/>
      <c r="F380" s="1"/>
      <c r="G380" s="1"/>
      <c r="H380" s="1"/>
    </row>
    <row r="381" spans="1:8" ht="15.75">
      <c r="A381" s="1"/>
      <c r="B381" s="1"/>
      <c r="C381" s="1"/>
      <c r="D381" s="1"/>
      <c r="E381" s="1"/>
      <c r="F381" s="1"/>
      <c r="G381" s="1"/>
      <c r="H381" s="1"/>
    </row>
    <row r="382" spans="1:8" ht="15.75">
      <c r="A382" s="1"/>
      <c r="B382" s="1"/>
      <c r="C382" s="1"/>
      <c r="D382" s="1"/>
      <c r="E382" s="1"/>
      <c r="F382" s="1"/>
      <c r="G382" s="1"/>
      <c r="H382" s="1"/>
    </row>
    <row r="383" spans="1:8" ht="15.75">
      <c r="A383" s="1"/>
      <c r="B383" s="1"/>
      <c r="C383" s="1"/>
      <c r="D383" s="1"/>
      <c r="E383" s="1"/>
      <c r="F383" s="1"/>
      <c r="G383" s="1"/>
      <c r="H383" s="1"/>
    </row>
    <row r="384" spans="1:8" ht="15.75">
      <c r="A384" s="1"/>
      <c r="B384" s="1"/>
      <c r="C384" s="1"/>
      <c r="D384" s="1"/>
      <c r="E384" s="1"/>
      <c r="F384" s="1"/>
      <c r="G384" s="1"/>
      <c r="H384" s="1"/>
    </row>
    <row r="385" spans="1:8" ht="15.75">
      <c r="A385" s="1"/>
      <c r="B385" s="1"/>
      <c r="C385" s="1"/>
      <c r="D385" s="1"/>
      <c r="E385" s="1"/>
      <c r="F385" s="1"/>
      <c r="G385" s="1"/>
      <c r="H385" s="1"/>
    </row>
    <row r="386" spans="1:8" ht="15.75">
      <c r="A386" s="1"/>
      <c r="B386" s="1"/>
      <c r="C386" s="1"/>
      <c r="D386" s="1"/>
      <c r="E386" s="1"/>
      <c r="F386" s="1"/>
      <c r="G386" s="1"/>
      <c r="H386" s="1"/>
    </row>
    <row r="387" spans="1:8" ht="15.75">
      <c r="A387" s="1"/>
      <c r="B387" s="1"/>
      <c r="C387" s="1"/>
      <c r="D387" s="1"/>
      <c r="E387" s="1"/>
      <c r="F387" s="1"/>
      <c r="G387" s="1"/>
      <c r="H387" s="1"/>
    </row>
    <row r="388" spans="1:8" ht="15.75">
      <c r="A388" s="1"/>
      <c r="B388" s="1"/>
      <c r="C388" s="1"/>
      <c r="D388" s="1"/>
      <c r="E388" s="1"/>
      <c r="F388" s="1"/>
      <c r="G388" s="1"/>
      <c r="H388" s="1"/>
    </row>
    <row r="389" spans="1:8" ht="15.75">
      <c r="A389" s="1"/>
      <c r="B389" s="1"/>
      <c r="C389" s="1"/>
      <c r="D389" s="1"/>
      <c r="E389" s="1"/>
      <c r="F389" s="1"/>
      <c r="G389" s="1"/>
      <c r="H389" s="1"/>
    </row>
    <row r="390" spans="1:8" ht="15.75">
      <c r="A390" s="1"/>
      <c r="B390" s="1"/>
      <c r="C390" s="1"/>
      <c r="D390" s="1"/>
      <c r="E390" s="1"/>
      <c r="F390" s="1"/>
      <c r="G390" s="1"/>
      <c r="H390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3">
      <selection activeCell="G15" sqref="G15"/>
    </sheetView>
  </sheetViews>
  <sheetFormatPr defaultColWidth="9.140625" defaultRowHeight="12.75"/>
  <cols>
    <col min="1" max="1" width="5.8515625" style="0" customWidth="1"/>
    <col min="5" max="5" width="13.8515625" style="0" customWidth="1"/>
    <col min="6" max="6" width="11.7109375" style="0" customWidth="1"/>
    <col min="7" max="7" width="13.57421875" style="0" customWidth="1"/>
    <col min="8" max="8" width="11.00390625" style="0" bestFit="1" customWidth="1"/>
    <col min="9" max="9" width="12.28125" style="0" customWidth="1"/>
    <col min="10" max="10" width="9.28125" style="0" bestFit="1" customWidth="1"/>
  </cols>
  <sheetData>
    <row r="1" spans="1:15" ht="15.75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</row>
    <row r="2" spans="1:15" ht="16.5" thickBo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</row>
    <row r="3" spans="1:15" ht="17.25" thickBot="1">
      <c r="A3" s="118"/>
      <c r="B3" s="217">
        <v>57</v>
      </c>
      <c r="C3" s="218" t="s">
        <v>115</v>
      </c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</row>
    <row r="4" spans="1:15" ht="16.5" thickBot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</row>
    <row r="5" spans="1:14" ht="16.5" thickBot="1">
      <c r="A5" s="256"/>
      <c r="B5" s="255" t="s">
        <v>128</v>
      </c>
      <c r="C5" s="165"/>
      <c r="D5" s="166"/>
      <c r="E5" s="207" t="s">
        <v>129</v>
      </c>
      <c r="F5" s="207" t="s">
        <v>130</v>
      </c>
      <c r="G5" s="257" t="s">
        <v>116</v>
      </c>
      <c r="H5" s="208" t="s">
        <v>114</v>
      </c>
      <c r="I5" s="209" t="s">
        <v>107</v>
      </c>
      <c r="J5" s="208" t="s">
        <v>108</v>
      </c>
      <c r="K5" s="209" t="s">
        <v>117</v>
      </c>
      <c r="L5" s="219" t="s">
        <v>118</v>
      </c>
      <c r="M5" s="234" t="s">
        <v>123</v>
      </c>
      <c r="N5" s="207"/>
    </row>
    <row r="6" spans="1:14" ht="15.75">
      <c r="A6" s="235">
        <v>1</v>
      </c>
      <c r="B6" s="275" t="s">
        <v>100</v>
      </c>
      <c r="C6" s="276"/>
      <c r="D6" s="163"/>
      <c r="E6" s="258">
        <v>2.64E-08</v>
      </c>
      <c r="F6" s="261">
        <v>3313331.9</v>
      </c>
      <c r="G6" s="198">
        <v>227220000000</v>
      </c>
      <c r="H6" s="201">
        <f aca="true" t="shared" si="0" ref="H6:I9">F6/$B$3</f>
        <v>58128.6298245614</v>
      </c>
      <c r="I6" s="202">
        <f t="shared" si="0"/>
        <v>3986315789.4736843</v>
      </c>
      <c r="J6" s="264">
        <f>SQRT(I6)</f>
        <v>63137.27733655993</v>
      </c>
      <c r="K6" s="265">
        <f>0.1458*100</f>
        <v>14.580000000000002</v>
      </c>
      <c r="L6" s="266">
        <f>0.048*100</f>
        <v>4.8</v>
      </c>
      <c r="M6" s="267">
        <v>0.17528</v>
      </c>
      <c r="N6" s="238"/>
    </row>
    <row r="7" spans="1:14" ht="15.75">
      <c r="A7" s="236">
        <v>2</v>
      </c>
      <c r="B7" s="275" t="s">
        <v>101</v>
      </c>
      <c r="C7" s="276"/>
      <c r="D7" s="163"/>
      <c r="E7" s="259">
        <v>-6.5542E-08</v>
      </c>
      <c r="F7" s="262">
        <v>1451893.6</v>
      </c>
      <c r="G7" s="199">
        <v>52451000000</v>
      </c>
      <c r="H7" s="203">
        <f t="shared" si="0"/>
        <v>25471.81754385965</v>
      </c>
      <c r="I7" s="204">
        <f t="shared" si="0"/>
        <v>920192982.4561404</v>
      </c>
      <c r="J7" s="268">
        <f>SQRT(I7)</f>
        <v>30334.682830979797</v>
      </c>
      <c r="K7" s="265">
        <f>0.0613*100</f>
        <v>6.13</v>
      </c>
      <c r="L7" s="266">
        <f>0.0307*100</f>
        <v>3.0700000000000003</v>
      </c>
      <c r="M7" s="269">
        <v>0.11603</v>
      </c>
      <c r="N7" s="238"/>
    </row>
    <row r="8" spans="1:14" ht="16.5">
      <c r="A8" s="236">
        <v>3</v>
      </c>
      <c r="B8" s="275" t="s">
        <v>102</v>
      </c>
      <c r="C8" s="276"/>
      <c r="D8" s="163"/>
      <c r="E8" s="259">
        <f>45.80868</f>
        <v>45.80868</v>
      </c>
      <c r="F8" s="262">
        <v>1385299.8</v>
      </c>
      <c r="G8" s="199">
        <v>48678000000</v>
      </c>
      <c r="H8" s="203">
        <f t="shared" si="0"/>
        <v>24303.505263157895</v>
      </c>
      <c r="I8" s="204">
        <f t="shared" si="0"/>
        <v>854000000</v>
      </c>
      <c r="J8" s="268">
        <f>SQRT(I8)</f>
        <v>29223.278392404914</v>
      </c>
      <c r="K8" s="265">
        <f>0.0642*100</f>
        <v>6.419999999999999</v>
      </c>
      <c r="L8" s="266">
        <f>0.0325*100</f>
        <v>3.25</v>
      </c>
      <c r="M8" s="270">
        <v>0.11334</v>
      </c>
      <c r="N8" s="238"/>
    </row>
    <row r="9" spans="1:14" ht="16.5">
      <c r="A9" s="236">
        <v>5</v>
      </c>
      <c r="B9" s="275" t="s">
        <v>126</v>
      </c>
      <c r="C9" s="276"/>
      <c r="D9" s="163"/>
      <c r="E9" s="259">
        <v>-4.105808</v>
      </c>
      <c r="F9" s="262">
        <v>752565.5</v>
      </c>
      <c r="G9" s="199">
        <v>14670000000</v>
      </c>
      <c r="H9" s="203">
        <f t="shared" si="0"/>
        <v>13202.90350877193</v>
      </c>
      <c r="I9" s="204">
        <f t="shared" si="0"/>
        <v>257368421.0526316</v>
      </c>
      <c r="J9" s="268">
        <f>SQRT(I9)</f>
        <v>16042.706163631858</v>
      </c>
      <c r="K9" s="265">
        <f>0.0286*100</f>
        <v>2.86</v>
      </c>
      <c r="L9" s="266">
        <f>0.0286*100</f>
        <v>2.86</v>
      </c>
      <c r="M9" s="270">
        <v>0.08354</v>
      </c>
      <c r="N9" s="238"/>
    </row>
    <row r="10" spans="1:14" ht="15.75">
      <c r="A10" s="236">
        <v>6</v>
      </c>
      <c r="B10" s="275" t="s">
        <v>103</v>
      </c>
      <c r="C10" s="276"/>
      <c r="D10" s="163"/>
      <c r="E10" s="259">
        <v>159602.8</v>
      </c>
      <c r="F10" s="262">
        <v>2302948.6</v>
      </c>
      <c r="G10" s="199">
        <v>112010000000</v>
      </c>
      <c r="H10" s="203">
        <f aca="true" t="shared" si="1" ref="H10:H15">F10/$B$3</f>
        <v>40402.60701754386</v>
      </c>
      <c r="I10" s="204">
        <f aca="true" t="shared" si="2" ref="I10:I15">G10/$B$3</f>
        <v>1965087719.2982457</v>
      </c>
      <c r="J10" s="268">
        <f aca="true" t="shared" si="3" ref="J10:J15">SQRT(I10)</f>
        <v>44329.309934830315</v>
      </c>
      <c r="K10" s="265">
        <f>0.0957*100</f>
        <v>9.569999999999999</v>
      </c>
      <c r="L10" s="266">
        <f>0.0699*100</f>
        <v>6.99</v>
      </c>
      <c r="M10" s="269">
        <v>0.14635</v>
      </c>
      <c r="N10" s="238"/>
    </row>
    <row r="11" spans="1:14" ht="15.75">
      <c r="A11" s="236">
        <v>7</v>
      </c>
      <c r="B11" s="275" t="s">
        <v>106</v>
      </c>
      <c r="C11" s="276"/>
      <c r="D11" s="163"/>
      <c r="E11" s="259">
        <v>-1.892E-08</v>
      </c>
      <c r="F11" s="262">
        <v>2139300</v>
      </c>
      <c r="G11" s="199">
        <v>136070000000</v>
      </c>
      <c r="H11" s="203">
        <f t="shared" si="1"/>
        <v>37531.57894736842</v>
      </c>
      <c r="I11" s="204">
        <f t="shared" si="2"/>
        <v>2387192982.4561405</v>
      </c>
      <c r="J11" s="268">
        <f t="shared" si="3"/>
        <v>48858.90893640729</v>
      </c>
      <c r="K11" s="265">
        <f>0.1122*100</f>
        <v>11.219999999999999</v>
      </c>
      <c r="L11" s="266">
        <f>0.0628*100</f>
        <v>6.279999999999999</v>
      </c>
      <c r="M11" s="269">
        <v>0.14084</v>
      </c>
      <c r="N11" s="238"/>
    </row>
    <row r="12" spans="1:14" ht="15.75">
      <c r="A12" s="236">
        <v>8</v>
      </c>
      <c r="B12" s="275" t="s">
        <v>104</v>
      </c>
      <c r="C12" s="276"/>
      <c r="D12" s="163"/>
      <c r="E12" s="259">
        <v>222416.705</v>
      </c>
      <c r="F12" s="262">
        <v>4355300</v>
      </c>
      <c r="G12" s="199">
        <v>429000000000</v>
      </c>
      <c r="H12" s="203">
        <f t="shared" si="1"/>
        <v>76408.77192982456</v>
      </c>
      <c r="I12" s="204">
        <f t="shared" si="2"/>
        <v>7526315789.473684</v>
      </c>
      <c r="J12" s="268">
        <f t="shared" si="3"/>
        <v>86754.34161742964</v>
      </c>
      <c r="K12" s="265">
        <f>0.1704*100</f>
        <v>17.04</v>
      </c>
      <c r="L12" s="266">
        <f>0.0842*100</f>
        <v>8.42</v>
      </c>
      <c r="M12" s="269">
        <v>0.20138</v>
      </c>
      <c r="N12" s="238"/>
    </row>
    <row r="13" spans="1:14" ht="15.75">
      <c r="A13" s="236">
        <v>9</v>
      </c>
      <c r="B13" s="275" t="s">
        <v>109</v>
      </c>
      <c r="C13" s="276"/>
      <c r="D13" s="163"/>
      <c r="E13" s="259">
        <v>35.308</v>
      </c>
      <c r="F13" s="262">
        <v>2305600</v>
      </c>
      <c r="G13" s="199">
        <v>239290000000</v>
      </c>
      <c r="H13" s="203">
        <f t="shared" si="1"/>
        <v>40449.12280701754</v>
      </c>
      <c r="I13" s="204">
        <f t="shared" si="2"/>
        <v>4198070175.4385967</v>
      </c>
      <c r="J13" s="268">
        <f t="shared" si="3"/>
        <v>64792.51635365458</v>
      </c>
      <c r="K13" s="265">
        <f>0.1438*100</f>
        <v>14.38</v>
      </c>
      <c r="L13" s="266">
        <f>0.1385*100</f>
        <v>13.850000000000001</v>
      </c>
      <c r="M13" s="269">
        <v>0.14621</v>
      </c>
      <c r="N13" s="238"/>
    </row>
    <row r="14" spans="1:14" ht="15.75">
      <c r="A14" s="236">
        <v>9</v>
      </c>
      <c r="B14" s="275" t="s">
        <v>110</v>
      </c>
      <c r="C14" s="276"/>
      <c r="D14" s="163"/>
      <c r="E14" s="259">
        <v>-415341.445</v>
      </c>
      <c r="F14" s="262">
        <v>1360700</v>
      </c>
      <c r="G14" s="199">
        <v>51243000000</v>
      </c>
      <c r="H14" s="203">
        <f t="shared" si="1"/>
        <v>23871.929824561405</v>
      </c>
      <c r="I14" s="204">
        <f t="shared" si="2"/>
        <v>899000000</v>
      </c>
      <c r="J14" s="268">
        <f t="shared" si="3"/>
        <v>29983.3287011299</v>
      </c>
      <c r="K14" s="265">
        <f>0.0653*100</f>
        <v>6.529999999999999</v>
      </c>
      <c r="L14" s="266">
        <f>0.0322*100</f>
        <v>3.2199999999999998</v>
      </c>
      <c r="M14" s="269">
        <v>0.1119</v>
      </c>
      <c r="N14" s="238"/>
    </row>
    <row r="15" spans="1:14" ht="16.5" thickBot="1">
      <c r="A15" s="237">
        <v>10</v>
      </c>
      <c r="B15" s="277" t="s">
        <v>105</v>
      </c>
      <c r="C15" s="278"/>
      <c r="D15" s="164"/>
      <c r="E15" s="260">
        <v>-398515.2</v>
      </c>
      <c r="F15" s="263">
        <v>1647453.6</v>
      </c>
      <c r="G15" s="200">
        <v>81572570000</v>
      </c>
      <c r="H15" s="205">
        <f t="shared" si="1"/>
        <v>28902.694736842106</v>
      </c>
      <c r="I15" s="206">
        <f t="shared" si="2"/>
        <v>1431097719.2982457</v>
      </c>
      <c r="J15" s="271">
        <f t="shared" si="3"/>
        <v>37829.852224113245</v>
      </c>
      <c r="K15" s="272">
        <f>0.087*100</f>
        <v>8.7</v>
      </c>
      <c r="L15" s="273">
        <f>0.0451*100</f>
        <v>4.51</v>
      </c>
      <c r="M15" s="274">
        <v>0.12314</v>
      </c>
      <c r="N15" s="239"/>
    </row>
    <row r="16" spans="1:15" ht="15.75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</row>
    <row r="17" spans="1:15" ht="15.75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</row>
    <row r="18" spans="1:15" ht="15.75">
      <c r="A18" s="118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</row>
    <row r="19" spans="1:15" ht="15.75">
      <c r="A19" s="118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</row>
    <row r="20" spans="1:15" ht="15.75">
      <c r="A20" s="118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</row>
    <row r="21" spans="1:15" ht="15.75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</row>
    <row r="22" spans="1:15" ht="15.75">
      <c r="A22" s="118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</row>
    <row r="23" spans="1:15" ht="15.75">
      <c r="A23" s="118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</row>
    <row r="24" spans="1:15" ht="15.75">
      <c r="A24" s="118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B1">
      <selection activeCell="D23" sqref="D23"/>
    </sheetView>
  </sheetViews>
  <sheetFormatPr defaultColWidth="9.140625" defaultRowHeight="12.75"/>
  <cols>
    <col min="3" max="3" width="12.421875" style="0" bestFit="1" customWidth="1"/>
    <col min="4" max="4" width="12.00390625" style="0" customWidth="1"/>
    <col min="6" max="6" width="12.421875" style="0" bestFit="1" customWidth="1"/>
    <col min="9" max="9" width="12.421875" style="0" bestFit="1" customWidth="1"/>
  </cols>
  <sheetData>
    <row r="1" spans="1:14" ht="16.5" thickBot="1">
      <c r="A1" s="17" t="s">
        <v>67</v>
      </c>
      <c r="B1" s="21" t="s">
        <v>60</v>
      </c>
      <c r="C1" s="22" t="s">
        <v>61</v>
      </c>
      <c r="D1" s="17" t="s">
        <v>67</v>
      </c>
      <c r="E1" s="21" t="s">
        <v>60</v>
      </c>
      <c r="F1" s="22" t="s">
        <v>61</v>
      </c>
      <c r="G1" s="17" t="s">
        <v>67</v>
      </c>
      <c r="H1" s="21" t="s">
        <v>60</v>
      </c>
      <c r="I1" s="22" t="s">
        <v>61</v>
      </c>
      <c r="L1" s="22" t="s">
        <v>61</v>
      </c>
      <c r="M1" s="22" t="s">
        <v>61</v>
      </c>
      <c r="N1" s="22" t="s">
        <v>61</v>
      </c>
    </row>
    <row r="2" spans="1:14" ht="15.75">
      <c r="A2" s="2" t="s">
        <v>0</v>
      </c>
      <c r="B2" s="23">
        <v>1</v>
      </c>
      <c r="C2" s="24">
        <f>1/L2</f>
        <v>5.575910727438889E-06</v>
      </c>
      <c r="D2" s="18" t="s">
        <v>19</v>
      </c>
      <c r="E2" s="25">
        <v>20</v>
      </c>
      <c r="F2" s="24">
        <f>1/M2</f>
        <v>2.1100540912366288E-06</v>
      </c>
      <c r="G2" s="72" t="s">
        <v>38</v>
      </c>
      <c r="H2" s="23">
        <v>39</v>
      </c>
      <c r="I2" s="24">
        <f>1/N2</f>
        <v>1.7221616021338272E-06</v>
      </c>
      <c r="L2" s="24">
        <v>179342.9</v>
      </c>
      <c r="M2" s="26">
        <v>473921.5</v>
      </c>
      <c r="N2" s="24">
        <v>580665.6</v>
      </c>
    </row>
    <row r="3" spans="1:14" ht="15.75">
      <c r="A3" s="3" t="s">
        <v>1</v>
      </c>
      <c r="B3" s="27">
        <v>2</v>
      </c>
      <c r="C3" s="28">
        <f aca="true" t="shared" si="0" ref="C3:C20">1/L3</f>
        <v>5.559274092226133E-06</v>
      </c>
      <c r="D3" s="19" t="s">
        <v>20</v>
      </c>
      <c r="E3" s="29">
        <f aca="true" t="shared" si="1" ref="E3:E20">E2+1</f>
        <v>21</v>
      </c>
      <c r="F3" s="28">
        <f aca="true" t="shared" si="2" ref="F3:F20">1/M3</f>
        <v>2.0268061325478516E-06</v>
      </c>
      <c r="G3" s="73" t="s">
        <v>39</v>
      </c>
      <c r="H3" s="27">
        <f aca="true" t="shared" si="3" ref="H3:H20">H2+1</f>
        <v>40</v>
      </c>
      <c r="I3" s="28">
        <f aca="true" t="shared" si="4" ref="I3:I20">1/N3</f>
        <v>1.7626245338298763E-06</v>
      </c>
      <c r="L3" s="28">
        <v>179879.6</v>
      </c>
      <c r="M3" s="30">
        <v>493387.1</v>
      </c>
      <c r="N3" s="28">
        <v>567335.8</v>
      </c>
    </row>
    <row r="4" spans="1:14" ht="15.75">
      <c r="A4" s="3" t="s">
        <v>2</v>
      </c>
      <c r="B4" s="27">
        <f>B3+1</f>
        <v>3</v>
      </c>
      <c r="C4" s="28">
        <f t="shared" si="0"/>
        <v>5.430122737064226E-06</v>
      </c>
      <c r="D4" s="19" t="s">
        <v>21</v>
      </c>
      <c r="E4" s="29">
        <f t="shared" si="1"/>
        <v>22</v>
      </c>
      <c r="F4" s="28">
        <f t="shared" si="2"/>
        <v>1.952843515915089E-06</v>
      </c>
      <c r="G4" s="73" t="s">
        <v>40</v>
      </c>
      <c r="H4" s="27">
        <f t="shared" si="3"/>
        <v>41</v>
      </c>
      <c r="I4" s="28">
        <f t="shared" si="4"/>
        <v>1.7834801583373685E-06</v>
      </c>
      <c r="L4" s="28">
        <v>184157.9</v>
      </c>
      <c r="M4" s="30">
        <v>512073.8</v>
      </c>
      <c r="N4" s="28">
        <v>560701.5</v>
      </c>
    </row>
    <row r="5" spans="1:14" ht="15.75">
      <c r="A5" s="3" t="s">
        <v>3</v>
      </c>
      <c r="B5" s="27">
        <f>B4+1</f>
        <v>4</v>
      </c>
      <c r="C5" s="28">
        <f t="shared" si="0"/>
        <v>4.88322499898673E-06</v>
      </c>
      <c r="D5" s="19" t="s">
        <v>22</v>
      </c>
      <c r="E5" s="29">
        <f t="shared" si="1"/>
        <v>23</v>
      </c>
      <c r="F5" s="28">
        <f t="shared" si="2"/>
        <v>1.8959078346116175E-06</v>
      </c>
      <c r="G5" s="73" t="s">
        <v>41</v>
      </c>
      <c r="H5" s="27">
        <f t="shared" si="3"/>
        <v>42</v>
      </c>
      <c r="I5" s="28">
        <f t="shared" si="4"/>
        <v>1.8059398445049674E-06</v>
      </c>
      <c r="L5" s="28">
        <v>204782.7</v>
      </c>
      <c r="M5" s="30">
        <v>527451.8</v>
      </c>
      <c r="N5" s="28">
        <v>553728.3</v>
      </c>
    </row>
    <row r="6" spans="1:14" ht="15.75">
      <c r="A6" s="3" t="s">
        <v>4</v>
      </c>
      <c r="B6" s="27">
        <f aca="true" t="shared" si="5" ref="B6:B20">B5+1</f>
        <v>5</v>
      </c>
      <c r="C6" s="28">
        <f t="shared" si="0"/>
        <v>4.648021592849112E-06</v>
      </c>
      <c r="D6" s="19" t="s">
        <v>23</v>
      </c>
      <c r="E6" s="29">
        <f t="shared" si="1"/>
        <v>24</v>
      </c>
      <c r="F6" s="28">
        <f t="shared" si="2"/>
        <v>1.8190235299788721E-06</v>
      </c>
      <c r="G6" s="73" t="s">
        <v>42</v>
      </c>
      <c r="H6" s="27">
        <f t="shared" si="3"/>
        <v>43</v>
      </c>
      <c r="I6" s="28">
        <f t="shared" si="4"/>
        <v>1.823317939059974E-06</v>
      </c>
      <c r="L6" s="28">
        <v>215145.3</v>
      </c>
      <c r="M6" s="30">
        <v>549745.5</v>
      </c>
      <c r="N6" s="28">
        <v>548450.7</v>
      </c>
    </row>
    <row r="7" spans="1:14" ht="15.75">
      <c r="A7" s="3" t="s">
        <v>5</v>
      </c>
      <c r="B7" s="27">
        <f t="shared" si="5"/>
        <v>6</v>
      </c>
      <c r="C7" s="28">
        <f t="shared" si="0"/>
        <v>4.542968302801557E-06</v>
      </c>
      <c r="D7" s="19" t="s">
        <v>24</v>
      </c>
      <c r="E7" s="29">
        <f t="shared" si="1"/>
        <v>25</v>
      </c>
      <c r="F7" s="28">
        <f t="shared" si="2"/>
        <v>1.786848934787876E-06</v>
      </c>
      <c r="G7" s="73" t="s">
        <v>43</v>
      </c>
      <c r="H7" s="27">
        <f t="shared" si="3"/>
        <v>44</v>
      </c>
      <c r="I7" s="28">
        <f t="shared" si="4"/>
        <v>1.7920305534041234E-06</v>
      </c>
      <c r="L7" s="28">
        <v>220120.4</v>
      </c>
      <c r="M7" s="30">
        <v>559644.4</v>
      </c>
      <c r="N7" s="28">
        <v>558026.2</v>
      </c>
    </row>
    <row r="8" spans="1:14" ht="15.75">
      <c r="A8" s="3" t="s">
        <v>6</v>
      </c>
      <c r="B8" s="27">
        <f t="shared" si="5"/>
        <v>7</v>
      </c>
      <c r="C8" s="28">
        <f t="shared" si="0"/>
        <v>4.447259065292878E-06</v>
      </c>
      <c r="D8" s="19" t="s">
        <v>25</v>
      </c>
      <c r="E8" s="29">
        <f t="shared" si="1"/>
        <v>26</v>
      </c>
      <c r="F8" s="28">
        <f t="shared" si="2"/>
        <v>1.8032141571064758E-06</v>
      </c>
      <c r="G8" s="73" t="s">
        <v>44</v>
      </c>
      <c r="H8" s="27">
        <f t="shared" si="3"/>
        <v>45</v>
      </c>
      <c r="I8" s="28">
        <f t="shared" si="4"/>
        <v>1.7939069948918497E-06</v>
      </c>
      <c r="L8" s="28">
        <v>224857.6</v>
      </c>
      <c r="M8" s="30">
        <v>554565.3</v>
      </c>
      <c r="N8" s="28">
        <v>557442.5</v>
      </c>
    </row>
    <row r="9" spans="1:14" ht="15.75">
      <c r="A9" s="3" t="s">
        <v>7</v>
      </c>
      <c r="B9" s="27">
        <f t="shared" si="5"/>
        <v>8</v>
      </c>
      <c r="C9" s="28">
        <f t="shared" si="0"/>
        <v>4.0899979509110265E-06</v>
      </c>
      <c r="D9" s="19" t="s">
        <v>26</v>
      </c>
      <c r="E9" s="29">
        <f t="shared" si="1"/>
        <v>27</v>
      </c>
      <c r="F9" s="28">
        <f t="shared" si="2"/>
        <v>1.8436258663658852E-06</v>
      </c>
      <c r="G9" s="73" t="s">
        <v>45</v>
      </c>
      <c r="H9" s="27">
        <f t="shared" si="3"/>
        <v>46</v>
      </c>
      <c r="I9" s="28">
        <f t="shared" si="4"/>
        <v>1.7740933407277545E-06</v>
      </c>
      <c r="L9" s="28">
        <v>244498.9</v>
      </c>
      <c r="M9" s="30">
        <v>542409.4</v>
      </c>
      <c r="N9" s="28">
        <v>563668.2</v>
      </c>
    </row>
    <row r="10" spans="1:14" ht="15.75">
      <c r="A10" s="3" t="s">
        <v>8</v>
      </c>
      <c r="B10" s="27">
        <f t="shared" si="5"/>
        <v>9</v>
      </c>
      <c r="C10" s="28">
        <f t="shared" si="0"/>
        <v>3.890847714554961E-06</v>
      </c>
      <c r="D10" s="19" t="s">
        <v>27</v>
      </c>
      <c r="E10" s="29">
        <f t="shared" si="1"/>
        <v>28</v>
      </c>
      <c r="F10" s="28">
        <f t="shared" si="2"/>
        <v>1.8624273350694884E-06</v>
      </c>
      <c r="G10" s="73" t="s">
        <v>46</v>
      </c>
      <c r="H10" s="27">
        <f t="shared" si="3"/>
        <v>47</v>
      </c>
      <c r="I10" s="28">
        <f t="shared" si="4"/>
        <v>1.7569233320824038E-06</v>
      </c>
      <c r="L10" s="28">
        <v>257013.4</v>
      </c>
      <c r="M10" s="30">
        <v>536933.7</v>
      </c>
      <c r="N10" s="28">
        <v>569176.8</v>
      </c>
    </row>
    <row r="11" spans="1:14" ht="15.75">
      <c r="A11" s="3" t="s">
        <v>9</v>
      </c>
      <c r="B11" s="27">
        <f t="shared" si="5"/>
        <v>10</v>
      </c>
      <c r="C11" s="28">
        <f t="shared" si="0"/>
        <v>3.7278435617904986E-06</v>
      </c>
      <c r="D11" s="19" t="s">
        <v>28</v>
      </c>
      <c r="E11" s="29">
        <f t="shared" si="1"/>
        <v>29</v>
      </c>
      <c r="F11" s="28">
        <f t="shared" si="2"/>
        <v>1.8242349614630364E-06</v>
      </c>
      <c r="G11" s="73" t="s">
        <v>47</v>
      </c>
      <c r="H11" s="27">
        <f t="shared" si="3"/>
        <v>48</v>
      </c>
      <c r="I11" s="28">
        <f t="shared" si="4"/>
        <v>1.7019399392203208E-06</v>
      </c>
      <c r="L11" s="28">
        <v>268251.6</v>
      </c>
      <c r="M11" s="30">
        <v>548175</v>
      </c>
      <c r="N11" s="28">
        <v>587564.8</v>
      </c>
    </row>
    <row r="12" spans="1:14" ht="15.75">
      <c r="A12" s="3" t="s">
        <v>10</v>
      </c>
      <c r="B12" s="27">
        <f t="shared" si="5"/>
        <v>11</v>
      </c>
      <c r="C12" s="28">
        <f t="shared" si="0"/>
        <v>3.56242454339514E-06</v>
      </c>
      <c r="D12" s="19" t="s">
        <v>29</v>
      </c>
      <c r="E12" s="29">
        <f t="shared" si="1"/>
        <v>30</v>
      </c>
      <c r="F12" s="28">
        <f t="shared" si="2"/>
        <v>1.8402805765378213E-06</v>
      </c>
      <c r="G12" s="73" t="s">
        <v>48</v>
      </c>
      <c r="H12" s="27">
        <f t="shared" si="3"/>
        <v>49</v>
      </c>
      <c r="I12" s="28">
        <f t="shared" si="4"/>
        <v>1.7104797502289047E-06</v>
      </c>
      <c r="L12" s="28">
        <v>280707.7</v>
      </c>
      <c r="M12" s="30">
        <v>543395.4</v>
      </c>
      <c r="N12" s="28">
        <v>584631.3</v>
      </c>
    </row>
    <row r="13" spans="1:14" ht="15.75">
      <c r="A13" s="3" t="s">
        <v>11</v>
      </c>
      <c r="B13" s="27">
        <f t="shared" si="5"/>
        <v>12</v>
      </c>
      <c r="C13" s="28">
        <f t="shared" si="0"/>
        <v>3.2654458035592704E-06</v>
      </c>
      <c r="D13" s="19" t="s">
        <v>30</v>
      </c>
      <c r="E13" s="29">
        <f t="shared" si="1"/>
        <v>31</v>
      </c>
      <c r="F13" s="28">
        <f t="shared" si="2"/>
        <v>1.82588739496811E-06</v>
      </c>
      <c r="G13" s="73" t="s">
        <v>49</v>
      </c>
      <c r="H13" s="27">
        <f t="shared" si="3"/>
        <v>50</v>
      </c>
      <c r="I13" s="28">
        <f t="shared" si="4"/>
        <v>1.696382481322405E-06</v>
      </c>
      <c r="L13" s="28">
        <v>306236.9</v>
      </c>
      <c r="M13" s="30">
        <v>547678.9</v>
      </c>
      <c r="N13" s="28">
        <v>589489.7</v>
      </c>
    </row>
    <row r="14" spans="1:14" ht="15.75">
      <c r="A14" s="3" t="s">
        <v>12</v>
      </c>
      <c r="B14" s="27">
        <f t="shared" si="5"/>
        <v>13</v>
      </c>
      <c r="C14" s="28">
        <f t="shared" si="0"/>
        <v>3.116734808878705E-06</v>
      </c>
      <c r="D14" s="19" t="s">
        <v>31</v>
      </c>
      <c r="E14" s="29">
        <f t="shared" si="1"/>
        <v>32</v>
      </c>
      <c r="F14" s="28">
        <f t="shared" si="2"/>
        <v>1.8209864684316516E-06</v>
      </c>
      <c r="G14" s="73" t="s">
        <v>50</v>
      </c>
      <c r="H14" s="27">
        <f t="shared" si="3"/>
        <v>51</v>
      </c>
      <c r="I14" s="28">
        <f t="shared" si="4"/>
        <v>1.7177709242535168E-06</v>
      </c>
      <c r="L14" s="28">
        <v>320848.6</v>
      </c>
      <c r="M14" s="30">
        <v>549152.9</v>
      </c>
      <c r="N14" s="28">
        <v>582149.8</v>
      </c>
    </row>
    <row r="15" spans="1:14" ht="15.75">
      <c r="A15" s="3" t="s">
        <v>13</v>
      </c>
      <c r="B15" s="27">
        <f t="shared" si="5"/>
        <v>14</v>
      </c>
      <c r="C15" s="28">
        <f t="shared" si="0"/>
        <v>3.0340256878818894E-06</v>
      </c>
      <c r="D15" s="19" t="s">
        <v>32</v>
      </c>
      <c r="E15" s="29">
        <f t="shared" si="1"/>
        <v>33</v>
      </c>
      <c r="F15" s="28">
        <f t="shared" si="2"/>
        <v>1.7582142450869779E-06</v>
      </c>
      <c r="G15" s="73" t="s">
        <v>51</v>
      </c>
      <c r="H15" s="27">
        <f t="shared" si="3"/>
        <v>52</v>
      </c>
      <c r="I15" s="28">
        <f t="shared" si="4"/>
        <v>1.6689545251615757E-06</v>
      </c>
      <c r="L15" s="28">
        <v>329595.1</v>
      </c>
      <c r="M15" s="30">
        <v>568758.9</v>
      </c>
      <c r="N15" s="28">
        <v>599177.5</v>
      </c>
    </row>
    <row r="16" spans="1:14" ht="15.75">
      <c r="A16" s="3" t="s">
        <v>14</v>
      </c>
      <c r="B16" s="27">
        <f t="shared" si="5"/>
        <v>15</v>
      </c>
      <c r="C16" s="28">
        <f t="shared" si="0"/>
        <v>2.9751960877361527E-06</v>
      </c>
      <c r="D16" s="19" t="s">
        <v>33</v>
      </c>
      <c r="E16" s="29">
        <f t="shared" si="1"/>
        <v>34</v>
      </c>
      <c r="F16" s="28">
        <f t="shared" si="2"/>
        <v>1.7146917532928942E-06</v>
      </c>
      <c r="G16" s="73" t="s">
        <v>52</v>
      </c>
      <c r="H16" s="27">
        <f t="shared" si="3"/>
        <v>53</v>
      </c>
      <c r="I16" s="28">
        <f t="shared" si="4"/>
        <v>1.6747389082042109E-06</v>
      </c>
      <c r="L16" s="28">
        <v>336112.3</v>
      </c>
      <c r="M16" s="30">
        <v>583195.2</v>
      </c>
      <c r="N16" s="28">
        <v>597108</v>
      </c>
    </row>
    <row r="17" spans="1:14" ht="15.75">
      <c r="A17" s="3" t="s">
        <v>15</v>
      </c>
      <c r="B17" s="27">
        <f t="shared" si="5"/>
        <v>16</v>
      </c>
      <c r="C17" s="28">
        <f t="shared" si="0"/>
        <v>2.7350412389518007E-06</v>
      </c>
      <c r="D17" s="19" t="s">
        <v>34</v>
      </c>
      <c r="E17" s="29">
        <f t="shared" si="1"/>
        <v>35</v>
      </c>
      <c r="F17" s="28">
        <f t="shared" si="2"/>
        <v>1.6958468202617742E-06</v>
      </c>
      <c r="G17" s="73" t="s">
        <v>53</v>
      </c>
      <c r="H17" s="27">
        <f t="shared" si="3"/>
        <v>54</v>
      </c>
      <c r="I17" s="28">
        <f t="shared" si="4"/>
        <v>1.6534489953974593E-06</v>
      </c>
      <c r="L17" s="28">
        <v>365625.2</v>
      </c>
      <c r="M17" s="30">
        <v>589675.9</v>
      </c>
      <c r="N17" s="28">
        <v>604796.4</v>
      </c>
    </row>
    <row r="18" spans="1:14" ht="15.75">
      <c r="A18" s="3" t="s">
        <v>16</v>
      </c>
      <c r="B18" s="27">
        <f t="shared" si="5"/>
        <v>17</v>
      </c>
      <c r="C18" s="28">
        <f t="shared" si="0"/>
        <v>2.4105673487206277E-06</v>
      </c>
      <c r="D18" s="19" t="s">
        <v>35</v>
      </c>
      <c r="E18" s="29">
        <f t="shared" si="1"/>
        <v>36</v>
      </c>
      <c r="F18" s="28">
        <f t="shared" si="2"/>
        <v>1.677934274978862E-06</v>
      </c>
      <c r="G18" s="73" t="s">
        <v>54</v>
      </c>
      <c r="H18" s="27">
        <f t="shared" si="3"/>
        <v>55</v>
      </c>
      <c r="I18" s="28">
        <f t="shared" si="4"/>
        <v>1.6493904018013983E-06</v>
      </c>
      <c r="L18" s="28">
        <v>414840.1</v>
      </c>
      <c r="M18" s="30">
        <v>595970.9</v>
      </c>
      <c r="N18" s="28">
        <v>606284.6</v>
      </c>
    </row>
    <row r="19" spans="1:14" ht="15.75">
      <c r="A19" s="3" t="s">
        <v>17</v>
      </c>
      <c r="B19" s="27">
        <f t="shared" si="5"/>
        <v>18</v>
      </c>
      <c r="C19" s="28">
        <f t="shared" si="0"/>
        <v>2.266633120496483E-06</v>
      </c>
      <c r="D19" s="19" t="s">
        <v>36</v>
      </c>
      <c r="E19" s="29">
        <f t="shared" si="1"/>
        <v>37</v>
      </c>
      <c r="F19" s="28">
        <f t="shared" si="2"/>
        <v>1.6763433587047902E-06</v>
      </c>
      <c r="G19" s="73" t="s">
        <v>55</v>
      </c>
      <c r="H19" s="27">
        <f t="shared" si="3"/>
        <v>56</v>
      </c>
      <c r="I19" s="28">
        <f t="shared" si="4"/>
        <v>1.585685949506368E-06</v>
      </c>
      <c r="L19" s="28">
        <v>441183</v>
      </c>
      <c r="M19" s="30">
        <v>596536.5</v>
      </c>
      <c r="N19" s="28">
        <v>630641.9</v>
      </c>
    </row>
    <row r="20" spans="1:14" ht="16.5" thickBot="1">
      <c r="A20" s="4" t="s">
        <v>18</v>
      </c>
      <c r="B20" s="31">
        <f t="shared" si="5"/>
        <v>19</v>
      </c>
      <c r="C20" s="32">
        <f t="shared" si="0"/>
        <v>2.254033649566741E-06</v>
      </c>
      <c r="D20" s="20" t="s">
        <v>37</v>
      </c>
      <c r="E20" s="33">
        <f t="shared" si="1"/>
        <v>38</v>
      </c>
      <c r="F20" s="32">
        <f t="shared" si="2"/>
        <v>1.6830616507165717E-06</v>
      </c>
      <c r="G20" s="74" t="s">
        <v>56</v>
      </c>
      <c r="H20" s="31">
        <f t="shared" si="3"/>
        <v>57</v>
      </c>
      <c r="I20" s="32">
        <f t="shared" si="4"/>
        <v>1.570348306395055E-06</v>
      </c>
      <c r="L20" s="32">
        <v>443649.1</v>
      </c>
      <c r="M20" s="34">
        <v>594155.3</v>
      </c>
      <c r="N20" s="32">
        <v>636801.4</v>
      </c>
    </row>
    <row r="21" spans="1:14" ht="16.5" thickBot="1">
      <c r="A21" s="1"/>
      <c r="B21" s="1"/>
      <c r="C21" s="59">
        <f>SUM(C2:C20)</f>
        <v>7.241557303310282E-05</v>
      </c>
      <c r="D21" s="1"/>
      <c r="E21" s="1"/>
      <c r="F21" s="59">
        <f>SUM(F2:F20)</f>
        <v>3.461823290206228E-05</v>
      </c>
      <c r="G21" s="1"/>
      <c r="H21" s="1"/>
      <c r="I21" s="59">
        <f>SUM(I2:I20)</f>
        <v>3.2643618480463355E-05</v>
      </c>
      <c r="L21" s="35">
        <f>SUM(L2:L20)</f>
        <v>5416848.3</v>
      </c>
      <c r="M21" s="35">
        <f>SUM(M2:M20)</f>
        <v>10466827.400000004</v>
      </c>
      <c r="N21" s="35">
        <f>SUM(N2:N20)</f>
        <v>11077841</v>
      </c>
    </row>
    <row r="22" spans="1:9" ht="15">
      <c r="A22" s="71"/>
      <c r="B22" s="71"/>
      <c r="C22" s="71"/>
      <c r="D22" s="71"/>
      <c r="E22" s="71"/>
      <c r="F22" s="71"/>
      <c r="G22" s="71"/>
      <c r="H22" s="71"/>
      <c r="I22" s="71"/>
    </row>
    <row r="23" spans="1:9" ht="15.75" thickBot="1">
      <c r="A23" s="71"/>
      <c r="B23" s="71"/>
      <c r="C23" s="71"/>
      <c r="D23" s="71"/>
      <c r="E23" s="71"/>
      <c r="F23" s="71"/>
      <c r="G23" s="71"/>
      <c r="H23" s="71"/>
      <c r="I23" s="71"/>
    </row>
    <row r="24" spans="1:9" ht="16.5" thickBot="1">
      <c r="A24" s="37" t="s">
        <v>63</v>
      </c>
      <c r="B24" s="38" t="s">
        <v>64</v>
      </c>
      <c r="C24" s="36">
        <f>(I21-F21)/(F21-C21)</f>
        <v>0.052242152880416566</v>
      </c>
      <c r="D24" s="39">
        <f>C24^(1/19)</f>
        <v>0.8561057707605385</v>
      </c>
      <c r="E24" s="71"/>
      <c r="F24" s="71"/>
      <c r="G24" s="71"/>
      <c r="H24" s="71"/>
      <c r="I24" s="71"/>
    </row>
    <row r="25" spans="1:9" ht="16.5" thickBot="1">
      <c r="A25" s="37" t="s">
        <v>63</v>
      </c>
      <c r="B25" s="38" t="s">
        <v>65</v>
      </c>
      <c r="C25" s="35">
        <f>(D24-1)/(D24*(C24-1)^2)</f>
        <v>-0.1871204162503779</v>
      </c>
      <c r="D25" s="75">
        <f>C25*(F21-C21)</f>
        <v>7.07265401847742E-06</v>
      </c>
      <c r="E25" s="71"/>
      <c r="F25" s="71"/>
      <c r="G25" s="71"/>
      <c r="H25" s="71"/>
      <c r="I25" s="71"/>
    </row>
    <row r="26" spans="1:9" ht="16.5" thickBot="1">
      <c r="A26" s="37" t="s">
        <v>63</v>
      </c>
      <c r="B26" s="38" t="s">
        <v>66</v>
      </c>
      <c r="C26" s="35">
        <f>D24*D25*(C24-1)/(D24-1)</f>
        <v>3.988079892549965E-05</v>
      </c>
      <c r="D26" s="75">
        <f>(C21-C26)/19</f>
        <v>1.7123565319791147E-06</v>
      </c>
      <c r="E26" s="71"/>
      <c r="F26" s="71"/>
      <c r="G26" s="71"/>
      <c r="H26" s="71"/>
      <c r="I26" s="7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ESF -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dalibor</dc:creator>
  <cp:keywords/>
  <dc:description/>
  <cp:lastModifiedBy>Moravansky Dalibor</cp:lastModifiedBy>
  <dcterms:created xsi:type="dcterms:W3CDTF">2006-12-13T12:59:52Z</dcterms:created>
  <dcterms:modified xsi:type="dcterms:W3CDTF">2012-03-06T09:39:59Z</dcterms:modified>
  <cp:category/>
  <cp:version/>
  <cp:contentType/>
  <cp:contentStatus/>
</cp:coreProperties>
</file>