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4355" windowHeight="7995" activeTab="2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45621"/>
</workbook>
</file>

<file path=xl/calcChain.xml><?xml version="1.0" encoding="utf-8"?>
<calcChain xmlns="http://schemas.openxmlformats.org/spreadsheetml/2006/main">
  <c r="H6" i="5" l="1" a="1"/>
  <c r="H6" i="5" s="1"/>
  <c r="H7" i="5"/>
  <c r="E6" i="5" a="1"/>
  <c r="E6" i="5" s="1"/>
  <c r="F6" i="5"/>
  <c r="F7" i="5"/>
  <c r="H4" i="5"/>
  <c r="H3" i="5"/>
  <c r="F4" i="5"/>
  <c r="E4" i="5"/>
  <c r="F3" i="5"/>
  <c r="E3" i="5"/>
  <c r="E3" i="4"/>
  <c r="E4" i="4"/>
  <c r="E5" i="4"/>
  <c r="E2" i="4"/>
  <c r="N50" i="3"/>
  <c r="M50" i="3"/>
  <c r="L50" i="3"/>
  <c r="Q49" i="3"/>
  <c r="R49" i="3"/>
  <c r="S49" i="3"/>
  <c r="T49" i="3"/>
  <c r="U49" i="3"/>
  <c r="Q50" i="3"/>
  <c r="R50" i="3"/>
  <c r="S50" i="3"/>
  <c r="T50" i="3"/>
  <c r="U50" i="3"/>
  <c r="Q51" i="3"/>
  <c r="R51" i="3"/>
  <c r="S51" i="3"/>
  <c r="T51" i="3"/>
  <c r="U51" i="3"/>
  <c r="Q52" i="3"/>
  <c r="R52" i="3"/>
  <c r="S52" i="3"/>
  <c r="T52" i="3"/>
  <c r="U52" i="3"/>
  <c r="R48" i="3"/>
  <c r="S48" i="3"/>
  <c r="T48" i="3"/>
  <c r="U48" i="3"/>
  <c r="Q48" i="3"/>
  <c r="Q54" i="3" s="1"/>
  <c r="K50" i="3" s="1"/>
  <c r="Q46" i="3" a="1"/>
  <c r="Q46" i="3" s="1"/>
  <c r="R46" i="3"/>
  <c r="T46" i="3"/>
  <c r="J50" i="3"/>
  <c r="I56" i="3"/>
  <c r="I51" i="3"/>
  <c r="I52" i="3"/>
  <c r="I53" i="3"/>
  <c r="I54" i="3"/>
  <c r="I50" i="3"/>
  <c r="G56" i="3"/>
  <c r="G50" i="3" a="1"/>
  <c r="G50" i="3" s="1"/>
  <c r="G51" i="3"/>
  <c r="G53" i="3"/>
  <c r="A50" i="3" a="1"/>
  <c r="A50" i="3" s="1"/>
  <c r="G45" i="3"/>
  <c r="G46" i="3"/>
  <c r="G47" i="3"/>
  <c r="G48" i="3"/>
  <c r="G44" i="3"/>
  <c r="A45" i="3"/>
  <c r="B45" i="3"/>
  <c r="C45" i="3"/>
  <c r="D45" i="3"/>
  <c r="E45" i="3"/>
  <c r="A46" i="3"/>
  <c r="B46" i="3"/>
  <c r="C46" i="3"/>
  <c r="D46" i="3"/>
  <c r="E46" i="3"/>
  <c r="A47" i="3"/>
  <c r="B47" i="3"/>
  <c r="C47" i="3"/>
  <c r="D47" i="3"/>
  <c r="E47" i="3"/>
  <c r="A48" i="3"/>
  <c r="B48" i="3"/>
  <c r="C48" i="3"/>
  <c r="D48" i="3"/>
  <c r="E48" i="3"/>
  <c r="B44" i="3"/>
  <c r="C44" i="3"/>
  <c r="D44" i="3"/>
  <c r="E44" i="3"/>
  <c r="A44" i="3"/>
  <c r="AE19" i="3"/>
  <c r="AD19" i="3"/>
  <c r="AC19" i="3"/>
  <c r="AB19" i="3" a="1"/>
  <c r="AB19" i="3" s="1"/>
  <c r="AB20" i="3"/>
  <c r="AB22" i="3"/>
  <c r="AA19" i="3"/>
  <c r="Z10" i="3"/>
  <c r="Z5" i="3"/>
  <c r="AA5" i="3"/>
  <c r="AB5" i="3"/>
  <c r="AC5" i="3"/>
  <c r="AD5" i="3"/>
  <c r="Z6" i="3"/>
  <c r="AA6" i="3"/>
  <c r="AB6" i="3"/>
  <c r="AC6" i="3"/>
  <c r="AD6" i="3"/>
  <c r="Z7" i="3"/>
  <c r="AA7" i="3"/>
  <c r="AB7" i="3"/>
  <c r="AC7" i="3"/>
  <c r="AD7" i="3"/>
  <c r="Z8" i="3"/>
  <c r="AA8" i="3"/>
  <c r="AB8" i="3"/>
  <c r="AC8" i="3"/>
  <c r="AD8" i="3"/>
  <c r="AA4" i="3"/>
  <c r="AB4" i="3"/>
  <c r="AC4" i="3"/>
  <c r="AD4" i="3"/>
  <c r="Z4" i="3"/>
  <c r="Z2" i="3" a="1"/>
  <c r="Z2" i="3" s="1"/>
  <c r="AA2" i="3"/>
  <c r="AC2" i="3"/>
  <c r="Z19" i="3"/>
  <c r="Y19" i="3" a="1"/>
  <c r="Y19" i="3" s="1"/>
  <c r="X26" i="3"/>
  <c r="X19" i="3" a="1"/>
  <c r="X19" i="3" s="1"/>
  <c r="Q19" i="3" a="1"/>
  <c r="Q19" i="3" s="1"/>
  <c r="Q13" i="3"/>
  <c r="R13" i="3"/>
  <c r="S13" i="3"/>
  <c r="T13" i="3"/>
  <c r="U13" i="3"/>
  <c r="Q14" i="3"/>
  <c r="R14" i="3"/>
  <c r="S14" i="3"/>
  <c r="T14" i="3"/>
  <c r="U14" i="3"/>
  <c r="Q15" i="3"/>
  <c r="R15" i="3"/>
  <c r="S15" i="3"/>
  <c r="T15" i="3"/>
  <c r="U15" i="3"/>
  <c r="Q16" i="3"/>
  <c r="R16" i="3"/>
  <c r="S16" i="3"/>
  <c r="T16" i="3"/>
  <c r="U16" i="3"/>
  <c r="R12" i="3"/>
  <c r="S12" i="3"/>
  <c r="T12" i="3"/>
  <c r="U12" i="3"/>
  <c r="Q12" i="3"/>
  <c r="R9" i="3"/>
  <c r="S9" i="3"/>
  <c r="T9" i="3"/>
  <c r="U9" i="3"/>
  <c r="Q9" i="3"/>
  <c r="R8" i="3"/>
  <c r="S8" i="3"/>
  <c r="T8" i="3"/>
  <c r="U8" i="3"/>
  <c r="Q8" i="3"/>
  <c r="R7" i="3"/>
  <c r="S7" i="3"/>
  <c r="T7" i="3"/>
  <c r="U7" i="3"/>
  <c r="Q7" i="3"/>
  <c r="R6" i="3"/>
  <c r="S6" i="3"/>
  <c r="T6" i="3"/>
  <c r="U6" i="3"/>
  <c r="Q6" i="3"/>
  <c r="R5" i="3"/>
  <c r="S5" i="3"/>
  <c r="T5" i="3"/>
  <c r="U5" i="3"/>
  <c r="Q5" i="3"/>
  <c r="A26" i="3" a="1"/>
  <c r="A26" i="3" s="1"/>
  <c r="I27" i="3"/>
  <c r="J27" i="3"/>
  <c r="K27" i="3"/>
  <c r="L27" i="3"/>
  <c r="H27" i="3"/>
  <c r="L40" i="3" a="1"/>
  <c r="L40" i="3" s="1"/>
  <c r="K40" i="3" a="1"/>
  <c r="K40" i="3" s="1"/>
  <c r="J40" i="3" a="1"/>
  <c r="J40" i="3" s="1"/>
  <c r="I40" i="3" a="1"/>
  <c r="I40" i="3" s="1"/>
  <c r="H40" i="3" a="1"/>
  <c r="H40" i="3" s="1"/>
  <c r="I39" i="3"/>
  <c r="J39" i="3"/>
  <c r="K39" i="3"/>
  <c r="L39" i="3"/>
  <c r="H39" i="3"/>
  <c r="I25" i="3"/>
  <c r="J25" i="3"/>
  <c r="K25" i="3"/>
  <c r="L25" i="3"/>
  <c r="H25" i="3"/>
  <c r="K33" i="3" a="1"/>
  <c r="K33" i="3" s="1"/>
  <c r="I37" i="3"/>
  <c r="J37" i="3"/>
  <c r="K37" i="3"/>
  <c r="L37" i="3"/>
  <c r="I38" i="3"/>
  <c r="J38" i="3"/>
  <c r="K38" i="3"/>
  <c r="L38" i="3"/>
  <c r="H38" i="3"/>
  <c r="H37" i="3"/>
  <c r="I34" i="3"/>
  <c r="H34" i="3"/>
  <c r="I33" i="3"/>
  <c r="H33" i="3"/>
  <c r="A24" i="3"/>
  <c r="I26" i="3"/>
  <c r="J26" i="3"/>
  <c r="K26" i="3"/>
  <c r="L26" i="3"/>
  <c r="M26" i="3"/>
  <c r="H26" i="3"/>
  <c r="M25" i="3"/>
  <c r="I24" i="3"/>
  <c r="J24" i="3"/>
  <c r="K24" i="3"/>
  <c r="L24" i="3"/>
  <c r="M24" i="3"/>
  <c r="H24" i="3"/>
  <c r="G23" i="3"/>
  <c r="I22" i="3"/>
  <c r="J22" i="3"/>
  <c r="K22" i="3"/>
  <c r="L22" i="3"/>
  <c r="M22" i="3"/>
  <c r="H22" i="3"/>
  <c r="I2" i="3"/>
  <c r="J2" i="3"/>
  <c r="K2" i="3"/>
  <c r="L2" i="3"/>
  <c r="M2" i="3"/>
  <c r="I3" i="3"/>
  <c r="J3" i="3"/>
  <c r="K3" i="3"/>
  <c r="L3" i="3"/>
  <c r="M3" i="3"/>
  <c r="I4" i="3"/>
  <c r="J4" i="3"/>
  <c r="K4" i="3"/>
  <c r="L4" i="3"/>
  <c r="M4" i="3"/>
  <c r="I5" i="3"/>
  <c r="J5" i="3"/>
  <c r="K5" i="3"/>
  <c r="L5" i="3"/>
  <c r="M5" i="3"/>
  <c r="I6" i="3"/>
  <c r="J6" i="3"/>
  <c r="K6" i="3"/>
  <c r="L6" i="3"/>
  <c r="M6" i="3"/>
  <c r="I7" i="3"/>
  <c r="J7" i="3"/>
  <c r="K7" i="3"/>
  <c r="L7" i="3"/>
  <c r="M7" i="3"/>
  <c r="I8" i="3"/>
  <c r="J8" i="3"/>
  <c r="K8" i="3"/>
  <c r="L8" i="3"/>
  <c r="M8" i="3"/>
  <c r="I9" i="3"/>
  <c r="J9" i="3"/>
  <c r="K9" i="3"/>
  <c r="L9" i="3"/>
  <c r="M9" i="3"/>
  <c r="I10" i="3"/>
  <c r="J10" i="3"/>
  <c r="K10" i="3"/>
  <c r="L10" i="3"/>
  <c r="M10" i="3"/>
  <c r="I11" i="3"/>
  <c r="J11" i="3"/>
  <c r="K11" i="3"/>
  <c r="L11" i="3"/>
  <c r="M11" i="3"/>
  <c r="I12" i="3"/>
  <c r="J12" i="3"/>
  <c r="K12" i="3"/>
  <c r="L12" i="3"/>
  <c r="M12" i="3"/>
  <c r="I13" i="3"/>
  <c r="J13" i="3"/>
  <c r="K13" i="3"/>
  <c r="L13" i="3"/>
  <c r="M13" i="3"/>
  <c r="I14" i="3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" i="3"/>
  <c r="M1" i="3"/>
  <c r="I1" i="3"/>
  <c r="J1" i="3"/>
  <c r="K1" i="3"/>
  <c r="L1" i="3"/>
  <c r="H1" i="3"/>
  <c r="I3" i="2"/>
  <c r="I4" i="2"/>
  <c r="I2" i="2"/>
  <c r="H3" i="2"/>
  <c r="H4" i="2"/>
  <c r="H2" i="2"/>
  <c r="G3" i="2"/>
  <c r="G4" i="2"/>
  <c r="G2" i="2"/>
  <c r="F3" i="2"/>
  <c r="F4" i="2"/>
  <c r="F5" i="2"/>
  <c r="F2" i="2"/>
  <c r="E23" i="1"/>
  <c r="E24" i="1"/>
  <c r="E22" i="1"/>
  <c r="D23" i="1"/>
  <c r="D24" i="1"/>
  <c r="D22" i="1"/>
  <c r="A23" i="1"/>
  <c r="A22" i="1"/>
  <c r="E19" i="1"/>
  <c r="E20" i="1"/>
  <c r="E18" i="1"/>
  <c r="B18" i="1"/>
  <c r="A19" i="1"/>
  <c r="A18" i="1"/>
  <c r="A4" i="1"/>
  <c r="E7" i="5" l="1"/>
  <c r="U46" i="3"/>
  <c r="S46" i="3"/>
  <c r="G54" i="3"/>
  <c r="G52" i="3"/>
  <c r="D54" i="3"/>
  <c r="B54" i="3"/>
  <c r="E53" i="3"/>
  <c r="C53" i="3"/>
  <c r="A53" i="3"/>
  <c r="D52" i="3"/>
  <c r="B52" i="3"/>
  <c r="E51" i="3"/>
  <c r="C51" i="3"/>
  <c r="A51" i="3"/>
  <c r="D50" i="3"/>
  <c r="B50" i="3"/>
  <c r="E54" i="3"/>
  <c r="C54" i="3"/>
  <c r="A54" i="3"/>
  <c r="D53" i="3"/>
  <c r="B53" i="3"/>
  <c r="E52" i="3"/>
  <c r="C52" i="3"/>
  <c r="A52" i="3"/>
  <c r="D51" i="3"/>
  <c r="B51" i="3"/>
  <c r="E50" i="3"/>
  <c r="C50" i="3"/>
  <c r="AB23" i="3"/>
  <c r="AB21" i="3"/>
  <c r="AD2" i="3"/>
  <c r="AB2" i="3"/>
  <c r="Y22" i="3"/>
  <c r="Y20" i="3"/>
  <c r="Y23" i="3"/>
  <c r="Y21" i="3"/>
  <c r="X24" i="3"/>
  <c r="X22" i="3"/>
  <c r="X20" i="3"/>
  <c r="X23" i="3"/>
  <c r="X21" i="3"/>
  <c r="V24" i="3"/>
  <c r="T24" i="3"/>
  <c r="R24" i="3"/>
  <c r="V23" i="3"/>
  <c r="T23" i="3"/>
  <c r="R23" i="3"/>
  <c r="V22" i="3"/>
  <c r="T22" i="3"/>
  <c r="R22" i="3"/>
  <c r="V21" i="3"/>
  <c r="T21" i="3"/>
  <c r="R21" i="3"/>
  <c r="V20" i="3"/>
  <c r="T20" i="3"/>
  <c r="R20" i="3"/>
  <c r="V19" i="3"/>
  <c r="T19" i="3"/>
  <c r="R19" i="3"/>
  <c r="U24" i="3"/>
  <c r="S24" i="3"/>
  <c r="Q24" i="3"/>
  <c r="U23" i="3"/>
  <c r="S23" i="3"/>
  <c r="Q23" i="3"/>
  <c r="U22" i="3"/>
  <c r="S22" i="3"/>
  <c r="Q22" i="3"/>
  <c r="U21" i="3"/>
  <c r="S21" i="3"/>
  <c r="Q21" i="3"/>
  <c r="U20" i="3"/>
  <c r="S20" i="3"/>
  <c r="Q20" i="3"/>
  <c r="U19" i="3"/>
  <c r="S19" i="3"/>
  <c r="B30" i="3"/>
  <c r="B29" i="3"/>
  <c r="B28" i="3"/>
  <c r="B27" i="3"/>
  <c r="B26" i="3"/>
  <c r="A30" i="3"/>
  <c r="A29" i="3"/>
  <c r="A28" i="3"/>
  <c r="A27" i="3"/>
  <c r="L41" i="3"/>
  <c r="K41" i="3"/>
  <c r="J41" i="3"/>
  <c r="I41" i="3"/>
  <c r="H41" i="3"/>
  <c r="L34" i="3"/>
  <c r="L33" i="3"/>
  <c r="K34" i="3"/>
</calcChain>
</file>

<file path=xl/sharedStrings.xml><?xml version="1.0" encoding="utf-8"?>
<sst xmlns="http://schemas.openxmlformats.org/spreadsheetml/2006/main" count="82" uniqueCount="60">
  <si>
    <t>Předpokládejme, že kapitálový trh je v rovnováze. Je dáno</t>
  </si>
  <si>
    <t>= 0,04,</t>
  </si>
  <si>
    <t>= 0,10 a</t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</si>
  <si>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Popište a nakreslete přímku kapitálového trhu (CML)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</si>
  <si>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Mějme tři CP mající následující kovariance s výnosem tržního portfolia:</t>
    </r>
  </si>
  <si>
    <t xml:space="preserve">,  </t>
  </si>
  <si>
    <t>. Popište a nakreslete přímku SML. Zaneste CP na přímku SML</t>
  </si>
  <si>
    <t>CML</t>
  </si>
  <si>
    <t>SML-covar</t>
  </si>
  <si>
    <t>SML-beta</t>
  </si>
  <si>
    <t>covar</t>
  </si>
  <si>
    <t>rie</t>
  </si>
  <si>
    <t>beta</t>
  </si>
  <si>
    <r>
      <t>r</t>
    </r>
    <r>
      <rPr>
        <b/>
        <sz val="8"/>
        <color theme="1"/>
        <rFont val="Arial"/>
        <family val="2"/>
        <charset val="238"/>
      </rPr>
      <t>i</t>
    </r>
  </si>
  <si>
    <r>
      <t>korelace</t>
    </r>
    <r>
      <rPr>
        <b/>
        <sz val="12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i a M</t>
    </r>
  </si>
  <si>
    <t>sigma i</t>
  </si>
  <si>
    <r>
      <t>C</t>
    </r>
    <r>
      <rPr>
        <b/>
        <sz val="8"/>
        <color theme="1"/>
        <rFont val="Arial"/>
        <family val="2"/>
        <charset val="238"/>
      </rPr>
      <t>1</t>
    </r>
  </si>
  <si>
    <r>
      <t>C</t>
    </r>
    <r>
      <rPr>
        <b/>
        <sz val="8"/>
        <color theme="1"/>
        <rFont val="Arial"/>
        <family val="2"/>
        <charset val="238"/>
      </rPr>
      <t>2</t>
    </r>
  </si>
  <si>
    <r>
      <t>C</t>
    </r>
    <r>
      <rPr>
        <b/>
        <sz val="8"/>
        <color theme="1"/>
        <rFont val="Arial"/>
        <family val="2"/>
        <charset val="238"/>
      </rPr>
      <t>3</t>
    </r>
  </si>
  <si>
    <t>TP</t>
  </si>
  <si>
    <r>
      <t>r</t>
    </r>
    <r>
      <rPr>
        <b/>
        <sz val="8"/>
        <color theme="1"/>
        <rFont val="Arial"/>
        <family val="2"/>
        <charset val="238"/>
      </rPr>
      <t>f</t>
    </r>
  </si>
  <si>
    <t>delta</t>
  </si>
  <si>
    <t>den</t>
  </si>
  <si>
    <t>Český Telecom</t>
  </si>
  <si>
    <t>ČEZ</t>
  </si>
  <si>
    <t>Komerční banka</t>
  </si>
  <si>
    <t>UNIPETROL</t>
  </si>
  <si>
    <t>IPB</t>
  </si>
  <si>
    <t>PX50</t>
  </si>
  <si>
    <t>E(ri)</t>
  </si>
  <si>
    <t>alfa</t>
  </si>
  <si>
    <t>n</t>
  </si>
  <si>
    <t>sumaXi</t>
  </si>
  <si>
    <t>sumaXi^2</t>
  </si>
  <si>
    <t>sumaYi</t>
  </si>
  <si>
    <t>sumaYiXi</t>
  </si>
  <si>
    <t>VPS</t>
  </si>
  <si>
    <t>Covar_M</t>
  </si>
  <si>
    <t>Matice_soust</t>
  </si>
  <si>
    <t>wi</t>
  </si>
  <si>
    <t>zk</t>
  </si>
  <si>
    <t>ri</t>
  </si>
  <si>
    <t>Rp</t>
  </si>
  <si>
    <t>Sigma_p</t>
  </si>
  <si>
    <t>Var_p</t>
  </si>
  <si>
    <t>Beta_p</t>
  </si>
  <si>
    <t>Beta_i</t>
  </si>
  <si>
    <t>Syst_r</t>
  </si>
  <si>
    <t>Nes.r</t>
  </si>
  <si>
    <t>Tangencialni portfolio</t>
  </si>
  <si>
    <t>Zi</t>
  </si>
  <si>
    <t>beta_p</t>
  </si>
  <si>
    <t>Nest_r</t>
  </si>
  <si>
    <t>Cenný papír</t>
  </si>
  <si>
    <t xml:space="preserve">                        </t>
  </si>
  <si>
    <t xml:space="preserve">                                 </t>
  </si>
  <si>
    <t>Rok</t>
  </si>
  <si>
    <t>Tržní portfolio</t>
  </si>
  <si>
    <r>
      <t>Společnost S</t>
    </r>
    <r>
      <rPr>
        <b/>
        <vertAlign val="subscript"/>
        <sz val="12"/>
        <color theme="1"/>
        <rFont val="Times New Roman"/>
        <family val="1"/>
        <charset val="238"/>
      </rPr>
      <t>1</t>
    </r>
  </si>
  <si>
    <t>Matice soustavy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</si>
</sst>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bscript"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CML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List1!$A$14:$B$14</c:f>
              <c:numCache>
                <c:formatCode>General</c:formatCode>
                <c:ptCount val="2"/>
                <c:pt idx="0">
                  <c:v>0</c:v>
                </c:pt>
                <c:pt idx="1">
                  <c:v>0.09</c:v>
                </c:pt>
              </c:numCache>
            </c:numRef>
          </c:xVal>
          <c:yVal>
            <c:numRef>
              <c:f>List1!$A$15:$B$15</c:f>
              <c:numCache>
                <c:formatCode>General</c:formatCode>
                <c:ptCount val="2"/>
                <c:pt idx="0">
                  <c:v>0.04</c:v>
                </c:pt>
                <c:pt idx="1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90656"/>
        <c:axId val="33184768"/>
      </c:scatterChart>
      <c:valAx>
        <c:axId val="331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84768"/>
        <c:crosses val="autoZero"/>
        <c:crossBetween val="midCat"/>
      </c:valAx>
      <c:valAx>
        <c:axId val="3318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1906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SML-covar_ver</c:v>
          </c:tx>
          <c:spPr>
            <a:ln w="28575">
              <a:noFill/>
            </a:ln>
          </c:spPr>
          <c:trendline>
            <c:trendlineType val="linear"/>
            <c:forward val="7.0000000000000019E-3"/>
            <c:backward val="7.0000000000000019E-3"/>
            <c:dispRSqr val="0"/>
            <c:dispEq val="0"/>
          </c:trendline>
          <c:xVal>
            <c:numRef>
              <c:f>List1!$A$18:$B$18</c:f>
              <c:numCache>
                <c:formatCode>General</c:formatCode>
                <c:ptCount val="2"/>
                <c:pt idx="0">
                  <c:v>0</c:v>
                </c:pt>
                <c:pt idx="1">
                  <c:v>8.0999999999999996E-3</c:v>
                </c:pt>
              </c:numCache>
            </c:numRef>
          </c:xVal>
          <c:yVal>
            <c:numRef>
              <c:f>List1!$A$19:$B$19</c:f>
              <c:numCache>
                <c:formatCode>General</c:formatCode>
                <c:ptCount val="2"/>
                <c:pt idx="0">
                  <c:v>0.04</c:v>
                </c:pt>
                <c:pt idx="1">
                  <c:v>0.1</c:v>
                </c:pt>
              </c:numCache>
            </c:numRef>
          </c:yVal>
          <c:smooth val="0"/>
        </c:ser>
        <c:ser>
          <c:idx val="1"/>
          <c:order val="1"/>
          <c:tx>
            <c:v>A</c:v>
          </c:tx>
          <c:spPr>
            <a:ln w="28575">
              <a:noFill/>
            </a:ln>
          </c:spPr>
          <c:xVal>
            <c:numRef>
              <c:f>List1!$D$18</c:f>
              <c:numCache>
                <c:formatCode>General</c:formatCode>
                <c:ptCount val="1"/>
                <c:pt idx="0">
                  <c:v>1.0800000000000001E-2</c:v>
                </c:pt>
              </c:numCache>
            </c:numRef>
          </c:xVal>
          <c:yVal>
            <c:numRef>
              <c:f>List1!$E$18</c:f>
              <c:numCache>
                <c:formatCode>General</c:formatCode>
                <c:ptCount val="1"/>
                <c:pt idx="0">
                  <c:v>0.12000000000000002</c:v>
                </c:pt>
              </c:numCache>
            </c:numRef>
          </c:yVal>
          <c:smooth val="0"/>
        </c:ser>
        <c:ser>
          <c:idx val="2"/>
          <c:order val="2"/>
          <c:tx>
            <c:v>B</c:v>
          </c:tx>
          <c:spPr>
            <a:ln w="28575">
              <a:noFill/>
            </a:ln>
          </c:spPr>
          <c:xVal>
            <c:numRef>
              <c:f>List1!$D$19</c:f>
              <c:numCache>
                <c:formatCode>General</c:formatCode>
                <c:ptCount val="1"/>
                <c:pt idx="0">
                  <c:v>-2.7000000000000001E-3</c:v>
                </c:pt>
              </c:numCache>
            </c:numRef>
          </c:xVal>
          <c:yVal>
            <c:numRef>
              <c:f>List1!$E$19</c:f>
              <c:numCache>
                <c:formatCode>General</c:formatCode>
                <c:ptCount val="1"/>
                <c:pt idx="0">
                  <c:v>1.9999999999999997E-2</c:v>
                </c:pt>
              </c:numCache>
            </c:numRef>
          </c:yVal>
          <c:smooth val="0"/>
        </c:ser>
        <c:ser>
          <c:idx val="3"/>
          <c:order val="3"/>
          <c:tx>
            <c:v>C</c:v>
          </c:tx>
          <c:spPr>
            <a:ln w="28575">
              <a:noFill/>
            </a:ln>
          </c:spPr>
          <c:xVal>
            <c:numRef>
              <c:f>List1!$D$20</c:f>
              <c:numCache>
                <c:formatCode>General</c:formatCode>
                <c:ptCount val="1"/>
                <c:pt idx="0">
                  <c:v>5.4000000000000003E-3</c:v>
                </c:pt>
              </c:numCache>
            </c:numRef>
          </c:xVal>
          <c:yVal>
            <c:numRef>
              <c:f>List1!$E$20</c:f>
              <c:numCache>
                <c:formatCode>General</c:formatCode>
                <c:ptCount val="1"/>
                <c:pt idx="0">
                  <c:v>8.0000000000000016E-2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15584"/>
        <c:axId val="63714048"/>
      </c:scatterChart>
      <c:valAx>
        <c:axId val="6371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714048"/>
        <c:crosses val="autoZero"/>
        <c:crossBetween val="midCat"/>
      </c:valAx>
      <c:valAx>
        <c:axId val="63714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715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SML-beta</c:v>
          </c:tx>
          <c:spPr>
            <a:ln w="28575">
              <a:noFill/>
            </a:ln>
          </c:spPr>
          <c:trendline>
            <c:trendlineType val="linear"/>
            <c:forward val="0.70000000000000007"/>
            <c:backward val="0.70000000000000007"/>
            <c:dispRSqr val="0"/>
            <c:dispEq val="0"/>
          </c:trendline>
          <c:xVal>
            <c:numRef>
              <c:f>List1!$A$22:$B$22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List1!$A$23:$B$23</c:f>
              <c:numCache>
                <c:formatCode>General</c:formatCode>
                <c:ptCount val="2"/>
                <c:pt idx="0">
                  <c:v>0.04</c:v>
                </c:pt>
                <c:pt idx="1">
                  <c:v>0.1</c:v>
                </c:pt>
              </c:numCache>
            </c:numRef>
          </c:yVal>
          <c:smooth val="0"/>
        </c:ser>
        <c:ser>
          <c:idx val="1"/>
          <c:order val="1"/>
          <c:tx>
            <c:v>A</c:v>
          </c:tx>
          <c:spPr>
            <a:ln w="28575">
              <a:noFill/>
            </a:ln>
          </c:spPr>
          <c:xVal>
            <c:numRef>
              <c:f>List1!$D$22</c:f>
              <c:numCache>
                <c:formatCode>General</c:formatCode>
                <c:ptCount val="1"/>
                <c:pt idx="0">
                  <c:v>1.3333333333333335</c:v>
                </c:pt>
              </c:numCache>
            </c:numRef>
          </c:xVal>
          <c:yVal>
            <c:numRef>
              <c:f>List1!$E$22</c:f>
              <c:numCache>
                <c:formatCode>General</c:formatCode>
                <c:ptCount val="1"/>
                <c:pt idx="0">
                  <c:v>0.12000000000000002</c:v>
                </c:pt>
              </c:numCache>
            </c:numRef>
          </c:yVal>
          <c:smooth val="0"/>
        </c:ser>
        <c:ser>
          <c:idx val="2"/>
          <c:order val="2"/>
          <c:tx>
            <c:v>B</c:v>
          </c:tx>
          <c:spPr>
            <a:ln w="28575">
              <a:noFill/>
            </a:ln>
          </c:spPr>
          <c:xVal>
            <c:numRef>
              <c:f>List1!$D$23</c:f>
              <c:numCache>
                <c:formatCode>General</c:formatCode>
                <c:ptCount val="1"/>
                <c:pt idx="0">
                  <c:v>-0.33333333333333337</c:v>
                </c:pt>
              </c:numCache>
            </c:numRef>
          </c:xVal>
          <c:yVal>
            <c:numRef>
              <c:f>List1!$E$23</c:f>
              <c:numCache>
                <c:formatCode>General</c:formatCode>
                <c:ptCount val="1"/>
                <c:pt idx="0">
                  <c:v>1.9999999999999997E-2</c:v>
                </c:pt>
              </c:numCache>
            </c:numRef>
          </c:yVal>
          <c:smooth val="0"/>
        </c:ser>
        <c:ser>
          <c:idx val="3"/>
          <c:order val="3"/>
          <c:tx>
            <c:v>C</c:v>
          </c:tx>
          <c:spPr>
            <a:ln w="28575">
              <a:noFill/>
            </a:ln>
          </c:spPr>
          <c:xVal>
            <c:numRef>
              <c:f>List1!$D$24</c:f>
              <c:numCache>
                <c:formatCode>General</c:formatCode>
                <c:ptCount val="1"/>
                <c:pt idx="0">
                  <c:v>0.66666666666666674</c:v>
                </c:pt>
              </c:numCache>
            </c:numRef>
          </c:xVal>
          <c:yVal>
            <c:numRef>
              <c:f>List1!$E$24</c:f>
              <c:numCache>
                <c:formatCode>General</c:formatCode>
                <c:ptCount val="1"/>
                <c:pt idx="0">
                  <c:v>8.0000000000000016E-2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91232"/>
        <c:axId val="78189696"/>
      </c:scatterChart>
      <c:valAx>
        <c:axId val="781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189696"/>
        <c:crosses val="autoZero"/>
        <c:crossBetween val="midCat"/>
      </c:valAx>
      <c:valAx>
        <c:axId val="7818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1912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SML_COVAR</c:v>
          </c:tx>
          <c:spPr>
            <a:ln w="28575">
              <a:noFill/>
            </a:ln>
          </c:spPr>
          <c:trendline>
            <c:trendlineType val="linear"/>
            <c:forward val="100"/>
            <c:dispRSqr val="0"/>
            <c:dispEq val="0"/>
          </c:trendline>
          <c:xVal>
            <c:numRef>
              <c:f>List2!$A$10:$B$10</c:f>
              <c:numCache>
                <c:formatCode>General</c:formatCode>
                <c:ptCount val="2"/>
                <c:pt idx="0">
                  <c:v>0</c:v>
                </c:pt>
                <c:pt idx="1">
                  <c:v>144</c:v>
                </c:pt>
              </c:numCache>
            </c:numRef>
          </c:xVal>
          <c:yVal>
            <c:numRef>
              <c:f>List2!$A$11:$B$11</c:f>
              <c:numCache>
                <c:formatCode>General</c:formatCode>
                <c:ptCount val="2"/>
                <c:pt idx="0">
                  <c:v>5</c:v>
                </c:pt>
                <c:pt idx="1">
                  <c:v>12</c:v>
                </c:pt>
              </c:numCache>
            </c:numRef>
          </c:yVal>
          <c:smooth val="0"/>
        </c:ser>
        <c:ser>
          <c:idx val="1"/>
          <c:order val="1"/>
          <c:tx>
            <c:v>C1</c:v>
          </c:tx>
          <c:spPr>
            <a:ln w="28575">
              <a:noFill/>
            </a:ln>
          </c:spPr>
          <c:xVal>
            <c:numRef>
              <c:f>List2!$F$2</c:f>
              <c:numCache>
                <c:formatCode>General</c:formatCode>
                <c:ptCount val="1"/>
                <c:pt idx="0">
                  <c:v>216</c:v>
                </c:pt>
              </c:numCache>
            </c:numRef>
          </c:xVal>
          <c:yVal>
            <c:numRef>
              <c:f>List2!$B$2</c:f>
              <c:numCache>
                <c:formatCode>General</c:formatCode>
                <c:ptCount val="1"/>
                <c:pt idx="0">
                  <c:v>15.5</c:v>
                </c:pt>
              </c:numCache>
            </c:numRef>
          </c:yVal>
          <c:smooth val="0"/>
        </c:ser>
        <c:ser>
          <c:idx val="2"/>
          <c:order val="2"/>
          <c:tx>
            <c:v>C2</c:v>
          </c:tx>
          <c:spPr>
            <a:ln w="28575">
              <a:noFill/>
            </a:ln>
          </c:spPr>
          <c:xVal>
            <c:numRef>
              <c:f>List2!$F$3</c:f>
              <c:numCache>
                <c:formatCode>General</c:formatCode>
                <c:ptCount val="1"/>
                <c:pt idx="0">
                  <c:v>86.4</c:v>
                </c:pt>
              </c:numCache>
            </c:numRef>
          </c:xVal>
          <c:yVal>
            <c:numRef>
              <c:f>List2!$B$3</c:f>
              <c:numCache>
                <c:formatCode>General</c:formatCode>
                <c:ptCount val="1"/>
                <c:pt idx="0">
                  <c:v>9.1999999999999993</c:v>
                </c:pt>
              </c:numCache>
            </c:numRef>
          </c:yVal>
          <c:smooth val="0"/>
        </c:ser>
        <c:ser>
          <c:idx val="3"/>
          <c:order val="3"/>
          <c:tx>
            <c:v>C3</c:v>
          </c:tx>
          <c:spPr>
            <a:ln w="28575">
              <a:noFill/>
            </a:ln>
          </c:spPr>
          <c:xVal>
            <c:numRef>
              <c:f>List2!$F$4</c:f>
              <c:numCache>
                <c:formatCode>General</c:formatCode>
                <c:ptCount val="1"/>
                <c:pt idx="0">
                  <c:v>90</c:v>
                </c:pt>
              </c:numCache>
            </c:numRef>
          </c:xVal>
          <c:yVal>
            <c:numRef>
              <c:f>List2!$B$4</c:f>
              <c:numCache>
                <c:formatCode>General</c:formatCode>
                <c:ptCount val="1"/>
                <c:pt idx="0">
                  <c:v>11.2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54112"/>
        <c:axId val="78503296"/>
      </c:scatterChart>
      <c:valAx>
        <c:axId val="6255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503296"/>
        <c:crosses val="autoZero"/>
        <c:crossBetween val="midCat"/>
      </c:valAx>
      <c:valAx>
        <c:axId val="7850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54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SML_beta</c:v>
          </c:tx>
          <c:spPr>
            <a:ln w="28575">
              <a:noFill/>
            </a:ln>
          </c:spPr>
          <c:trendline>
            <c:trendlineType val="linear"/>
            <c:forward val="1"/>
            <c:dispRSqr val="0"/>
            <c:dispEq val="0"/>
          </c:trendline>
          <c:xVal>
            <c:numRef>
              <c:f>List4!$A$11:$B$11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List4!$A$12:$B$12</c:f>
              <c:numCache>
                <c:formatCode>General</c:formatCode>
                <c:ptCount val="2"/>
                <c:pt idx="0">
                  <c:v>7</c:v>
                </c:pt>
                <c:pt idx="1">
                  <c:v>15</c:v>
                </c:pt>
              </c:numCache>
            </c:numRef>
          </c:yVal>
          <c:smooth val="0"/>
        </c:ser>
        <c:ser>
          <c:idx val="1"/>
          <c:order val="1"/>
          <c:tx>
            <c:v>C1</c:v>
          </c:tx>
          <c:spPr>
            <a:ln w="28575">
              <a:noFill/>
            </a:ln>
          </c:spPr>
          <c:xVal>
            <c:numRef>
              <c:f>List4!$B$2</c:f>
              <c:numCache>
                <c:formatCode>General</c:formatCode>
                <c:ptCount val="1"/>
                <c:pt idx="0">
                  <c:v>1.75</c:v>
                </c:pt>
              </c:numCache>
            </c:numRef>
          </c:xVal>
          <c:yVal>
            <c:numRef>
              <c:f>List4!$C$2</c:f>
              <c:numCache>
                <c:formatCode>General</c:formatCode>
                <c:ptCount val="1"/>
                <c:pt idx="0">
                  <c:v>16.7</c:v>
                </c:pt>
              </c:numCache>
            </c:numRef>
          </c:yVal>
          <c:smooth val="0"/>
        </c:ser>
        <c:ser>
          <c:idx val="2"/>
          <c:order val="2"/>
          <c:tx>
            <c:v>C2</c:v>
          </c:tx>
          <c:spPr>
            <a:ln w="28575">
              <a:noFill/>
            </a:ln>
          </c:spPr>
          <c:xVal>
            <c:numRef>
              <c:f>List4!$B$3</c:f>
              <c:numCache>
                <c:formatCode>General</c:formatCode>
                <c:ptCount val="1"/>
                <c:pt idx="0">
                  <c:v>1.2</c:v>
                </c:pt>
              </c:numCache>
            </c:numRef>
          </c:xVal>
          <c:yVal>
            <c:numRef>
              <c:f>List4!$C$3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smooth val="0"/>
        </c:ser>
        <c:ser>
          <c:idx val="3"/>
          <c:order val="3"/>
          <c:tx>
            <c:v>C3</c:v>
          </c:tx>
          <c:spPr>
            <a:ln w="28575">
              <a:noFill/>
            </a:ln>
          </c:spPr>
          <c:xVal>
            <c:numRef>
              <c:f>List4!$B$4</c:f>
              <c:numCache>
                <c:formatCode>General</c:formatCode>
                <c:ptCount val="1"/>
                <c:pt idx="0">
                  <c:v>1.3</c:v>
                </c:pt>
              </c:numCache>
            </c:numRef>
          </c:xVal>
          <c:yVal>
            <c:numRef>
              <c:f>List4!$C$4</c:f>
              <c:numCache>
                <c:formatCode>General</c:formatCode>
                <c:ptCount val="1"/>
                <c:pt idx="0">
                  <c:v>17.399999999999999</c:v>
                </c:pt>
              </c:numCache>
            </c:numRef>
          </c:yVal>
          <c:smooth val="0"/>
        </c:ser>
        <c:ser>
          <c:idx val="4"/>
          <c:order val="4"/>
          <c:tx>
            <c:v>C4</c:v>
          </c:tx>
          <c:spPr>
            <a:ln w="28575">
              <a:noFill/>
            </a:ln>
          </c:spPr>
          <c:xVal>
            <c:numRef>
              <c:f>List4!$B$5</c:f>
              <c:numCache>
                <c:formatCode>General</c:formatCode>
                <c:ptCount val="1"/>
                <c:pt idx="0">
                  <c:v>0.75</c:v>
                </c:pt>
              </c:numCache>
            </c:numRef>
          </c:xVal>
          <c:yVal>
            <c:numRef>
              <c:f>List4!$C$5</c:f>
              <c:numCache>
                <c:formatCode>General</c:formatCode>
                <c:ptCount val="1"/>
                <c:pt idx="0">
                  <c:v>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80704"/>
        <c:axId val="41079168"/>
      </c:scatterChart>
      <c:valAx>
        <c:axId val="410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079168"/>
        <c:crosses val="autoZero"/>
        <c:crossBetween val="midCat"/>
      </c:valAx>
      <c:valAx>
        <c:axId val="4107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807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List5!$B$2:$B$11</c:f>
              <c:numCache>
                <c:formatCode>General</c:formatCode>
                <c:ptCount val="10"/>
                <c:pt idx="0">
                  <c:v>8</c:v>
                </c:pt>
                <c:pt idx="1">
                  <c:v>0</c:v>
                </c:pt>
                <c:pt idx="2">
                  <c:v>14.9</c:v>
                </c:pt>
                <c:pt idx="3">
                  <c:v>5</c:v>
                </c:pt>
                <c:pt idx="4">
                  <c:v>4.0999999999999996</c:v>
                </c:pt>
                <c:pt idx="5">
                  <c:v>8.9</c:v>
                </c:pt>
                <c:pt idx="6">
                  <c:v>10.1</c:v>
                </c:pt>
                <c:pt idx="7">
                  <c:v>5</c:v>
                </c:pt>
                <c:pt idx="8">
                  <c:v>1.5</c:v>
                </c:pt>
                <c:pt idx="9">
                  <c:v>2.4</c:v>
                </c:pt>
              </c:numCache>
            </c:numRef>
          </c:xVal>
          <c:yVal>
            <c:numRef>
              <c:f>List5!$C$2:$C$11</c:f>
              <c:numCache>
                <c:formatCode>General</c:formatCode>
                <c:ptCount val="10"/>
                <c:pt idx="0">
                  <c:v>8.1</c:v>
                </c:pt>
                <c:pt idx="1">
                  <c:v>3</c:v>
                </c:pt>
                <c:pt idx="2">
                  <c:v>5.3</c:v>
                </c:pt>
                <c:pt idx="3">
                  <c:v>1</c:v>
                </c:pt>
                <c:pt idx="4">
                  <c:v>3.1</c:v>
                </c:pt>
                <c:pt idx="5">
                  <c:v>3</c:v>
                </c:pt>
                <c:pt idx="6">
                  <c:v>5</c:v>
                </c:pt>
                <c:pt idx="7">
                  <c:v>3.2</c:v>
                </c:pt>
                <c:pt idx="8">
                  <c:v>1.2</c:v>
                </c:pt>
                <c:pt idx="9">
                  <c:v>1.3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36224"/>
        <c:axId val="78434688"/>
      </c:scatterChart>
      <c:valAx>
        <c:axId val="784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434688"/>
        <c:crosses val="autoZero"/>
        <c:crossBetween val="midCat"/>
      </c:valAx>
      <c:valAx>
        <c:axId val="7843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362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image" Target="../media/image3.wmf"/><Relationship Id="rId7" Type="http://schemas.openxmlformats.org/officeDocument/2006/relationships/chart" Target="../charts/chart1.xml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wmf"/><Relationship Id="rId3" Type="http://schemas.openxmlformats.org/officeDocument/2006/relationships/image" Target="../media/image9.wmf"/><Relationship Id="rId7" Type="http://schemas.openxmlformats.org/officeDocument/2006/relationships/image" Target="../media/image13.wmf"/><Relationship Id="rId2" Type="http://schemas.openxmlformats.org/officeDocument/2006/relationships/image" Target="../media/image8.wmf"/><Relationship Id="rId1" Type="http://schemas.openxmlformats.org/officeDocument/2006/relationships/image" Target="../media/image7.wmf"/><Relationship Id="rId6" Type="http://schemas.openxmlformats.org/officeDocument/2006/relationships/image" Target="../media/image12.wmf"/><Relationship Id="rId5" Type="http://schemas.openxmlformats.org/officeDocument/2006/relationships/image" Target="../media/image11.wmf"/><Relationship Id="rId4" Type="http://schemas.openxmlformats.org/officeDocument/2006/relationships/image" Target="../media/image10.wmf"/><Relationship Id="rId9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619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219075</xdr:colOff>
      <xdr:row>2</xdr:row>
      <xdr:rowOff>190500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266700</xdr:colOff>
      <xdr:row>3</xdr:row>
      <xdr:rowOff>190500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304800</xdr:colOff>
      <xdr:row>7</xdr:row>
      <xdr:rowOff>9525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9144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428625</xdr:colOff>
      <xdr:row>8</xdr:row>
      <xdr:rowOff>9525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0175"/>
          <a:ext cx="10382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295275</xdr:colOff>
      <xdr:row>9</xdr:row>
      <xdr:rowOff>9525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9048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276225</xdr:colOff>
      <xdr:row>4</xdr:row>
      <xdr:rowOff>90487</xdr:rowOff>
    </xdr:from>
    <xdr:to>
      <xdr:col>15</xdr:col>
      <xdr:colOff>581025</xdr:colOff>
      <xdr:row>18</xdr:row>
      <xdr:rowOff>119062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247650</xdr:colOff>
      <xdr:row>19</xdr:row>
      <xdr:rowOff>119062</xdr:rowOff>
    </xdr:from>
    <xdr:to>
      <xdr:col>15</xdr:col>
      <xdr:colOff>552450</xdr:colOff>
      <xdr:row>34</xdr:row>
      <xdr:rowOff>4762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57150</xdr:colOff>
      <xdr:row>17</xdr:row>
      <xdr:rowOff>166687</xdr:rowOff>
    </xdr:from>
    <xdr:to>
      <xdr:col>11</xdr:col>
      <xdr:colOff>361950</xdr:colOff>
      <xdr:row>32</xdr:row>
      <xdr:rowOff>52387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5</xdr:row>
      <xdr:rowOff>4762</xdr:rowOff>
    </xdr:from>
    <xdr:to>
      <xdr:col>11</xdr:col>
      <xdr:colOff>361950</xdr:colOff>
      <xdr:row>19</xdr:row>
      <xdr:rowOff>71437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190500</xdr:colOff>
      <xdr:row>0</xdr:row>
      <xdr:rowOff>228600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152400</xdr:colOff>
      <xdr:row>0</xdr:row>
      <xdr:rowOff>190500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314325</xdr:colOff>
      <xdr:row>2</xdr:row>
      <xdr:rowOff>9525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"/>
          <a:ext cx="3143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333375</xdr:colOff>
      <xdr:row>3</xdr:row>
      <xdr:rowOff>9525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3333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333375</xdr:colOff>
      <xdr:row>4</xdr:row>
      <xdr:rowOff>9525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"/>
          <a:ext cx="3333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314325</xdr:colOff>
      <xdr:row>5</xdr:row>
      <xdr:rowOff>9525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"/>
          <a:ext cx="3143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600075</xdr:colOff>
      <xdr:row>7</xdr:row>
      <xdr:rowOff>19050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"/>
          <a:ext cx="600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114300</xdr:colOff>
      <xdr:row>8</xdr:row>
      <xdr:rowOff>9525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"/>
          <a:ext cx="7239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</xdr:colOff>
      <xdr:row>4</xdr:row>
      <xdr:rowOff>80962</xdr:rowOff>
    </xdr:from>
    <xdr:to>
      <xdr:col>11</xdr:col>
      <xdr:colOff>361950</xdr:colOff>
      <xdr:row>18</xdr:row>
      <xdr:rowOff>100012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4</xdr:row>
      <xdr:rowOff>147637</xdr:rowOff>
    </xdr:from>
    <xdr:to>
      <xdr:col>16</xdr:col>
      <xdr:colOff>114300</xdr:colOff>
      <xdr:row>18</xdr:row>
      <xdr:rowOff>90487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3" workbookViewId="0">
      <selection activeCell="A32" sqref="A32"/>
    </sheetView>
  </sheetViews>
  <sheetFormatPr defaultRowHeight="15" x14ac:dyDescent="0.25"/>
  <sheetData>
    <row r="1" spans="1:2" ht="15.75" x14ac:dyDescent="0.25">
      <c r="A1" s="1" t="s">
        <v>0</v>
      </c>
    </row>
    <row r="2" spans="1:2" ht="15.75" x14ac:dyDescent="0.25">
      <c r="A2" s="1" t="s">
        <v>1</v>
      </c>
    </row>
    <row r="3" spans="1:2" ht="15.75" x14ac:dyDescent="0.25">
      <c r="A3" s="1" t="s">
        <v>2</v>
      </c>
    </row>
    <row r="4" spans="1:2" ht="15.75" x14ac:dyDescent="0.25">
      <c r="A4" s="1">
        <f xml:space="preserve"> 0.09</f>
        <v>0.09</v>
      </c>
    </row>
    <row r="5" spans="1:2" ht="15.75" x14ac:dyDescent="0.25">
      <c r="A5" s="2" t="s">
        <v>3</v>
      </c>
    </row>
    <row r="6" spans="1:2" ht="15.75" x14ac:dyDescent="0.25">
      <c r="A6" s="2" t="s">
        <v>4</v>
      </c>
    </row>
    <row r="7" spans="1:2" ht="15.75" x14ac:dyDescent="0.25">
      <c r="A7" s="2" t="s">
        <v>5</v>
      </c>
    </row>
    <row r="8" spans="1:2" ht="15.75" x14ac:dyDescent="0.25">
      <c r="A8" s="2" t="s">
        <v>5</v>
      </c>
    </row>
    <row r="9" spans="1:2" ht="15.75" x14ac:dyDescent="0.25">
      <c r="A9" s="2" t="s">
        <v>6</v>
      </c>
    </row>
    <row r="13" spans="1:2" x14ac:dyDescent="0.25">
      <c r="A13" t="s">
        <v>7</v>
      </c>
    </row>
    <row r="14" spans="1:2" x14ac:dyDescent="0.25">
      <c r="A14">
        <v>0</v>
      </c>
      <c r="B14">
        <v>0.09</v>
      </c>
    </row>
    <row r="15" spans="1:2" x14ac:dyDescent="0.25">
      <c r="A15">
        <v>0.04</v>
      </c>
      <c r="B15">
        <v>0.1</v>
      </c>
    </row>
    <row r="17" spans="1:5" x14ac:dyDescent="0.25">
      <c r="A17" t="s">
        <v>8</v>
      </c>
      <c r="D17" t="s">
        <v>10</v>
      </c>
      <c r="E17" t="s">
        <v>11</v>
      </c>
    </row>
    <row r="18" spans="1:5" x14ac:dyDescent="0.25">
      <c r="A18">
        <f>A14</f>
        <v>0</v>
      </c>
      <c r="B18">
        <f>B14*B14</f>
        <v>8.0999999999999996E-3</v>
      </c>
      <c r="D18">
        <v>1.0800000000000001E-2</v>
      </c>
      <c r="E18">
        <f>$A$15+($B$15-$A$15)*D18/$B$18</f>
        <v>0.12000000000000002</v>
      </c>
    </row>
    <row r="19" spans="1:5" x14ac:dyDescent="0.25">
      <c r="A19">
        <f>A15</f>
        <v>0.04</v>
      </c>
      <c r="B19">
        <v>0.1</v>
      </c>
      <c r="D19">
        <v>-2.7000000000000001E-3</v>
      </c>
      <c r="E19">
        <f t="shared" ref="E19:E20" si="0">$A$15+($B$15-$A$15)*D19/$B$18</f>
        <v>1.9999999999999997E-2</v>
      </c>
    </row>
    <row r="20" spans="1:5" x14ac:dyDescent="0.25">
      <c r="D20">
        <v>5.4000000000000003E-3</v>
      </c>
      <c r="E20">
        <f t="shared" si="0"/>
        <v>8.0000000000000016E-2</v>
      </c>
    </row>
    <row r="21" spans="1:5" x14ac:dyDescent="0.25">
      <c r="A21" t="s">
        <v>9</v>
      </c>
      <c r="D21" t="s">
        <v>12</v>
      </c>
    </row>
    <row r="22" spans="1:5" x14ac:dyDescent="0.25">
      <c r="A22">
        <f>A18</f>
        <v>0</v>
      </c>
      <c r="B22">
        <v>1</v>
      </c>
      <c r="D22">
        <f>D18/$B$18</f>
        <v>1.3333333333333335</v>
      </c>
      <c r="E22">
        <f>$A$15+($B$15-$A$15)*D22</f>
        <v>0.12000000000000002</v>
      </c>
    </row>
    <row r="23" spans="1:5" x14ac:dyDescent="0.25">
      <c r="A23">
        <f>A19</f>
        <v>0.04</v>
      </c>
      <c r="B23">
        <v>0.1</v>
      </c>
      <c r="D23">
        <f t="shared" ref="D23:D24" si="1">D19/$B$18</f>
        <v>-0.33333333333333337</v>
      </c>
      <c r="E23">
        <f t="shared" ref="E23:E24" si="2">$A$15+($B$15-$A$15)*D23</f>
        <v>1.9999999999999997E-2</v>
      </c>
    </row>
    <row r="24" spans="1:5" x14ac:dyDescent="0.25">
      <c r="D24">
        <f t="shared" si="1"/>
        <v>0.66666666666666674</v>
      </c>
      <c r="E24">
        <f t="shared" si="2"/>
        <v>8.0000000000000016E-2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F10" sqref="F10"/>
    </sheetView>
  </sheetViews>
  <sheetFormatPr defaultRowHeight="15" x14ac:dyDescent="0.25"/>
  <sheetData>
    <row r="1" spans="1:9" ht="27.75" thickBot="1" x14ac:dyDescent="0.3">
      <c r="A1" s="3"/>
      <c r="B1" s="4" t="s">
        <v>13</v>
      </c>
      <c r="C1" s="5" t="s">
        <v>14</v>
      </c>
      <c r="D1" s="6" t="s">
        <v>15</v>
      </c>
      <c r="F1" t="s">
        <v>10</v>
      </c>
      <c r="G1" t="s">
        <v>12</v>
      </c>
      <c r="H1" t="s">
        <v>11</v>
      </c>
      <c r="I1" t="s">
        <v>21</v>
      </c>
    </row>
    <row r="2" spans="1:9" x14ac:dyDescent="0.25">
      <c r="A2" s="7" t="s">
        <v>16</v>
      </c>
      <c r="B2" s="8">
        <v>15.5</v>
      </c>
      <c r="C2" s="8">
        <v>0.9</v>
      </c>
      <c r="D2" s="9">
        <v>20</v>
      </c>
      <c r="F2">
        <f>C2*D2*$D$5</f>
        <v>216</v>
      </c>
      <c r="G2">
        <f>F2/$F$5</f>
        <v>1.5</v>
      </c>
      <c r="H2">
        <f>$B$6+G2*($B$5-$B$6)</f>
        <v>15.5</v>
      </c>
      <c r="I2">
        <f>B2-H2</f>
        <v>0</v>
      </c>
    </row>
    <row r="3" spans="1:9" x14ac:dyDescent="0.25">
      <c r="A3" s="10" t="s">
        <v>17</v>
      </c>
      <c r="B3" s="8">
        <v>9.1999999999999993</v>
      </c>
      <c r="C3" s="8">
        <v>0.8</v>
      </c>
      <c r="D3" s="9">
        <v>9</v>
      </c>
      <c r="F3">
        <f t="shared" ref="F3:F5" si="0">C3*D3*$D$5</f>
        <v>86.4</v>
      </c>
      <c r="G3">
        <f t="shared" ref="G3:G4" si="1">F3/$F$5</f>
        <v>0.60000000000000009</v>
      </c>
      <c r="H3">
        <f t="shared" ref="H3:H4" si="2">$B$6+G3*($B$5-$B$6)</f>
        <v>9.2000000000000011</v>
      </c>
      <c r="I3">
        <f t="shared" ref="I3:I4" si="3">B3-H3</f>
        <v>0</v>
      </c>
    </row>
    <row r="4" spans="1:9" x14ac:dyDescent="0.25">
      <c r="A4" s="7" t="s">
        <v>18</v>
      </c>
      <c r="B4" s="8">
        <v>11.2</v>
      </c>
      <c r="C4" s="8">
        <v>0.5</v>
      </c>
      <c r="D4" s="9">
        <v>15</v>
      </c>
      <c r="F4">
        <f t="shared" si="0"/>
        <v>90</v>
      </c>
      <c r="G4">
        <f t="shared" si="1"/>
        <v>0.625</v>
      </c>
      <c r="H4">
        <f t="shared" si="2"/>
        <v>9.375</v>
      </c>
      <c r="I4">
        <f t="shared" si="3"/>
        <v>1.8249999999999993</v>
      </c>
    </row>
    <row r="5" spans="1:9" x14ac:dyDescent="0.25">
      <c r="A5" s="10" t="s">
        <v>19</v>
      </c>
      <c r="B5" s="8">
        <v>12</v>
      </c>
      <c r="C5" s="8">
        <v>1</v>
      </c>
      <c r="D5" s="9">
        <v>12</v>
      </c>
      <c r="F5">
        <f t="shared" si="0"/>
        <v>144</v>
      </c>
    </row>
    <row r="6" spans="1:9" ht="15.75" thickBot="1" x14ac:dyDescent="0.3">
      <c r="A6" s="11" t="s">
        <v>20</v>
      </c>
      <c r="B6" s="12">
        <v>5</v>
      </c>
      <c r="C6" s="12">
        <v>0</v>
      </c>
      <c r="D6" s="13">
        <v>0</v>
      </c>
    </row>
    <row r="9" spans="1:9" x14ac:dyDescent="0.25">
      <c r="A9" t="s">
        <v>10</v>
      </c>
    </row>
    <row r="10" spans="1:9" x14ac:dyDescent="0.25">
      <c r="A10">
        <v>0</v>
      </c>
      <c r="B10">
        <v>144</v>
      </c>
    </row>
    <row r="11" spans="1:9" x14ac:dyDescent="0.25">
      <c r="A11">
        <v>5</v>
      </c>
      <c r="B11">
        <v>12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tabSelected="1" topLeftCell="A37" workbookViewId="0">
      <selection activeCell="N51" sqref="N51"/>
    </sheetView>
  </sheetViews>
  <sheetFormatPr defaultRowHeight="15" x14ac:dyDescent="0.25"/>
  <cols>
    <col min="8" max="8" width="12.7109375" bestFit="1" customWidth="1"/>
    <col min="13" max="13" width="11" bestFit="1" customWidth="1"/>
    <col min="26" max="26" width="12" bestFit="1" customWidth="1"/>
    <col min="30" max="30" width="12" bestFit="1" customWidth="1"/>
  </cols>
  <sheetData>
    <row r="1" spans="1:30" ht="15.75" thickBot="1" x14ac:dyDescent="0.3">
      <c r="A1" s="3" t="s">
        <v>22</v>
      </c>
      <c r="B1" s="14" t="s">
        <v>23</v>
      </c>
      <c r="C1" s="14" t="s">
        <v>24</v>
      </c>
      <c r="D1" s="14" t="s">
        <v>25</v>
      </c>
      <c r="E1" s="14" t="s">
        <v>26</v>
      </c>
      <c r="F1" s="14" t="s">
        <v>27</v>
      </c>
      <c r="G1" s="14" t="s">
        <v>28</v>
      </c>
      <c r="H1" t="str">
        <f>B1</f>
        <v>Český Telecom</v>
      </c>
      <c r="I1" t="str">
        <f t="shared" ref="I1:L1" si="0">C1</f>
        <v>ČEZ</v>
      </c>
      <c r="J1" t="str">
        <f t="shared" si="0"/>
        <v>Komerční banka</v>
      </c>
      <c r="K1" t="str">
        <f t="shared" si="0"/>
        <v>UNIPETROL</v>
      </c>
      <c r="L1" t="str">
        <f t="shared" si="0"/>
        <v>IPB</v>
      </c>
      <c r="M1" t="str">
        <f>G1</f>
        <v>PX50</v>
      </c>
    </row>
    <row r="2" spans="1:30" ht="15.75" thickBot="1" x14ac:dyDescent="0.3">
      <c r="A2" s="15">
        <v>1</v>
      </c>
      <c r="B2" s="16">
        <v>570</v>
      </c>
      <c r="C2" s="16">
        <v>98.4</v>
      </c>
      <c r="D2" s="16">
        <v>669.1</v>
      </c>
      <c r="E2" s="16">
        <v>53.9</v>
      </c>
      <c r="F2" s="16">
        <v>103.5</v>
      </c>
      <c r="G2" s="16">
        <v>333.4</v>
      </c>
      <c r="H2">
        <f>(B2-B3)/B3</f>
        <v>1.7574692442882249E-3</v>
      </c>
      <c r="I2">
        <f t="shared" ref="I2:M17" si="1">(C2-C3)/C3</f>
        <v>2.0366598778004362E-3</v>
      </c>
      <c r="J2">
        <f t="shared" si="1"/>
        <v>-6.419580419580416E-2</v>
      </c>
      <c r="K2">
        <f t="shared" si="1"/>
        <v>1.8587360594795805E-3</v>
      </c>
      <c r="L2">
        <f t="shared" si="1"/>
        <v>4.8543689320388345E-3</v>
      </c>
      <c r="M2">
        <f t="shared" si="1"/>
        <v>-1.6228976099144293E-2</v>
      </c>
      <c r="Z2">
        <f t="array" ref="Z2:AD2">TRANSPOSE(X19:X23)</f>
        <v>0.52193840743941911</v>
      </c>
      <c r="AA2">
        <v>9.9509907232041728E-2</v>
      </c>
      <c r="AB2">
        <v>8.8421783685228045E-2</v>
      </c>
      <c r="AC2">
        <v>0.25923002532933515</v>
      </c>
      <c r="AD2">
        <v>3.089987631397598E-2</v>
      </c>
    </row>
    <row r="3" spans="1:30" ht="15.75" thickBot="1" x14ac:dyDescent="0.3">
      <c r="A3" s="15">
        <v>2</v>
      </c>
      <c r="B3" s="16">
        <v>569</v>
      </c>
      <c r="C3" s="16">
        <v>98.2</v>
      </c>
      <c r="D3" s="16">
        <v>715</v>
      </c>
      <c r="E3" s="16">
        <v>53.8</v>
      </c>
      <c r="F3" s="16">
        <v>103</v>
      </c>
      <c r="G3" s="16">
        <v>338.9</v>
      </c>
      <c r="H3">
        <f t="shared" ref="H3:H20" si="2">(B3-B4)/B4</f>
        <v>9.2231287690671265E-3</v>
      </c>
      <c r="I3">
        <f t="shared" si="1"/>
        <v>1.6563146997929695E-2</v>
      </c>
      <c r="J3">
        <f t="shared" si="1"/>
        <v>-1.3793103448275862E-2</v>
      </c>
      <c r="K3">
        <f t="shared" si="1"/>
        <v>1.1278195488721696E-2</v>
      </c>
      <c r="L3">
        <f t="shared" si="1"/>
        <v>1.0794896957801709E-2</v>
      </c>
      <c r="M3">
        <f t="shared" si="1"/>
        <v>-2.2779700115340352E-2</v>
      </c>
      <c r="Q3" t="s">
        <v>37</v>
      </c>
    </row>
    <row r="4" spans="1:30" ht="15.75" thickBot="1" x14ac:dyDescent="0.3">
      <c r="A4" s="15">
        <v>3</v>
      </c>
      <c r="B4" s="16">
        <v>563.79999999999995</v>
      </c>
      <c r="C4" s="16">
        <v>96.6</v>
      </c>
      <c r="D4" s="16">
        <v>725</v>
      </c>
      <c r="E4" s="16">
        <v>53.2</v>
      </c>
      <c r="F4" s="16">
        <v>101.9</v>
      </c>
      <c r="G4" s="16">
        <v>346.8</v>
      </c>
      <c r="H4">
        <f t="shared" si="2"/>
        <v>-1.9989570658786721E-2</v>
      </c>
      <c r="I4">
        <f t="shared" si="1"/>
        <v>1.0362694300517547E-3</v>
      </c>
      <c r="J4">
        <f t="shared" si="1"/>
        <v>1.2569832402234637E-2</v>
      </c>
      <c r="K4">
        <f t="shared" si="1"/>
        <v>-1.2987012987012908E-2</v>
      </c>
      <c r="L4">
        <f t="shared" si="1"/>
        <v>1.9000000000000059E-2</v>
      </c>
      <c r="M4">
        <f t="shared" si="1"/>
        <v>-2.8752156411730877E-3</v>
      </c>
      <c r="Z4">
        <f>$X19*Z$2*Q5</f>
        <v>7.0827180839407608E-5</v>
      </c>
      <c r="AA4">
        <f t="shared" ref="AA4:AD4" si="3">$X19*AA$2*R5</f>
        <v>6.2463803694243943E-6</v>
      </c>
      <c r="AB4">
        <f t="shared" si="3"/>
        <v>1.1408331113949894E-5</v>
      </c>
      <c r="AC4">
        <f t="shared" si="3"/>
        <v>2.5490224869772788E-5</v>
      </c>
      <c r="AD4">
        <f t="shared" si="3"/>
        <v>-3.7218786064523131E-6</v>
      </c>
    </row>
    <row r="5" spans="1:30" ht="15.75" thickBot="1" x14ac:dyDescent="0.3">
      <c r="A5" s="15">
        <v>4</v>
      </c>
      <c r="B5" s="16">
        <v>575.29999999999995</v>
      </c>
      <c r="C5" s="16">
        <v>96.5</v>
      </c>
      <c r="D5" s="16">
        <v>716</v>
      </c>
      <c r="E5" s="16">
        <v>53.9</v>
      </c>
      <c r="F5" s="16">
        <v>100</v>
      </c>
      <c r="G5" s="16">
        <v>347.8</v>
      </c>
      <c r="H5">
        <f t="shared" si="2"/>
        <v>-3.3271719038817121E-2</v>
      </c>
      <c r="I5">
        <f t="shared" si="1"/>
        <v>-5.1546391752577319E-3</v>
      </c>
      <c r="J5">
        <f t="shared" si="1"/>
        <v>-1.2413793103448275E-2</v>
      </c>
      <c r="K5">
        <f t="shared" si="1"/>
        <v>-3.0575539568345373E-2</v>
      </c>
      <c r="L5">
        <f t="shared" si="1"/>
        <v>-1.5748031496062936E-2</v>
      </c>
      <c r="M5">
        <f t="shared" si="1"/>
        <v>-8.8344257623253521E-3</v>
      </c>
      <c r="Q5">
        <f>(19/18)*COVAR($H$2:$H$20,H2:H20)</f>
        <v>2.599928732676552E-4</v>
      </c>
      <c r="R5">
        <f t="shared" ref="R5:U5" si="4">(19/18)*COVAR($H$2:$H$20,I2:I20)</f>
        <v>1.2026599517697813E-4</v>
      </c>
      <c r="S5">
        <f t="shared" si="4"/>
        <v>2.4719722439748318E-4</v>
      </c>
      <c r="T5">
        <f t="shared" si="4"/>
        <v>1.8839488544501441E-4</v>
      </c>
      <c r="U5">
        <f t="shared" si="4"/>
        <v>-2.3077364351213923E-4</v>
      </c>
      <c r="Z5">
        <f t="shared" ref="Z5:Z8" si="5">$X20*Z$2*Q6</f>
        <v>6.2463803694243943E-6</v>
      </c>
      <c r="AA5">
        <f t="shared" ref="AA5:AA8" si="6">$X20*AA$2*R6</f>
        <v>1.1633081756111841E-5</v>
      </c>
      <c r="AB5">
        <f t="shared" ref="AB5:AB8" si="7">$X20*AB$2*S6</f>
        <v>-8.3392727446150687E-7</v>
      </c>
      <c r="AC5">
        <f t="shared" ref="AC5:AC8" si="8">$X20*AC$2*T6</f>
        <v>4.3233151407893712E-6</v>
      </c>
      <c r="AD5">
        <f t="shared" ref="AD5:AD8" si="9">$X20*AD$2*U6</f>
        <v>-3.4914564047104496E-7</v>
      </c>
    </row>
    <row r="6" spans="1:30" ht="15.75" thickBot="1" x14ac:dyDescent="0.3">
      <c r="A6" s="15">
        <v>5</v>
      </c>
      <c r="B6" s="16">
        <v>595.1</v>
      </c>
      <c r="C6" s="16">
        <v>97</v>
      </c>
      <c r="D6" s="16">
        <v>725</v>
      </c>
      <c r="E6" s="16">
        <v>55.6</v>
      </c>
      <c r="F6" s="16">
        <v>101.6</v>
      </c>
      <c r="G6" s="16">
        <v>350.9</v>
      </c>
      <c r="H6">
        <f t="shared" si="2"/>
        <v>-1.2773722627737114E-2</v>
      </c>
      <c r="I6">
        <f t="shared" si="1"/>
        <v>-1.4227642276422821E-2</v>
      </c>
      <c r="J6">
        <f t="shared" si="1"/>
        <v>-3.4364261168384879E-3</v>
      </c>
      <c r="K6">
        <f t="shared" si="1"/>
        <v>-2.4561403508771906E-2</v>
      </c>
      <c r="L6">
        <f t="shared" si="1"/>
        <v>3.9525691699603899E-3</v>
      </c>
      <c r="M6">
        <f t="shared" si="1"/>
        <v>8.0436656133293719E-3</v>
      </c>
      <c r="Q6">
        <f>(19/18)*COVAR($I$2:$I$20,H2:H20)</f>
        <v>1.2026599517697813E-4</v>
      </c>
      <c r="R6">
        <f t="shared" ref="R6:U6" si="10">(19/18)*COVAR($I$2:$I$20,I2:I20)</f>
        <v>1.1747951300400373E-3</v>
      </c>
      <c r="S6">
        <f t="shared" si="10"/>
        <v>-9.4776918720949254E-5</v>
      </c>
      <c r="T6">
        <f t="shared" si="10"/>
        <v>1.6759662557007561E-4</v>
      </c>
      <c r="U6">
        <f t="shared" si="10"/>
        <v>-1.1354906469629823E-4</v>
      </c>
      <c r="Z6">
        <f t="shared" si="5"/>
        <v>1.1408331113949894E-5</v>
      </c>
      <c r="AA6">
        <f t="shared" si="6"/>
        <v>-8.3392727446150687E-7</v>
      </c>
      <c r="AB6">
        <f t="shared" si="7"/>
        <v>7.9297064806607631E-6</v>
      </c>
      <c r="AC6">
        <f t="shared" si="8"/>
        <v>4.6741559085420653E-6</v>
      </c>
      <c r="AD6">
        <f t="shared" si="9"/>
        <v>-4.5007314687365563E-6</v>
      </c>
    </row>
    <row r="7" spans="1:30" ht="15.75" thickBot="1" x14ac:dyDescent="0.3">
      <c r="A7" s="15">
        <v>6</v>
      </c>
      <c r="B7" s="16">
        <v>602.79999999999995</v>
      </c>
      <c r="C7" s="16">
        <v>98.4</v>
      </c>
      <c r="D7" s="16">
        <v>727.5</v>
      </c>
      <c r="E7" s="16">
        <v>57</v>
      </c>
      <c r="F7" s="16">
        <v>101.2</v>
      </c>
      <c r="G7" s="16">
        <v>348.1</v>
      </c>
      <c r="H7">
        <f t="shared" si="2"/>
        <v>1.661681621801263E-3</v>
      </c>
      <c r="I7">
        <f t="shared" si="1"/>
        <v>-6.0606060606060034E-3</v>
      </c>
      <c r="J7">
        <f t="shared" si="1"/>
        <v>1.5210717276025645E-2</v>
      </c>
      <c r="K7">
        <f t="shared" si="1"/>
        <v>4.2047531992687334E-2</v>
      </c>
      <c r="L7">
        <f t="shared" si="1"/>
        <v>-7.8431372549019329E-3</v>
      </c>
      <c r="M7">
        <f t="shared" si="1"/>
        <v>-3.7206639954205914E-3</v>
      </c>
      <c r="Q7">
        <f>(19/18)*COVAR($J$2:$J$20,H2:H20)</f>
        <v>2.4719722439748318E-4</v>
      </c>
      <c r="R7">
        <f t="shared" ref="R7:U7" si="11">(19/18)*COVAR($J$2:$J$20,I2:I20)</f>
        <v>-9.4776918720949254E-5</v>
      </c>
      <c r="S7">
        <f t="shared" si="11"/>
        <v>1.0142349434901028E-3</v>
      </c>
      <c r="T7">
        <f t="shared" si="11"/>
        <v>2.0391943569622291E-4</v>
      </c>
      <c r="U7">
        <f t="shared" si="11"/>
        <v>-1.647278725272816E-3</v>
      </c>
      <c r="Z7">
        <f t="shared" si="5"/>
        <v>2.5490224869772788E-5</v>
      </c>
      <c r="AA7">
        <f t="shared" si="6"/>
        <v>4.3233151407893712E-6</v>
      </c>
      <c r="AB7">
        <f t="shared" si="7"/>
        <v>4.6741559085420653E-6</v>
      </c>
      <c r="AC7">
        <f t="shared" si="8"/>
        <v>2.2271730790342886E-5</v>
      </c>
      <c r="AD7">
        <f t="shared" si="9"/>
        <v>-2.0016780289999018E-6</v>
      </c>
    </row>
    <row r="8" spans="1:30" ht="15.75" thickBot="1" x14ac:dyDescent="0.3">
      <c r="A8" s="15">
        <v>7</v>
      </c>
      <c r="B8" s="16">
        <v>601.79999999999995</v>
      </c>
      <c r="C8" s="16">
        <v>99</v>
      </c>
      <c r="D8" s="16">
        <v>716.6</v>
      </c>
      <c r="E8" s="16">
        <v>54.7</v>
      </c>
      <c r="F8" s="16">
        <v>102</v>
      </c>
      <c r="G8" s="16">
        <v>349.4</v>
      </c>
      <c r="H8">
        <f t="shared" si="2"/>
        <v>8.3153168135705979E-4</v>
      </c>
      <c r="I8">
        <f t="shared" si="1"/>
        <v>-6.0721062618595875E-2</v>
      </c>
      <c r="J8">
        <f t="shared" si="1"/>
        <v>-6.7914067914067603E-3</v>
      </c>
      <c r="K8">
        <f t="shared" si="1"/>
        <v>-1.6187050359712206E-2</v>
      </c>
      <c r="L8">
        <f t="shared" si="1"/>
        <v>3.9370078740158044E-3</v>
      </c>
      <c r="M8">
        <f t="shared" si="1"/>
        <v>-1.3551665725578801E-2</v>
      </c>
      <c r="Q8">
        <f>(19/18)*COVAR($K$2:$K$20,H2:H20)</f>
        <v>1.8839488544501441E-4</v>
      </c>
      <c r="R8">
        <f t="shared" ref="R8:U8" si="12">(19/18)*COVAR($K$2:$K$20,I2:I20)</f>
        <v>1.6759662557007561E-4</v>
      </c>
      <c r="S8">
        <f t="shared" si="12"/>
        <v>2.0391943569622291E-4</v>
      </c>
      <c r="T8">
        <f t="shared" si="12"/>
        <v>3.3142354920244179E-4</v>
      </c>
      <c r="U8">
        <f t="shared" si="12"/>
        <v>-2.4989189988874845E-4</v>
      </c>
      <c r="Z8">
        <f t="shared" si="5"/>
        <v>-3.7218786064523131E-6</v>
      </c>
      <c r="AA8">
        <f t="shared" si="6"/>
        <v>-3.4914564047104496E-7</v>
      </c>
      <c r="AB8">
        <f t="shared" si="7"/>
        <v>-4.5007314687365563E-6</v>
      </c>
      <c r="AC8">
        <f t="shared" si="8"/>
        <v>-2.0016780289999018E-6</v>
      </c>
      <c r="AD8">
        <f t="shared" si="9"/>
        <v>1.7100484996952114E-5</v>
      </c>
    </row>
    <row r="9" spans="1:30" ht="15.75" thickBot="1" x14ac:dyDescent="0.3">
      <c r="A9" s="15">
        <v>8</v>
      </c>
      <c r="B9" s="16">
        <v>601.29999999999995</v>
      </c>
      <c r="C9" s="16">
        <v>105.4</v>
      </c>
      <c r="D9" s="16">
        <v>721.5</v>
      </c>
      <c r="E9" s="16">
        <v>55.6</v>
      </c>
      <c r="F9" s="16">
        <v>101.6</v>
      </c>
      <c r="G9" s="16">
        <v>354.2</v>
      </c>
      <c r="H9">
        <f t="shared" si="2"/>
        <v>-2.1958360442420301E-2</v>
      </c>
      <c r="I9">
        <f t="shared" si="1"/>
        <v>-9.8374679213002567E-2</v>
      </c>
      <c r="J9">
        <f t="shared" si="1"/>
        <v>4.0356248260506227E-3</v>
      </c>
      <c r="K9">
        <f t="shared" si="1"/>
        <v>-5.3667262969588044E-3</v>
      </c>
      <c r="L9">
        <f t="shared" si="1"/>
        <v>-9.8328416912496085E-4</v>
      </c>
      <c r="M9">
        <f t="shared" si="1"/>
        <v>-1.9108280254777163E-2</v>
      </c>
      <c r="Q9">
        <f>(19/18)*COVAR($L$2:$L$20,H2:H20)</f>
        <v>-2.3077364351213923E-4</v>
      </c>
      <c r="R9">
        <f t="shared" ref="R9:U9" si="13">(19/18)*COVAR($L$2:$L$20,I2:I20)</f>
        <v>-1.1354906469629823E-4</v>
      </c>
      <c r="S9">
        <f t="shared" si="13"/>
        <v>-1.647278725272816E-3</v>
      </c>
      <c r="T9">
        <f t="shared" si="13"/>
        <v>-2.4989189988874845E-4</v>
      </c>
      <c r="U9">
        <f t="shared" si="13"/>
        <v>1.7909973604034114E-2</v>
      </c>
    </row>
    <row r="10" spans="1:30" ht="15.75" thickBot="1" x14ac:dyDescent="0.3">
      <c r="A10" s="15">
        <v>9</v>
      </c>
      <c r="B10" s="16">
        <v>614.79999999999995</v>
      </c>
      <c r="C10" s="16">
        <v>116.9</v>
      </c>
      <c r="D10" s="16">
        <v>718.6</v>
      </c>
      <c r="E10" s="16">
        <v>55.9</v>
      </c>
      <c r="F10" s="16">
        <v>101.7</v>
      </c>
      <c r="G10" s="16">
        <v>361.1</v>
      </c>
      <c r="H10">
        <f t="shared" si="2"/>
        <v>-2.1174972138194664E-2</v>
      </c>
      <c r="I10">
        <f t="shared" si="1"/>
        <v>-2.2575250836120307E-2</v>
      </c>
      <c r="J10">
        <f t="shared" si="1"/>
        <v>1.1145165784341993E-3</v>
      </c>
      <c r="K10">
        <f t="shared" si="1"/>
        <v>-1.0619469026548698E-2</v>
      </c>
      <c r="L10">
        <f t="shared" si="1"/>
        <v>1.1940298507462714E-2</v>
      </c>
      <c r="M10">
        <f t="shared" si="1"/>
        <v>-3.1124228602092744E-2</v>
      </c>
      <c r="Y10" t="s">
        <v>44</v>
      </c>
      <c r="Z10">
        <f>SUM(Z4:AD8)</f>
        <v>2.1123227763018959E-4</v>
      </c>
    </row>
    <row r="11" spans="1:30" ht="15.75" thickBot="1" x14ac:dyDescent="0.3">
      <c r="A11" s="15">
        <v>10</v>
      </c>
      <c r="B11" s="16">
        <v>628.1</v>
      </c>
      <c r="C11" s="16">
        <v>119.6</v>
      </c>
      <c r="D11" s="16">
        <v>717.8</v>
      </c>
      <c r="E11" s="16">
        <v>56.5</v>
      </c>
      <c r="F11" s="16">
        <v>100.5</v>
      </c>
      <c r="G11" s="16">
        <v>372.7</v>
      </c>
      <c r="H11">
        <f t="shared" si="2"/>
        <v>-1.4308426073131595E-3</v>
      </c>
      <c r="I11">
        <f t="shared" si="1"/>
        <v>5.6537102473498156E-2</v>
      </c>
      <c r="J11">
        <f t="shared" si="1"/>
        <v>-1.6038382453735497E-2</v>
      </c>
      <c r="K11">
        <f t="shared" si="1"/>
        <v>1.7730496453900962E-3</v>
      </c>
      <c r="L11">
        <f t="shared" si="1"/>
        <v>-2.8046421663442993E-2</v>
      </c>
      <c r="M11">
        <f t="shared" si="1"/>
        <v>2.9601722282022761E-3</v>
      </c>
      <c r="Q11" t="s">
        <v>38</v>
      </c>
      <c r="X11" t="s">
        <v>36</v>
      </c>
    </row>
    <row r="12" spans="1:30" ht="15.75" thickBot="1" x14ac:dyDescent="0.3">
      <c r="A12" s="15">
        <v>11</v>
      </c>
      <c r="B12" s="16">
        <v>629</v>
      </c>
      <c r="C12" s="16">
        <v>113.2</v>
      </c>
      <c r="D12" s="16">
        <v>729.5</v>
      </c>
      <c r="E12" s="16">
        <v>56.4</v>
      </c>
      <c r="F12" s="16">
        <v>103.4</v>
      </c>
      <c r="G12" s="16">
        <v>371.6</v>
      </c>
      <c r="H12">
        <f t="shared" si="2"/>
        <v>1.681215648237953E-2</v>
      </c>
      <c r="I12">
        <f t="shared" si="1"/>
        <v>3.3789954337899566E-2</v>
      </c>
      <c r="J12">
        <f t="shared" si="1"/>
        <v>3.8286364930259005E-2</v>
      </c>
      <c r="K12">
        <f t="shared" si="1"/>
        <v>2.7322404371584699E-2</v>
      </c>
      <c r="L12">
        <f t="shared" si="1"/>
        <v>1.0752688172043095E-2</v>
      </c>
      <c r="M12">
        <f t="shared" si="1"/>
        <v>-6.1379136145491175E-2</v>
      </c>
      <c r="Q12">
        <f>2*Q5</f>
        <v>5.1998574653531039E-4</v>
      </c>
      <c r="R12">
        <f t="shared" ref="R12:U12" si="14">2*R5</f>
        <v>2.4053199035395625E-4</v>
      </c>
      <c r="S12">
        <f t="shared" si="14"/>
        <v>4.9439444879496636E-4</v>
      </c>
      <c r="T12">
        <f t="shared" si="14"/>
        <v>3.7678977089002883E-4</v>
      </c>
      <c r="U12">
        <f t="shared" si="14"/>
        <v>-4.6154728702427845E-4</v>
      </c>
      <c r="V12">
        <v>1</v>
      </c>
      <c r="X12">
        <v>0</v>
      </c>
    </row>
    <row r="13" spans="1:30" ht="15.75" thickBot="1" x14ac:dyDescent="0.3">
      <c r="A13" s="15">
        <v>12</v>
      </c>
      <c r="B13" s="16">
        <v>618.6</v>
      </c>
      <c r="C13" s="16">
        <v>109.5</v>
      </c>
      <c r="D13" s="16">
        <v>702.6</v>
      </c>
      <c r="E13" s="16">
        <v>54.9</v>
      </c>
      <c r="F13" s="16">
        <v>102.3</v>
      </c>
      <c r="G13" s="16">
        <v>395.9</v>
      </c>
      <c r="H13">
        <f t="shared" si="2"/>
        <v>-3.040752351097175E-2</v>
      </c>
      <c r="I13">
        <f t="shared" si="1"/>
        <v>4.2857142857142858E-2</v>
      </c>
      <c r="J13">
        <f t="shared" si="1"/>
        <v>-6.4198188598827824E-2</v>
      </c>
      <c r="K13">
        <f t="shared" si="1"/>
        <v>-1.818181818181844E-3</v>
      </c>
      <c r="L13">
        <f t="shared" si="1"/>
        <v>-4.8638132295719845E-3</v>
      </c>
      <c r="M13">
        <f t="shared" si="1"/>
        <v>-4.2756539235413614E-3</v>
      </c>
      <c r="Q13">
        <f t="shared" ref="Q13:U13" si="15">2*Q6</f>
        <v>2.4053199035395625E-4</v>
      </c>
      <c r="R13">
        <f t="shared" si="15"/>
        <v>2.3495902600800746E-3</v>
      </c>
      <c r="S13">
        <f t="shared" si="15"/>
        <v>-1.8955383744189851E-4</v>
      </c>
      <c r="T13">
        <f t="shared" si="15"/>
        <v>3.3519325114015122E-4</v>
      </c>
      <c r="U13">
        <f t="shared" si="15"/>
        <v>-2.2709812939259645E-4</v>
      </c>
      <c r="V13">
        <v>1</v>
      </c>
      <c r="X13">
        <v>0</v>
      </c>
    </row>
    <row r="14" spans="1:30" ht="15.75" thickBot="1" x14ac:dyDescent="0.3">
      <c r="A14" s="15">
        <v>13</v>
      </c>
      <c r="B14" s="16">
        <v>638</v>
      </c>
      <c r="C14" s="16">
        <v>105</v>
      </c>
      <c r="D14" s="16">
        <v>750.8</v>
      </c>
      <c r="E14" s="16">
        <v>55</v>
      </c>
      <c r="F14" s="16">
        <v>102.8</v>
      </c>
      <c r="G14" s="16">
        <v>397.6</v>
      </c>
      <c r="H14">
        <f t="shared" si="2"/>
        <v>-2.7439024390243903E-2</v>
      </c>
      <c r="I14">
        <f t="shared" si="1"/>
        <v>9.5328884652044147E-4</v>
      </c>
      <c r="J14">
        <f t="shared" si="1"/>
        <v>-4.9259212359123832E-2</v>
      </c>
      <c r="K14">
        <f t="shared" si="1"/>
        <v>-2.8268551236749141E-2</v>
      </c>
      <c r="L14">
        <f t="shared" si="1"/>
        <v>3.0060120240480964E-2</v>
      </c>
      <c r="M14">
        <f t="shared" si="1"/>
        <v>-2.0930805220389065E-2</v>
      </c>
      <c r="Q14">
        <f t="shared" ref="Q14:U14" si="16">2*Q7</f>
        <v>4.9439444879496636E-4</v>
      </c>
      <c r="R14">
        <f t="shared" si="16"/>
        <v>-1.8955383744189851E-4</v>
      </c>
      <c r="S14">
        <f t="shared" si="16"/>
        <v>2.0284698869802056E-3</v>
      </c>
      <c r="T14">
        <f t="shared" si="16"/>
        <v>4.0783887139244582E-4</v>
      </c>
      <c r="U14">
        <f t="shared" si="16"/>
        <v>-3.2945574505456321E-3</v>
      </c>
      <c r="V14">
        <v>1</v>
      </c>
      <c r="X14">
        <v>0</v>
      </c>
    </row>
    <row r="15" spans="1:30" ht="15.75" thickBot="1" x14ac:dyDescent="0.3">
      <c r="A15" s="15">
        <v>14</v>
      </c>
      <c r="B15" s="16">
        <v>656</v>
      </c>
      <c r="C15" s="16">
        <v>104.9</v>
      </c>
      <c r="D15" s="16">
        <v>789.7</v>
      </c>
      <c r="E15" s="16">
        <v>56.6</v>
      </c>
      <c r="F15" s="16">
        <v>99.8</v>
      </c>
      <c r="G15" s="16">
        <v>406.1</v>
      </c>
      <c r="H15">
        <f t="shared" si="2"/>
        <v>-9.0634441087613302E-3</v>
      </c>
      <c r="I15">
        <f t="shared" si="1"/>
        <v>-3.7986704653370511E-3</v>
      </c>
      <c r="J15">
        <f t="shared" si="1"/>
        <v>-1.1763233637842544E-2</v>
      </c>
      <c r="K15">
        <f t="shared" si="1"/>
        <v>-5.2724077328646247E-3</v>
      </c>
      <c r="L15">
        <f t="shared" si="1"/>
        <v>-1.5779092702169709E-2</v>
      </c>
      <c r="M15">
        <f t="shared" si="1"/>
        <v>1.3476416271524917E-2</v>
      </c>
      <c r="Q15">
        <f t="shared" ref="Q15:U15" si="17">2*Q8</f>
        <v>3.7678977089002883E-4</v>
      </c>
      <c r="R15">
        <f t="shared" si="17"/>
        <v>3.3519325114015122E-4</v>
      </c>
      <c r="S15">
        <f t="shared" si="17"/>
        <v>4.0783887139244582E-4</v>
      </c>
      <c r="T15">
        <f t="shared" si="17"/>
        <v>6.6284709840488357E-4</v>
      </c>
      <c r="U15">
        <f t="shared" si="17"/>
        <v>-4.997837997774969E-4</v>
      </c>
      <c r="V15">
        <v>1</v>
      </c>
      <c r="X15">
        <v>0</v>
      </c>
    </row>
    <row r="16" spans="1:30" ht="15.75" thickBot="1" x14ac:dyDescent="0.3">
      <c r="A16" s="15">
        <v>15</v>
      </c>
      <c r="B16" s="16">
        <v>662</v>
      </c>
      <c r="C16" s="16">
        <v>105.3</v>
      </c>
      <c r="D16" s="16">
        <v>799.1</v>
      </c>
      <c r="E16" s="16">
        <v>56.9</v>
      </c>
      <c r="F16" s="16">
        <v>101.4</v>
      </c>
      <c r="G16" s="16">
        <v>400.7</v>
      </c>
      <c r="H16">
        <f t="shared" si="2"/>
        <v>-1.1054675829100654E-2</v>
      </c>
      <c r="I16">
        <f t="shared" si="1"/>
        <v>-3.7842951750237056E-3</v>
      </c>
      <c r="J16">
        <f t="shared" si="1"/>
        <v>-7.3291925465838225E-3</v>
      </c>
      <c r="K16">
        <f t="shared" si="1"/>
        <v>1.6071428571428546E-2</v>
      </c>
      <c r="L16">
        <f t="shared" si="1"/>
        <v>4.9554013875123884E-3</v>
      </c>
      <c r="M16">
        <f t="shared" si="1"/>
        <v>1.0337871911245501E-2</v>
      </c>
      <c r="Q16">
        <f t="shared" ref="Q16:U16" si="18">2*Q9</f>
        <v>-4.6154728702427845E-4</v>
      </c>
      <c r="R16">
        <f t="shared" si="18"/>
        <v>-2.2709812939259645E-4</v>
      </c>
      <c r="S16">
        <f t="shared" si="18"/>
        <v>-3.2945574505456321E-3</v>
      </c>
      <c r="T16">
        <f t="shared" si="18"/>
        <v>-4.997837997774969E-4</v>
      </c>
      <c r="U16">
        <f t="shared" si="18"/>
        <v>3.5819947208068227E-2</v>
      </c>
      <c r="V16">
        <v>1</v>
      </c>
      <c r="X16">
        <v>0</v>
      </c>
    </row>
    <row r="17" spans="1:31" ht="15.75" thickBot="1" x14ac:dyDescent="0.3">
      <c r="A17" s="15">
        <v>16</v>
      </c>
      <c r="B17" s="16">
        <v>669.4</v>
      </c>
      <c r="C17" s="16">
        <v>105.7</v>
      </c>
      <c r="D17" s="16">
        <v>805</v>
      </c>
      <c r="E17" s="16">
        <v>56</v>
      </c>
      <c r="F17" s="16">
        <v>100.9</v>
      </c>
      <c r="G17" s="16">
        <v>396.6</v>
      </c>
      <c r="H17">
        <f t="shared" si="2"/>
        <v>-4.466961609818762E-2</v>
      </c>
      <c r="I17">
        <f t="shared" si="1"/>
        <v>-2.5806451612903198E-2</v>
      </c>
      <c r="J17">
        <f t="shared" si="1"/>
        <v>-7.4712643678160925E-2</v>
      </c>
      <c r="K17">
        <f t="shared" si="1"/>
        <v>-1.2345679012345729E-2</v>
      </c>
      <c r="L17">
        <f t="shared" si="1"/>
        <v>5.8761804826862628E-2</v>
      </c>
      <c r="M17">
        <f t="shared" si="1"/>
        <v>-4.018081366147579E-3</v>
      </c>
      <c r="Q17">
        <v>1</v>
      </c>
      <c r="R17">
        <v>1</v>
      </c>
      <c r="S17">
        <v>1</v>
      </c>
      <c r="T17">
        <v>1</v>
      </c>
      <c r="U17">
        <v>1</v>
      </c>
      <c r="V17">
        <v>0</v>
      </c>
      <c r="X17">
        <v>1</v>
      </c>
    </row>
    <row r="18" spans="1:31" ht="15.75" thickBot="1" x14ac:dyDescent="0.3">
      <c r="A18" s="15">
        <v>17</v>
      </c>
      <c r="B18" s="16">
        <v>700.7</v>
      </c>
      <c r="C18" s="16">
        <v>108.5</v>
      </c>
      <c r="D18" s="16">
        <v>870</v>
      </c>
      <c r="E18" s="16">
        <v>56.7</v>
      </c>
      <c r="F18" s="16">
        <v>95.3</v>
      </c>
      <c r="G18" s="16">
        <v>398.2</v>
      </c>
      <c r="H18">
        <f t="shared" si="2"/>
        <v>-1.1706629055006988E-2</v>
      </c>
      <c r="I18">
        <f t="shared" ref="I18:I20" si="19">(C18-C19)/C19</f>
        <v>-1.6319129646418833E-2</v>
      </c>
      <c r="J18">
        <f t="shared" ref="J18:J20" si="20">(D18-D19)/D19</f>
        <v>-7.2098976109215035E-2</v>
      </c>
      <c r="K18">
        <f t="shared" ref="K18:K20" si="21">(E18-E19)/E19</f>
        <v>-5.2631578947367925E-3</v>
      </c>
      <c r="L18">
        <f t="shared" ref="L18:L20" si="22">(F18-F19)/F19</f>
        <v>0.45053272450532716</v>
      </c>
      <c r="M18">
        <f t="shared" ref="M18:M20" si="23">(G18-G19)/G19</f>
        <v>-6.7348465951608599E-3</v>
      </c>
      <c r="X18" t="s">
        <v>39</v>
      </c>
      <c r="Y18" t="s">
        <v>41</v>
      </c>
      <c r="Z18" t="s">
        <v>42</v>
      </c>
      <c r="AA18" t="s">
        <v>43</v>
      </c>
      <c r="AB18" t="s">
        <v>46</v>
      </c>
      <c r="AC18" t="s">
        <v>45</v>
      </c>
      <c r="AD18" t="s">
        <v>47</v>
      </c>
      <c r="AE18" t="s">
        <v>48</v>
      </c>
    </row>
    <row r="19" spans="1:31" ht="15.75" thickBot="1" x14ac:dyDescent="0.3">
      <c r="A19" s="15">
        <v>18</v>
      </c>
      <c r="B19" s="16">
        <v>709</v>
      </c>
      <c r="C19" s="16">
        <v>110.3</v>
      </c>
      <c r="D19" s="16">
        <v>937.6</v>
      </c>
      <c r="E19" s="16">
        <v>57</v>
      </c>
      <c r="F19" s="16">
        <v>65.7</v>
      </c>
      <c r="G19" s="16">
        <v>400.9</v>
      </c>
      <c r="H19">
        <f t="shared" si="2"/>
        <v>-5.6100981767180924E-3</v>
      </c>
      <c r="I19">
        <f t="shared" si="19"/>
        <v>-2.042628774422733E-2</v>
      </c>
      <c r="J19">
        <f t="shared" si="20"/>
        <v>-1.1804384485666033E-2</v>
      </c>
      <c r="K19">
        <f t="shared" si="21"/>
        <v>3.5211267605634307E-3</v>
      </c>
      <c r="L19">
        <f t="shared" si="22"/>
        <v>-0.33903420523138833</v>
      </c>
      <c r="M19">
        <f t="shared" si="23"/>
        <v>4.5101478326232888E-3</v>
      </c>
      <c r="Q19">
        <f t="array" ref="Q19:V24">MINVERSE(Q12:V17)</f>
        <v>3223.9393439063051</v>
      </c>
      <c r="R19">
        <v>-335.1332900010043</v>
      </c>
      <c r="S19">
        <v>-791.81208658247976</v>
      </c>
      <c r="T19">
        <v>-2020.8160871846437</v>
      </c>
      <c r="U19">
        <v>-76.177880138177713</v>
      </c>
      <c r="V19">
        <v>0.52193840743941911</v>
      </c>
      <c r="X19">
        <f t="array" ref="X19:X24">MMULT(Q19:V24,X12:X17)</f>
        <v>0.52193840743941911</v>
      </c>
      <c r="Y19">
        <f t="array" ref="Y19:Y23">TRANSPOSE(H22:L22)</f>
        <v>-1.1221162315300574E-2</v>
      </c>
      <c r="Z19">
        <f>SUMPRODUCT(Y19:Y23,X19:X23)</f>
        <v>-8.4203620894292269E-3</v>
      </c>
      <c r="AA19">
        <f>Z10^0.5</f>
        <v>1.4533832172905726E-2</v>
      </c>
      <c r="AB19">
        <f t="array" ref="AB19:AB23">TRANSPOSE(H26:L26)</f>
        <v>-0.24845511889349844</v>
      </c>
      <c r="AC19">
        <f>SUMPRODUCT(AB19:AB23,X19:X23)</f>
        <v>-0.25486881077264345</v>
      </c>
      <c r="AD19">
        <f>AC19^2*M24</f>
        <v>1.9357250868741153E-5</v>
      </c>
      <c r="AE19">
        <f>(Z10-AD19)^0.5</f>
        <v>1.3851896143180125E-2</v>
      </c>
    </row>
    <row r="20" spans="1:31" ht="15.75" thickBot="1" x14ac:dyDescent="0.3">
      <c r="A20" s="15">
        <v>19</v>
      </c>
      <c r="B20" s="16">
        <v>713</v>
      </c>
      <c r="C20" s="16">
        <v>112.6</v>
      </c>
      <c r="D20" s="16">
        <v>948.8</v>
      </c>
      <c r="E20" s="16">
        <v>56.8</v>
      </c>
      <c r="F20" s="16">
        <v>99.4</v>
      </c>
      <c r="G20" s="16">
        <v>399.1</v>
      </c>
      <c r="H20">
        <f t="shared" si="2"/>
        <v>7.0621468926553672E-3</v>
      </c>
      <c r="I20">
        <f t="shared" si="19"/>
        <v>-1.141352063213355E-2</v>
      </c>
      <c r="J20">
        <f t="shared" si="20"/>
        <v>-2.83762480294277E-3</v>
      </c>
      <c r="K20">
        <f t="shared" si="21"/>
        <v>5.3097345132742859E-3</v>
      </c>
      <c r="L20">
        <f t="shared" si="22"/>
        <v>2.0161290322580931E-3</v>
      </c>
      <c r="M20">
        <f t="shared" si="23"/>
        <v>-4.9862877088007974E-3</v>
      </c>
      <c r="Q20">
        <v>-335.13329000100413</v>
      </c>
      <c r="R20">
        <v>469.31120921065008</v>
      </c>
      <c r="S20">
        <v>140.72974832318471</v>
      </c>
      <c r="T20">
        <v>-279.82614481551303</v>
      </c>
      <c r="U20">
        <v>4.9184772826823639</v>
      </c>
      <c r="V20">
        <v>9.9509907232041728E-2</v>
      </c>
      <c r="X20">
        <v>9.9509907232041728E-2</v>
      </c>
      <c r="Y20">
        <v>-7.0994037176424236E-3</v>
      </c>
      <c r="AB20">
        <v>-6.762320509119378E-2</v>
      </c>
    </row>
    <row r="21" spans="1:31" ht="15.75" thickBot="1" x14ac:dyDescent="0.3">
      <c r="A21" s="15">
        <v>20</v>
      </c>
      <c r="B21" s="16">
        <v>708</v>
      </c>
      <c r="C21" s="16">
        <v>113.9</v>
      </c>
      <c r="D21" s="16">
        <v>951.5</v>
      </c>
      <c r="E21" s="16">
        <v>56.5</v>
      </c>
      <c r="F21" s="16">
        <v>99.2</v>
      </c>
      <c r="G21" s="16">
        <v>401.1</v>
      </c>
      <c r="Q21">
        <v>-791.81208658247965</v>
      </c>
      <c r="R21">
        <v>140.72974832318477</v>
      </c>
      <c r="S21">
        <v>789.3376772252559</v>
      </c>
      <c r="T21">
        <v>-196.33670264425754</v>
      </c>
      <c r="U21">
        <v>58.081363678296761</v>
      </c>
      <c r="V21">
        <v>8.8421783685228045E-2</v>
      </c>
      <c r="X21">
        <v>8.8421783685228045E-2</v>
      </c>
      <c r="Y21">
        <v>-1.7866069279729876E-2</v>
      </c>
      <c r="AB21">
        <v>-0.46452311137603175</v>
      </c>
    </row>
    <row r="22" spans="1:31" x14ac:dyDescent="0.25">
      <c r="G22" t="s">
        <v>29</v>
      </c>
      <c r="H22">
        <f>AVERAGE(H2:H20)</f>
        <v>-1.1221162315300574E-2</v>
      </c>
      <c r="I22">
        <f t="shared" ref="I22:M22" si="24">AVERAGE(I2:I20)</f>
        <v>-7.0994037176424236E-3</v>
      </c>
      <c r="J22">
        <f t="shared" si="24"/>
        <v>-1.7866069279729876E-2</v>
      </c>
      <c r="K22">
        <f t="shared" si="24"/>
        <v>-2.3201564231104398E-3</v>
      </c>
      <c r="L22">
        <f t="shared" si="24"/>
        <v>1.0487369676794792E-2</v>
      </c>
      <c r="M22">
        <f t="shared" si="24"/>
        <v>-9.5378785946556802E-3</v>
      </c>
      <c r="Q22">
        <v>-2020.8160871846439</v>
      </c>
      <c r="R22">
        <v>-279.82614481551298</v>
      </c>
      <c r="S22">
        <v>-196.33670264425751</v>
      </c>
      <c r="T22">
        <v>2514.9959493749766</v>
      </c>
      <c r="U22">
        <v>-18.01701473056238</v>
      </c>
      <c r="V22">
        <v>0.25923002532933515</v>
      </c>
      <c r="X22">
        <v>0.25923002532933515</v>
      </c>
      <c r="Y22">
        <v>-2.3201564231104398E-3</v>
      </c>
      <c r="AB22">
        <v>-0.18725569491169464</v>
      </c>
    </row>
    <row r="23" spans="1:31" x14ac:dyDescent="0.25">
      <c r="A23" s="17">
        <v>0.03</v>
      </c>
      <c r="G23">
        <f>COUNT(H2:H20)</f>
        <v>19</v>
      </c>
      <c r="Q23">
        <v>-76.17788013817767</v>
      </c>
      <c r="R23">
        <v>4.9184772826823586</v>
      </c>
      <c r="S23">
        <v>58.081363678296725</v>
      </c>
      <c r="T23">
        <v>-18.017014730562373</v>
      </c>
      <c r="U23">
        <v>31.195053907760961</v>
      </c>
      <c r="V23">
        <v>3.089987631397598E-2</v>
      </c>
      <c r="X23">
        <v>3.089987631397598E-2</v>
      </c>
      <c r="Y23">
        <v>1.0487369676794792E-2</v>
      </c>
      <c r="AB23">
        <v>-0.93350219052149663</v>
      </c>
    </row>
    <row r="24" spans="1:31" x14ac:dyDescent="0.25">
      <c r="A24">
        <f>A23/250</f>
        <v>1.1999999999999999E-4</v>
      </c>
      <c r="G24" t="s">
        <v>10</v>
      </c>
      <c r="H24">
        <f>(19/18)*COVAR($M$2:$M$20,H2:H20)</f>
        <v>-7.4038607556041892E-5</v>
      </c>
      <c r="I24">
        <f t="shared" ref="I24:M24" si="25">(19/18)*COVAR($M$2:$M$20,I2:I20)</f>
        <v>-2.0151438077533793E-5</v>
      </c>
      <c r="J24">
        <f t="shared" si="25"/>
        <v>-1.3842598412562446E-4</v>
      </c>
      <c r="K24">
        <f t="shared" si="25"/>
        <v>-5.5801429932074808E-5</v>
      </c>
      <c r="L24">
        <f t="shared" si="25"/>
        <v>-2.7817982839127223E-4</v>
      </c>
      <c r="M24">
        <f t="shared" si="25"/>
        <v>2.9799590318675993E-4</v>
      </c>
      <c r="Q24">
        <v>0.52193840743941944</v>
      </c>
      <c r="R24">
        <v>9.9509907232041686E-2</v>
      </c>
      <c r="S24">
        <v>8.8421783685228017E-2</v>
      </c>
      <c r="T24">
        <v>0.25923002532933503</v>
      </c>
      <c r="U24">
        <v>3.0899876313975977E-2</v>
      </c>
      <c r="V24">
        <v>-4.2246455526037929E-4</v>
      </c>
      <c r="X24">
        <v>-4.2246455526037929E-4</v>
      </c>
    </row>
    <row r="25" spans="1:31" x14ac:dyDescent="0.25">
      <c r="A25" t="s">
        <v>12</v>
      </c>
      <c r="B25" t="s">
        <v>30</v>
      </c>
      <c r="H25" t="str">
        <f>B1</f>
        <v>Český Telecom</v>
      </c>
      <c r="I25" t="str">
        <f t="shared" ref="I25:L25" si="26">C1</f>
        <v>ČEZ</v>
      </c>
      <c r="J25" t="str">
        <f t="shared" si="26"/>
        <v>Komerční banka</v>
      </c>
      <c r="K25" t="str">
        <f t="shared" si="26"/>
        <v>UNIPETROL</v>
      </c>
      <c r="L25" t="str">
        <f t="shared" si="26"/>
        <v>IPB</v>
      </c>
      <c r="M25">
        <f>_xlfn.VAR.S(M2:M20)</f>
        <v>2.9799590318675982E-4</v>
      </c>
    </row>
    <row r="26" spans="1:31" x14ac:dyDescent="0.25">
      <c r="A26" s="21">
        <f t="array" ref="A26:B30">LINEST(H2:H20,M2:M20,1,1)</f>
        <v>-0.24845511889349856</v>
      </c>
      <c r="B26">
        <v>-1.3590897075527505E-2</v>
      </c>
      <c r="G26" t="s">
        <v>12</v>
      </c>
      <c r="H26" s="21">
        <f>H24/$M$24</f>
        <v>-0.24845511889349844</v>
      </c>
      <c r="I26" s="21">
        <f t="shared" ref="I26:M26" si="27">I24/$M$24</f>
        <v>-6.762320509119378E-2</v>
      </c>
      <c r="J26" s="21">
        <f t="shared" si="27"/>
        <v>-0.46452311137603175</v>
      </c>
      <c r="K26" s="21">
        <f t="shared" si="27"/>
        <v>-0.18725569491169464</v>
      </c>
      <c r="L26" s="21">
        <f t="shared" si="27"/>
        <v>-0.93350219052149663</v>
      </c>
      <c r="M26">
        <f t="shared" si="27"/>
        <v>1</v>
      </c>
      <c r="W26" t="s">
        <v>40</v>
      </c>
      <c r="X26">
        <f>SUM(X19:X23)</f>
        <v>1</v>
      </c>
    </row>
    <row r="27" spans="1:31" x14ac:dyDescent="0.25">
      <c r="A27">
        <v>0.21838193130285952</v>
      </c>
      <c r="B27">
        <v>4.2192555418535341E-3</v>
      </c>
      <c r="G27" t="s">
        <v>30</v>
      </c>
      <c r="H27">
        <f>(H22)-H26*($M$22)</f>
        <v>-1.3590897075527505E-2</v>
      </c>
      <c r="I27">
        <f t="shared" ref="I27:L27" si="28">(I22)-I26*($M$22)</f>
        <v>-7.7443856379837313E-3</v>
      </c>
      <c r="J27">
        <f t="shared" si="28"/>
        <v>-2.2296634320446186E-2</v>
      </c>
      <c r="K27">
        <f t="shared" si="28"/>
        <v>-4.1061785073360666E-3</v>
      </c>
      <c r="L27">
        <f t="shared" si="28"/>
        <v>1.583739115755621E-3</v>
      </c>
    </row>
    <row r="28" spans="1:31" x14ac:dyDescent="0.25">
      <c r="A28">
        <v>7.0752981848498764E-2</v>
      </c>
      <c r="B28">
        <v>1.5994037197808467E-2</v>
      </c>
    </row>
    <row r="29" spans="1:31" x14ac:dyDescent="0.25">
      <c r="A29">
        <v>1.2943820834821109</v>
      </c>
      <c r="B29">
        <v>17</v>
      </c>
    </row>
    <row r="30" spans="1:31" x14ac:dyDescent="0.25">
      <c r="A30">
        <v>3.3111487877481808E-4</v>
      </c>
      <c r="B30">
        <v>4.3487568400429758E-3</v>
      </c>
      <c r="H30" t="s">
        <v>31</v>
      </c>
      <c r="I30" t="s">
        <v>32</v>
      </c>
      <c r="K30" t="s">
        <v>34</v>
      </c>
    </row>
    <row r="31" spans="1:31" x14ac:dyDescent="0.25">
      <c r="H31" t="s">
        <v>32</v>
      </c>
      <c r="I31" t="s">
        <v>33</v>
      </c>
      <c r="K31" t="s">
        <v>35</v>
      </c>
    </row>
    <row r="33" spans="1:21" x14ac:dyDescent="0.25">
      <c r="H33" s="18">
        <f>COUNT(H2:H20)</f>
        <v>19</v>
      </c>
      <c r="I33" s="18">
        <f>SUM(M2:M20)</f>
        <v>-0.18121969329845791</v>
      </c>
      <c r="K33" s="19">
        <f t="array" ref="K33:L34">MINVERSE(H33:I34)</f>
        <v>6.9591381100043148E-2</v>
      </c>
      <c r="L33" s="19">
        <v>1.7781524459933609</v>
      </c>
    </row>
    <row r="34" spans="1:21" x14ac:dyDescent="0.25">
      <c r="H34" s="18">
        <f>I33</f>
        <v>-0.18121969329845791</v>
      </c>
      <c r="I34" s="18">
        <f>SUMPRODUCT(M2:M20,M2:M20)</f>
        <v>7.0923776910031058E-3</v>
      </c>
      <c r="K34" s="19">
        <v>1.7781524459933611</v>
      </c>
      <c r="L34" s="19">
        <v>186.43060176816527</v>
      </c>
    </row>
    <row r="36" spans="1:21" x14ac:dyDescent="0.25">
      <c r="H36" t="s">
        <v>36</v>
      </c>
    </row>
    <row r="37" spans="1:21" x14ac:dyDescent="0.25">
      <c r="H37" s="20">
        <f>SUM(H2:H20)</f>
        <v>-0.21320208399071089</v>
      </c>
      <c r="I37" s="20">
        <f t="shared" ref="I37:L37" si="29">SUM(I2:I20)</f>
        <v>-0.13488867063520604</v>
      </c>
      <c r="J37" s="20">
        <f t="shared" si="29"/>
        <v>-0.33945531631486764</v>
      </c>
      <c r="K37" s="20">
        <f t="shared" si="29"/>
        <v>-4.4082972039098355E-2</v>
      </c>
      <c r="L37" s="20">
        <f t="shared" si="29"/>
        <v>0.19926002385910105</v>
      </c>
    </row>
    <row r="38" spans="1:21" x14ac:dyDescent="0.25">
      <c r="H38" s="20">
        <f>SUMPRODUCT(H2:H20,$M$2:$M$20)</f>
        <v>7.0080065722222891E-4</v>
      </c>
      <c r="I38" s="20">
        <f t="shared" ref="I38:L38" si="30">SUMPRODUCT(I2:I20,$M$2:$M$20)</f>
        <v>9.2382587891748347E-4</v>
      </c>
      <c r="J38" s="20">
        <f t="shared" si="30"/>
        <v>7.4601588106040914E-4</v>
      </c>
      <c r="K38" s="20">
        <f t="shared" si="30"/>
        <v>-5.839677033768262E-4</v>
      </c>
      <c r="L38" s="20">
        <f t="shared" si="30"/>
        <v>-6.9077548273791976E-3</v>
      </c>
    </row>
    <row r="39" spans="1:21" x14ac:dyDescent="0.25">
      <c r="H39" t="str">
        <f>H25</f>
        <v>Český Telecom</v>
      </c>
      <c r="I39" t="str">
        <f t="shared" ref="I39:L39" si="31">I25</f>
        <v>ČEZ</v>
      </c>
      <c r="J39" t="str">
        <f t="shared" si="31"/>
        <v>Komerční banka</v>
      </c>
      <c r="K39" t="str">
        <f t="shared" si="31"/>
        <v>UNIPETROL</v>
      </c>
      <c r="L39" t="str">
        <f t="shared" si="31"/>
        <v>IPB</v>
      </c>
    </row>
    <row r="40" spans="1:21" x14ac:dyDescent="0.25">
      <c r="G40" t="s">
        <v>30</v>
      </c>
      <c r="H40">
        <f t="array" ref="H40:H41">MMULT(K33:L34,H37:H38)</f>
        <v>-1.3590897075527507E-2</v>
      </c>
      <c r="I40">
        <f t="array" ref="I40:I41">MMULT(K33:L34,I37:I38)</f>
        <v>-7.7443856379837339E-3</v>
      </c>
      <c r="J40">
        <f t="array" ref="J40:J41">MMULT(K33:L34,J37:J38)</f>
        <v>-2.229663432044619E-2</v>
      </c>
      <c r="K40">
        <f t="array" ref="K40:K41">MMULT(K33:L34,K37:K38)</f>
        <v>-4.1061785073360692E-3</v>
      </c>
      <c r="L40">
        <f t="array" ref="L40:L41">MMULT(K33:L34,L37:L38)</f>
        <v>1.5837391157556262E-3</v>
      </c>
    </row>
    <row r="41" spans="1:21" x14ac:dyDescent="0.25">
      <c r="G41" t="s">
        <v>12</v>
      </c>
      <c r="H41" s="21">
        <v>-0.24845511889349872</v>
      </c>
      <c r="I41" s="21">
        <v>-6.762320509119385E-2</v>
      </c>
      <c r="J41" s="21">
        <v>-0.46452311137603192</v>
      </c>
      <c r="K41" s="21">
        <v>-0.18725569491169483</v>
      </c>
      <c r="L41" s="21">
        <v>-0.93350219052149641</v>
      </c>
    </row>
    <row r="42" spans="1:21" x14ac:dyDescent="0.25">
      <c r="A42" t="s">
        <v>49</v>
      </c>
    </row>
    <row r="43" spans="1:21" x14ac:dyDescent="0.25">
      <c r="G43" t="s">
        <v>36</v>
      </c>
    </row>
    <row r="44" spans="1:21" x14ac:dyDescent="0.25">
      <c r="A44">
        <f>Q5</f>
        <v>2.599928732676552E-4</v>
      </c>
      <c r="B44">
        <f t="shared" ref="B44:E44" si="32">R5</f>
        <v>1.2026599517697813E-4</v>
      </c>
      <c r="C44">
        <f t="shared" si="32"/>
        <v>2.4719722439748318E-4</v>
      </c>
      <c r="D44">
        <f t="shared" si="32"/>
        <v>1.8839488544501441E-4</v>
      </c>
      <c r="E44">
        <f t="shared" si="32"/>
        <v>-2.3077364351213923E-4</v>
      </c>
      <c r="G44">
        <f>((Y19-$A$24))</f>
        <v>-1.1341162315300574E-2</v>
      </c>
    </row>
    <row r="45" spans="1:21" x14ac:dyDescent="0.25">
      <c r="A45">
        <f t="shared" ref="A45:A48" si="33">Q6</f>
        <v>1.2026599517697813E-4</v>
      </c>
      <c r="B45">
        <f t="shared" ref="B45:B48" si="34">R6</f>
        <v>1.1747951300400373E-3</v>
      </c>
      <c r="C45">
        <f t="shared" ref="C45:C48" si="35">S6</f>
        <v>-9.4776918720949254E-5</v>
      </c>
      <c r="D45">
        <f t="shared" ref="D45:D48" si="36">T6</f>
        <v>1.6759662557007561E-4</v>
      </c>
      <c r="E45">
        <f t="shared" ref="E45:E48" si="37">U6</f>
        <v>-1.1354906469629823E-4</v>
      </c>
      <c r="G45">
        <f t="shared" ref="G45:G48" si="38">((Y20-$A$24))</f>
        <v>-7.2194037176424239E-3</v>
      </c>
    </row>
    <row r="46" spans="1:21" x14ac:dyDescent="0.25">
      <c r="A46">
        <f t="shared" si="33"/>
        <v>2.4719722439748318E-4</v>
      </c>
      <c r="B46">
        <f t="shared" si="34"/>
        <v>-9.4776918720949254E-5</v>
      </c>
      <c r="C46">
        <f t="shared" si="35"/>
        <v>1.0142349434901028E-3</v>
      </c>
      <c r="D46">
        <f t="shared" si="36"/>
        <v>2.0391943569622291E-4</v>
      </c>
      <c r="E46">
        <f t="shared" si="37"/>
        <v>-1.647278725272816E-3</v>
      </c>
      <c r="G46">
        <f t="shared" si="38"/>
        <v>-1.7986069279729875E-2</v>
      </c>
      <c r="Q46">
        <f t="array" ref="Q46:U46">TRANSPOSE(I50:I54)</f>
        <v>1.3015763876787887</v>
      </c>
      <c r="R46">
        <v>0.16800709859957158</v>
      </c>
      <c r="S46">
        <v>0.34326269112064184</v>
      </c>
      <c r="T46">
        <v>-0.83626880799679704</v>
      </c>
      <c r="U46">
        <v>2.3422630597794827E-2</v>
      </c>
    </row>
    <row r="47" spans="1:21" x14ac:dyDescent="0.25">
      <c r="A47">
        <f t="shared" si="33"/>
        <v>1.8839488544501441E-4</v>
      </c>
      <c r="B47">
        <f t="shared" si="34"/>
        <v>1.6759662557007561E-4</v>
      </c>
      <c r="C47">
        <f t="shared" si="35"/>
        <v>2.0391943569622291E-4</v>
      </c>
      <c r="D47">
        <f t="shared" si="36"/>
        <v>3.3142354920244179E-4</v>
      </c>
      <c r="E47">
        <f t="shared" si="37"/>
        <v>-2.4989189988874845E-4</v>
      </c>
      <c r="G47">
        <f t="shared" si="38"/>
        <v>-2.4401564231104397E-3</v>
      </c>
    </row>
    <row r="48" spans="1:21" x14ac:dyDescent="0.25">
      <c r="A48">
        <f t="shared" si="33"/>
        <v>-2.3077364351213923E-4</v>
      </c>
      <c r="B48">
        <f t="shared" si="34"/>
        <v>-1.1354906469629823E-4</v>
      </c>
      <c r="C48">
        <f t="shared" si="35"/>
        <v>-1.647278725272816E-3</v>
      </c>
      <c r="D48">
        <f t="shared" si="36"/>
        <v>-2.4989189988874845E-4</v>
      </c>
      <c r="E48">
        <f t="shared" si="37"/>
        <v>1.7909973604034114E-2</v>
      </c>
      <c r="G48">
        <f t="shared" si="38"/>
        <v>1.0367369676794792E-2</v>
      </c>
      <c r="Q48">
        <f>$I50*Q$46*Q5</f>
        <v>4.4045421076531618E-4</v>
      </c>
      <c r="R48">
        <f>$I50*R$46*R5</f>
        <v>2.629905494857E-5</v>
      </c>
      <c r="S48">
        <f>$I50*S$46*S5</f>
        <v>1.1044342197458522E-4</v>
      </c>
      <c r="T48">
        <f>$I50*T$46*T5</f>
        <v>-2.0506175410291209E-4</v>
      </c>
      <c r="U48">
        <f>$I50*U$46*U5</f>
        <v>-7.0354444337964153E-6</v>
      </c>
    </row>
    <row r="49" spans="1:21" x14ac:dyDescent="0.25">
      <c r="G49" t="s">
        <v>50</v>
      </c>
      <c r="I49" t="s">
        <v>39</v>
      </c>
      <c r="J49" t="s">
        <v>42</v>
      </c>
      <c r="K49" t="s">
        <v>43</v>
      </c>
      <c r="L49" t="s">
        <v>51</v>
      </c>
      <c r="M49" t="s">
        <v>47</v>
      </c>
      <c r="N49" t="s">
        <v>52</v>
      </c>
      <c r="Q49">
        <f>$I51*Q$46*Q6</f>
        <v>2.629905494857E-5</v>
      </c>
      <c r="R49">
        <f>$I51*R$46*R6</f>
        <v>3.3160219847917555E-5</v>
      </c>
      <c r="S49">
        <f>$I51*S$46*S6</f>
        <v>-5.4658388110528452E-6</v>
      </c>
      <c r="T49">
        <f>$I51*T$46*T6</f>
        <v>-2.3547174398798656E-5</v>
      </c>
      <c r="U49">
        <f>$I51*U$46*U6</f>
        <v>-4.4683466947564694E-7</v>
      </c>
    </row>
    <row r="50" spans="1:21" x14ac:dyDescent="0.25">
      <c r="A50">
        <f t="array" ref="A50:E54">MINVERSE(A44:E48)</f>
        <v>7737.547597397207</v>
      </c>
      <c r="B50">
        <v>-424.38539608528868</v>
      </c>
      <c r="C50">
        <v>-1365.1408737498095</v>
      </c>
      <c r="D50">
        <v>-3401.0950931105663</v>
      </c>
      <c r="E50">
        <v>-76.004586988212679</v>
      </c>
      <c r="G50">
        <f t="array" ref="G50:G54">MMULT(A50:E54,G44:G48)</f>
        <v>-52.624218999755136</v>
      </c>
      <c r="I50">
        <f>G50/$G$56</f>
        <v>1.3015763876787887</v>
      </c>
      <c r="J50">
        <f>SUMPRODUCT(I50:I54,Y19:Y23)</f>
        <v>-1.9744788920799533E-2</v>
      </c>
      <c r="K50">
        <f>Q54^0.5</f>
        <v>2.2165828885023251E-2</v>
      </c>
      <c r="L50">
        <f>SUMPRODUCT(I50:I54,AB19:AB23)</f>
        <v>-0.3594669281301518</v>
      </c>
      <c r="M50">
        <f>L50^2*M24</f>
        <v>3.8505979405204614E-5</v>
      </c>
      <c r="N50">
        <f>(Q54-M50)^0.5</f>
        <v>2.127952045406396E-2</v>
      </c>
      <c r="Q50">
        <f>$I52*Q$46*Q7</f>
        <v>1.1044342197458522E-4</v>
      </c>
      <c r="R50">
        <f>$I52*R$46*R7</f>
        <v>-5.4658388110528452E-6</v>
      </c>
      <c r="S50">
        <f>$I52*S$46*S7</f>
        <v>1.1950656818813245E-4</v>
      </c>
      <c r="T50">
        <f>$I52*T$46*T7</f>
        <v>-5.8537089053281241E-5</v>
      </c>
      <c r="U50">
        <f>$I52*U$46*U7</f>
        <v>-1.3244310737673772E-5</v>
      </c>
    </row>
    <row r="51" spans="1:21" x14ac:dyDescent="0.25">
      <c r="A51">
        <v>-424.38539608528885</v>
      </c>
      <c r="B51">
        <v>985.50077313310055</v>
      </c>
      <c r="C51">
        <v>323.11432132810233</v>
      </c>
      <c r="D51">
        <v>-437.53101128433457</v>
      </c>
      <c r="E51">
        <v>24.393649498458824</v>
      </c>
      <c r="G51">
        <v>-6.7927187631181951</v>
      </c>
      <c r="I51">
        <f t="shared" ref="I51:I54" si="39">G51/$G$56</f>
        <v>0.16800709859957158</v>
      </c>
      <c r="Q51">
        <f>$I53*Q$46*Q8</f>
        <v>-2.0506175410291209E-4</v>
      </c>
      <c r="R51">
        <f>$I53*R$46*R8</f>
        <v>-2.3547174398798656E-5</v>
      </c>
      <c r="S51">
        <f>$I53*S$46*S8</f>
        <v>-5.8537089053281241E-5</v>
      </c>
      <c r="T51">
        <f>$I53*T$46*T8</f>
        <v>2.3177957410149547E-4</v>
      </c>
      <c r="U51">
        <f>$I53*U$46*U8</f>
        <v>4.8947864191411285E-6</v>
      </c>
    </row>
    <row r="52" spans="1:21" x14ac:dyDescent="0.25">
      <c r="A52">
        <v>-1365.14087374981</v>
      </c>
      <c r="B52">
        <v>323.11432132810228</v>
      </c>
      <c r="C52">
        <v>1615.6886931210586</v>
      </c>
      <c r="D52">
        <v>-284.15977526216011</v>
      </c>
      <c r="E52">
        <v>129.09740859938179</v>
      </c>
      <c r="G52">
        <v>-13.878502409061751</v>
      </c>
      <c r="I52">
        <f t="shared" si="39"/>
        <v>0.34326269112064184</v>
      </c>
      <c r="Q52">
        <f>$I54*Q$46*Q9</f>
        <v>-7.0354444337964153E-6</v>
      </c>
      <c r="R52">
        <f>$I54*R$46*R9</f>
        <v>-4.4683466947564694E-7</v>
      </c>
      <c r="S52">
        <f>$I54*S$46*S9</f>
        <v>-1.3244310737673772E-5</v>
      </c>
      <c r="T52">
        <f>$I54*T$46*T9</f>
        <v>4.8947864191411285E-6</v>
      </c>
      <c r="U52">
        <f>$I54*U$46*U9</f>
        <v>9.8257629866578306E-6</v>
      </c>
    </row>
    <row r="53" spans="1:21" x14ac:dyDescent="0.25">
      <c r="A53">
        <v>-3401.0950931105649</v>
      </c>
      <c r="B53">
        <v>-437.5310112843348</v>
      </c>
      <c r="C53">
        <v>-284.15977526216028</v>
      </c>
      <c r="D53">
        <v>5348.1260721166618</v>
      </c>
      <c r="E53">
        <v>1.887143426898332</v>
      </c>
      <c r="G53">
        <v>33.811302441626808</v>
      </c>
      <c r="I53">
        <f t="shared" si="39"/>
        <v>-0.83626880799679704</v>
      </c>
    </row>
    <row r="54" spans="1:21" x14ac:dyDescent="0.25">
      <c r="A54">
        <v>-76.004586988212722</v>
      </c>
      <c r="B54">
        <v>24.393649498458821</v>
      </c>
      <c r="C54">
        <v>129.09740859938179</v>
      </c>
      <c r="D54">
        <v>1.8871434268983469</v>
      </c>
      <c r="E54">
        <v>66.91026149151746</v>
      </c>
      <c r="G54">
        <v>-0.94700369013832231</v>
      </c>
      <c r="I54">
        <f t="shared" si="39"/>
        <v>2.3422630597794827E-2</v>
      </c>
      <c r="Q54">
        <f>SUM(Q48:U52)</f>
        <v>4.9132397016013105E-4</v>
      </c>
    </row>
    <row r="56" spans="1:21" x14ac:dyDescent="0.25">
      <c r="G56">
        <f>SUM(G50:G54)</f>
        <v>-40.4311414204466</v>
      </c>
      <c r="I56">
        <f>SUM(I50:I54)</f>
        <v>0.99999999999999989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1" sqref="E11"/>
    </sheetView>
  </sheetViews>
  <sheetFormatPr defaultRowHeight="15" x14ac:dyDescent="0.25"/>
  <sheetData>
    <row r="1" spans="1:5" ht="32.25" thickBot="1" x14ac:dyDescent="0.3">
      <c r="A1" s="22" t="s">
        <v>53</v>
      </c>
      <c r="B1" s="23"/>
      <c r="C1" s="23"/>
      <c r="E1" t="s">
        <v>11</v>
      </c>
    </row>
    <row r="2" spans="1:5" ht="16.5" thickBot="1" x14ac:dyDescent="0.3">
      <c r="A2" s="24"/>
      <c r="B2" s="25">
        <v>1.75</v>
      </c>
      <c r="C2" s="25">
        <v>16.7</v>
      </c>
      <c r="E2">
        <f>7+B2*(15-7)</f>
        <v>21</v>
      </c>
    </row>
    <row r="3" spans="1:5" ht="16.5" thickBot="1" x14ac:dyDescent="0.3">
      <c r="A3" s="24"/>
      <c r="B3" s="25">
        <v>1.2</v>
      </c>
      <c r="C3" s="25">
        <v>24</v>
      </c>
      <c r="E3">
        <f t="shared" ref="E3:E5" si="0">7+B3*(15-7)</f>
        <v>16.600000000000001</v>
      </c>
    </row>
    <row r="4" spans="1:5" ht="16.5" thickBot="1" x14ac:dyDescent="0.3">
      <c r="A4" s="24"/>
      <c r="B4" s="25">
        <v>1.3</v>
      </c>
      <c r="C4" s="25">
        <v>17.399999999999999</v>
      </c>
      <c r="E4">
        <f t="shared" si="0"/>
        <v>17.399999999999999</v>
      </c>
    </row>
    <row r="5" spans="1:5" ht="16.5" thickBot="1" x14ac:dyDescent="0.3">
      <c r="A5" s="24"/>
      <c r="B5" s="25">
        <v>0.75</v>
      </c>
      <c r="C5" s="25">
        <v>16</v>
      </c>
      <c r="E5">
        <f t="shared" si="0"/>
        <v>13</v>
      </c>
    </row>
    <row r="6" spans="1:5" ht="15.75" customHeight="1" x14ac:dyDescent="0.25">
      <c r="A6" s="27" t="s">
        <v>54</v>
      </c>
      <c r="B6" s="28"/>
      <c r="C6" s="29"/>
    </row>
    <row r="7" spans="1:5" ht="15.75" customHeight="1" x14ac:dyDescent="0.25">
      <c r="A7" s="26" t="s">
        <v>55</v>
      </c>
      <c r="B7" s="30"/>
      <c r="C7" s="31"/>
    </row>
    <row r="8" spans="1:5" ht="16.5" thickBot="1" x14ac:dyDescent="0.3">
      <c r="A8" s="32"/>
      <c r="B8" s="33"/>
      <c r="C8" s="34"/>
    </row>
    <row r="11" spans="1:5" x14ac:dyDescent="0.25">
      <c r="A11">
        <v>0</v>
      </c>
      <c r="B11">
        <v>1</v>
      </c>
    </row>
    <row r="12" spans="1:5" x14ac:dyDescent="0.25">
      <c r="A12">
        <v>7</v>
      </c>
      <c r="B12">
        <v>15</v>
      </c>
    </row>
  </sheetData>
  <mergeCells count="3">
    <mergeCell ref="A6:C6"/>
    <mergeCell ref="A7:C7"/>
    <mergeCell ref="A8:C8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C1" workbookViewId="0">
      <selection activeCell="H6" sqref="H6:H7"/>
    </sheetView>
  </sheetViews>
  <sheetFormatPr defaultRowHeight="15" x14ac:dyDescent="0.25"/>
  <sheetData>
    <row r="1" spans="1:8" ht="33.75" thickBot="1" x14ac:dyDescent="0.3">
      <c r="A1" s="35" t="s">
        <v>56</v>
      </c>
      <c r="B1" s="36" t="s">
        <v>57</v>
      </c>
      <c r="C1" s="36" t="s">
        <v>58</v>
      </c>
    </row>
    <row r="2" spans="1:8" ht="16.5" thickBot="1" x14ac:dyDescent="0.3">
      <c r="A2" s="37">
        <v>1</v>
      </c>
      <c r="B2" s="38">
        <v>8</v>
      </c>
      <c r="C2" s="38">
        <v>8.1</v>
      </c>
      <c r="E2" t="s">
        <v>59</v>
      </c>
      <c r="H2" t="s">
        <v>36</v>
      </c>
    </row>
    <row r="3" spans="1:8" ht="16.5" thickBot="1" x14ac:dyDescent="0.3">
      <c r="A3" s="37">
        <v>2</v>
      </c>
      <c r="B3" s="38">
        <v>0</v>
      </c>
      <c r="C3" s="38">
        <v>3</v>
      </c>
      <c r="E3">
        <f>COUNT(B2:B11)</f>
        <v>10</v>
      </c>
      <c r="F3">
        <f>SUM(B2:B11)</f>
        <v>59.9</v>
      </c>
      <c r="H3">
        <f>SUM(C2:C11)</f>
        <v>34.199999999999996</v>
      </c>
    </row>
    <row r="4" spans="1:8" ht="16.5" thickBot="1" x14ac:dyDescent="0.3">
      <c r="A4" s="37">
        <v>3</v>
      </c>
      <c r="B4" s="38">
        <v>14.9</v>
      </c>
      <c r="C4" s="38">
        <v>5.3</v>
      </c>
      <c r="E4">
        <f>F3</f>
        <v>59.9</v>
      </c>
      <c r="F4">
        <f>SUMPRODUCT(B2:B11,B2:B11)</f>
        <v>542.04999999999995</v>
      </c>
      <c r="H4">
        <f>SUMPRODUCT(B2:B11,C2:C11)</f>
        <v>259.60000000000002</v>
      </c>
    </row>
    <row r="5" spans="1:8" ht="16.5" thickBot="1" x14ac:dyDescent="0.3">
      <c r="A5" s="37">
        <v>4</v>
      </c>
      <c r="B5" s="38">
        <v>5</v>
      </c>
      <c r="C5" s="38">
        <v>1</v>
      </c>
    </row>
    <row r="6" spans="1:8" ht="16.5" thickBot="1" x14ac:dyDescent="0.3">
      <c r="A6" s="37">
        <v>5</v>
      </c>
      <c r="B6" s="38">
        <v>4.0999999999999996</v>
      </c>
      <c r="C6" s="38">
        <v>3.1</v>
      </c>
      <c r="E6">
        <f t="array" ref="E6:F7">MINVERSE(E3:F4)</f>
        <v>0.29579970422758106</v>
      </c>
      <c r="F6">
        <v>-3.2687763644003519E-2</v>
      </c>
      <c r="G6" t="s">
        <v>30</v>
      </c>
      <c r="H6">
        <f t="array" ref="H6:H7">MMULT(E6:F7,H3:H4)</f>
        <v>1.6306064425999551</v>
      </c>
    </row>
    <row r="7" spans="1:8" ht="16.5" thickBot="1" x14ac:dyDescent="0.3">
      <c r="A7" s="37">
        <v>6</v>
      </c>
      <c r="B7" s="38">
        <v>8.9</v>
      </c>
      <c r="C7" s="38">
        <v>3</v>
      </c>
      <c r="E7">
        <v>-3.2687763644003519E-2</v>
      </c>
      <c r="F7">
        <v>5.4570557001675322E-3</v>
      </c>
      <c r="G7" t="s">
        <v>12</v>
      </c>
      <c r="H7">
        <v>0.29873014313857138</v>
      </c>
    </row>
    <row r="8" spans="1:8" ht="16.5" thickBot="1" x14ac:dyDescent="0.3">
      <c r="A8" s="37">
        <v>7</v>
      </c>
      <c r="B8" s="38">
        <v>10.1</v>
      </c>
      <c r="C8" s="38">
        <v>5</v>
      </c>
    </row>
    <row r="9" spans="1:8" ht="16.5" thickBot="1" x14ac:dyDescent="0.3">
      <c r="A9" s="37">
        <v>8</v>
      </c>
      <c r="B9" s="38">
        <v>5</v>
      </c>
      <c r="C9" s="38">
        <v>3.2</v>
      </c>
    </row>
    <row r="10" spans="1:8" ht="16.5" thickBot="1" x14ac:dyDescent="0.3">
      <c r="A10" s="37">
        <v>9</v>
      </c>
      <c r="B10" s="38">
        <v>1.5</v>
      </c>
      <c r="C10" s="38">
        <v>1.2</v>
      </c>
    </row>
    <row r="11" spans="1:8" ht="16.5" thickBot="1" x14ac:dyDescent="0.3">
      <c r="A11" s="37">
        <v>10</v>
      </c>
      <c r="B11" s="38">
        <v>2.4</v>
      </c>
      <c r="C11" s="38">
        <v>1.3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2015-04-13T11:01:24Z</dcterms:created>
  <dcterms:modified xsi:type="dcterms:W3CDTF">2015-04-13T12:08:56Z</dcterms:modified>
</cp:coreProperties>
</file>