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xation\"/>
    </mc:Choice>
  </mc:AlternateContent>
  <bookViews>
    <workbookView xWindow="0" yWindow="0" windowWidth="19200" windowHeight="6945" activeTab="1"/>
  </bookViews>
  <sheets>
    <sheet name="Ex.1-3" sheetId="1" r:id="rId1"/>
    <sheet name="Ex.4-6 (depreciation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AF21" i="2"/>
  <c r="AG20" i="2"/>
  <c r="AF20" i="2"/>
  <c r="AF18" i="2"/>
  <c r="AF17" i="2"/>
  <c r="AH28" i="2"/>
  <c r="AG28" i="2"/>
  <c r="AF28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22" i="2"/>
  <c r="AM21" i="2"/>
  <c r="AM20" i="2"/>
  <c r="AO17" i="2"/>
  <c r="AM17" i="2"/>
  <c r="AH27" i="2"/>
  <c r="AG27" i="2"/>
  <c r="AF14" i="2"/>
  <c r="S34" i="2"/>
  <c r="R34" i="2"/>
  <c r="X38" i="2"/>
  <c r="X39" i="2"/>
  <c r="X37" i="2"/>
  <c r="Y38" i="2"/>
  <c r="Y39" i="2" s="1"/>
  <c r="X40" i="2"/>
  <c r="X41" i="2" s="1"/>
  <c r="Y37" i="2"/>
  <c r="Y29" i="2"/>
  <c r="Y27" i="2"/>
  <c r="Y26" i="2"/>
  <c r="Y25" i="2"/>
  <c r="Y24" i="2"/>
  <c r="X24" i="2"/>
  <c r="D43" i="1"/>
  <c r="B47" i="1"/>
  <c r="X25" i="2"/>
  <c r="X26" i="2"/>
  <c r="X27" i="2"/>
  <c r="X28" i="2"/>
  <c r="X29" i="2"/>
  <c r="X30" i="2"/>
  <c r="X31" i="2"/>
  <c r="X32" i="2"/>
  <c r="X33" i="2"/>
  <c r="X34" i="2"/>
  <c r="X35" i="2"/>
  <c r="X36" i="2"/>
  <c r="X23" i="2"/>
  <c r="X22" i="2"/>
  <c r="X21" i="2"/>
  <c r="X17" i="2"/>
  <c r="X20" i="2"/>
  <c r="S33" i="2"/>
  <c r="R32" i="2"/>
  <c r="Q22" i="2"/>
  <c r="D32" i="2"/>
  <c r="C31" i="2"/>
  <c r="C30" i="2"/>
  <c r="I24" i="2"/>
  <c r="I36" i="2"/>
  <c r="I23" i="2"/>
  <c r="I21" i="2"/>
  <c r="J20" i="2"/>
  <c r="I17" i="2"/>
  <c r="I42" i="2"/>
  <c r="AC52" i="1"/>
  <c r="AC50" i="1"/>
  <c r="AC49" i="1"/>
  <c r="AC48" i="1"/>
  <c r="AE43" i="1"/>
  <c r="AC47" i="1"/>
  <c r="Q25" i="1"/>
  <c r="Q19" i="1"/>
  <c r="P57" i="1"/>
  <c r="O51" i="1"/>
  <c r="Q43" i="1"/>
  <c r="O43" i="1"/>
  <c r="C18" i="1"/>
  <c r="B18" i="1"/>
  <c r="D57" i="1"/>
  <c r="B52" i="1"/>
  <c r="B51" i="1"/>
  <c r="B50" i="1"/>
  <c r="B49" i="1"/>
  <c r="B48" i="1"/>
  <c r="B46" i="1"/>
  <c r="B43" i="1"/>
  <c r="AM13" i="2" l="1"/>
  <c r="AF19" i="2"/>
  <c r="Z17" i="2"/>
  <c r="Q34" i="2"/>
  <c r="X13" i="2"/>
  <c r="Q33" i="2"/>
  <c r="Q17" i="2"/>
  <c r="S17" i="2" s="1"/>
  <c r="B31" i="2"/>
  <c r="B30" i="2"/>
  <c r="K17" i="2"/>
  <c r="I13" i="2"/>
  <c r="I20" i="2"/>
  <c r="D15" i="2"/>
  <c r="B19" i="2" s="1"/>
  <c r="C29" i="2" s="1"/>
  <c r="B15" i="2"/>
  <c r="B18" i="2" s="1"/>
  <c r="AC15" i="1"/>
  <c r="O57" i="1"/>
  <c r="AC43" i="1"/>
  <c r="AC46" i="1" s="1"/>
  <c r="O16" i="1"/>
  <c r="O46" i="1"/>
  <c r="P46" i="1" s="1"/>
  <c r="B57" i="1"/>
  <c r="O47" i="1" l="1"/>
  <c r="P16" i="1" s="1"/>
  <c r="C57" i="1"/>
  <c r="AN20" i="2"/>
  <c r="Y20" i="2"/>
  <c r="J21" i="2"/>
  <c r="Q20" i="2"/>
  <c r="R20" i="2" s="1"/>
  <c r="B20" i="2"/>
  <c r="B22" i="2"/>
  <c r="B21" i="2"/>
  <c r="D29" i="2"/>
  <c r="AD46" i="1"/>
  <c r="Q57" i="1"/>
  <c r="Q16" i="1" s="1"/>
  <c r="AE28" i="1"/>
  <c r="AV6" i="1"/>
  <c r="P10" i="1"/>
  <c r="X9" i="1"/>
  <c r="D22" i="1"/>
  <c r="J7" i="1"/>
  <c r="P47" i="1" l="1"/>
  <c r="D18" i="1"/>
  <c r="AG17" i="2"/>
  <c r="AN21" i="2"/>
  <c r="I22" i="2"/>
  <c r="J22" i="2" s="1"/>
  <c r="B23" i="2"/>
  <c r="B24" i="2" s="1"/>
  <c r="Q21" i="2"/>
  <c r="R21" i="2" s="1"/>
  <c r="AD47" i="1"/>
  <c r="AC19" i="1"/>
  <c r="AE19" i="1" s="1"/>
  <c r="AD8" i="1"/>
  <c r="AC16" i="1" s="1"/>
  <c r="AV8" i="1"/>
  <c r="AV7" i="1"/>
  <c r="AK8" i="1"/>
  <c r="AN8" i="1" s="1"/>
  <c r="AK7" i="1"/>
  <c r="AN7" i="1" s="1"/>
  <c r="AK6" i="1"/>
  <c r="AN6" i="1" s="1"/>
  <c r="Q27" i="1"/>
  <c r="P15" i="1"/>
  <c r="Q15" i="1" s="1"/>
  <c r="P17" i="1"/>
  <c r="R9" i="1"/>
  <c r="P9" i="1" s="1"/>
  <c r="Q22" i="1" s="1"/>
  <c r="C17" i="1"/>
  <c r="B17" i="1"/>
  <c r="C16" i="1"/>
  <c r="B16" i="1"/>
  <c r="D16" i="1" s="1"/>
  <c r="C8" i="1"/>
  <c r="B15" i="1" s="1"/>
  <c r="D15" i="1" s="1"/>
  <c r="E7" i="1"/>
  <c r="O48" i="1" l="1"/>
  <c r="P48" i="1"/>
  <c r="AD16" i="1"/>
  <c r="AE16" i="1" s="1"/>
  <c r="AE20" i="1" s="1"/>
  <c r="AE24" i="1" s="1"/>
  <c r="AN22" i="2"/>
  <c r="AG18" i="2"/>
  <c r="R22" i="2"/>
  <c r="S32" i="2"/>
  <c r="J23" i="2"/>
  <c r="Y21" i="2"/>
  <c r="AD57" i="1"/>
  <c r="AD48" i="1"/>
  <c r="D17" i="1"/>
  <c r="D19" i="1" s="1"/>
  <c r="D23" i="1" s="1"/>
  <c r="D27" i="1" s="1"/>
  <c r="O17" i="1"/>
  <c r="Q17" i="1" s="1"/>
  <c r="AE57" i="1" l="1"/>
  <c r="AE15" i="1" s="1"/>
  <c r="AD15" i="1"/>
  <c r="O49" i="1"/>
  <c r="P49" i="1" s="1"/>
  <c r="AN23" i="2"/>
  <c r="Y22" i="2"/>
  <c r="J24" i="2"/>
  <c r="R33" i="2"/>
  <c r="Q23" i="2"/>
  <c r="AD49" i="1"/>
  <c r="Q23" i="1"/>
  <c r="O50" i="1" l="1"/>
  <c r="O52" i="1" s="1"/>
  <c r="AN24" i="2"/>
  <c r="AG19" i="2"/>
  <c r="Y23" i="2"/>
  <c r="D31" i="2"/>
  <c r="I25" i="2"/>
  <c r="J25" i="2" s="1"/>
  <c r="R23" i="2"/>
  <c r="D30" i="2"/>
  <c r="AD50" i="1"/>
  <c r="AC51" i="1" l="1"/>
  <c r="P50" i="1"/>
  <c r="AH29" i="2"/>
  <c r="AN25" i="2"/>
  <c r="I26" i="2"/>
  <c r="J26" i="2" s="1"/>
  <c r="Q24" i="2"/>
  <c r="Q25" i="2" s="1"/>
  <c r="Q26" i="2" s="1"/>
  <c r="AF22" i="2" l="1"/>
  <c r="I27" i="2"/>
  <c r="J27" i="2" s="1"/>
  <c r="R24" i="2"/>
  <c r="S35" i="2" l="1"/>
  <c r="AN26" i="2"/>
  <c r="I28" i="2"/>
  <c r="J28" i="2" s="1"/>
  <c r="AN27" i="2" l="1"/>
  <c r="I29" i="2"/>
  <c r="J29" i="2" s="1"/>
  <c r="AN28" i="2" l="1"/>
  <c r="I30" i="2"/>
  <c r="J30" i="2" s="1"/>
  <c r="Y28" i="2"/>
  <c r="AN29" i="2" l="1"/>
  <c r="I31" i="2"/>
  <c r="J31" i="2" s="1"/>
  <c r="AN30" i="2" l="1"/>
  <c r="I32" i="2"/>
  <c r="J32" i="2" s="1"/>
  <c r="Y30" i="2"/>
  <c r="AN31" i="2" l="1"/>
  <c r="I33" i="2"/>
  <c r="J33" i="2" s="1"/>
  <c r="Y31" i="2"/>
  <c r="AN32" i="2" l="1"/>
  <c r="I34" i="2"/>
  <c r="J34" i="2" s="1"/>
  <c r="Y32" i="2"/>
  <c r="AN33" i="2" l="1"/>
  <c r="I35" i="2"/>
  <c r="J35" i="2" s="1"/>
  <c r="Y33" i="2"/>
  <c r="AN34" i="2" l="1"/>
  <c r="J36" i="2"/>
  <c r="Y34" i="2"/>
  <c r="AN35" i="2" l="1"/>
  <c r="I37" i="2"/>
  <c r="J37" i="2" s="1"/>
  <c r="Y35" i="2"/>
  <c r="AN36" i="2" l="1"/>
  <c r="I38" i="2"/>
  <c r="J38" i="2" s="1"/>
  <c r="Y36" i="2"/>
  <c r="AN37" i="2" l="1"/>
  <c r="I39" i="2"/>
  <c r="J39" i="2" s="1"/>
  <c r="AN38" i="2" l="1"/>
  <c r="I40" i="2"/>
  <c r="J40" i="2" s="1"/>
  <c r="I41" i="2" l="1"/>
  <c r="I43" i="2" s="1"/>
  <c r="J41" i="2" l="1"/>
  <c r="AN39" i="2"/>
</calcChain>
</file>

<file path=xl/comments1.xml><?xml version="1.0" encoding="utf-8"?>
<comments xmlns="http://schemas.openxmlformats.org/spreadsheetml/2006/main">
  <authors>
    <author>Oleksandra</author>
  </authors>
  <commentList>
    <comment ref="Q43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AE43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</commentList>
</comments>
</file>

<file path=xl/comments2.xml><?xml version="1.0" encoding="utf-8"?>
<comments xmlns="http://schemas.openxmlformats.org/spreadsheetml/2006/main">
  <authors>
    <author>Oleksandra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because it is regular servicing (=maintanance)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because it is regular servicing (=maintanance)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Z17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AO17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depreciation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residual value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depreciation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residual value
</t>
        </r>
      </text>
    </comment>
    <comment ref="Y39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remaining amount will be depreciated during extended lifetime of building due to conducted TA</t>
        </r>
      </text>
    </comment>
    <comment ref="AN39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remaining amount will be depreciated during extended lifetime of building due to conducted TA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depreciation period is extended due to TA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depreciation period is extended due to TA</t>
        </r>
      </text>
    </comment>
  </commentList>
</comments>
</file>

<file path=xl/sharedStrings.xml><?xml version="1.0" encoding="utf-8"?>
<sst xmlns="http://schemas.openxmlformats.org/spreadsheetml/2006/main" count="366" uniqueCount="96">
  <si>
    <t>Ex. 1</t>
  </si>
  <si>
    <t>AP</t>
  </si>
  <si>
    <t>1.</t>
  </si>
  <si>
    <t>2.</t>
  </si>
  <si>
    <t>3.</t>
  </si>
  <si>
    <t>4.</t>
  </si>
  <si>
    <t>5.</t>
  </si>
  <si>
    <t>&lt;=</t>
  </si>
  <si>
    <t>&lt;60000</t>
  </si>
  <si>
    <t>&amp;</t>
  </si>
  <si>
    <t>laptops are used (i.e. Exor is not first owner)</t>
  </si>
  <si>
    <t>&lt;</t>
  </si>
  <si>
    <t>Categorization:</t>
  </si>
  <si>
    <t xml:space="preserve">Impact </t>
  </si>
  <si>
    <t>tax base deduction</t>
  </si>
  <si>
    <t>Adjustments to AP:</t>
  </si>
  <si>
    <t>-</t>
  </si>
  <si>
    <t>Add back</t>
  </si>
  <si>
    <t>Less</t>
  </si>
  <si>
    <t>Net impact</t>
  </si>
  <si>
    <t>Tax base</t>
  </si>
  <si>
    <t>Tax base deductions</t>
  </si>
  <si>
    <t>Tax base adjusted</t>
  </si>
  <si>
    <t>Tax liability</t>
  </si>
  <si>
    <t>accounting/tax cost</t>
  </si>
  <si>
    <t>depreciation group is 4</t>
  </si>
  <si>
    <t>&amp; creation of reserve is planned during 3 years</t>
  </si>
  <si>
    <t>&gt;</t>
  </si>
  <si>
    <t>1 year</t>
  </si>
  <si>
    <t>see separately</t>
  </si>
  <si>
    <t>as accounting costs which is non-deductable tax cost</t>
  </si>
  <si>
    <t>rounding</t>
  </si>
  <si>
    <t>Ex. 2</t>
  </si>
  <si>
    <t>depreciation group is 3 or 4</t>
  </si>
  <si>
    <t>&amp; creation of reserve was during 3 years</t>
  </si>
  <si>
    <t>as accounting income which is non-taxable income</t>
  </si>
  <si>
    <t>Ex. 3</t>
  </si>
  <si>
    <t>as per</t>
  </si>
  <si>
    <t>overdue</t>
  </si>
  <si>
    <t>days</t>
  </si>
  <si>
    <t>=&gt;</t>
  </si>
  <si>
    <t>months</t>
  </si>
  <si>
    <t>&lt;18 months</t>
  </si>
  <si>
    <t>&gt;18 months</t>
  </si>
  <si>
    <t>of unpaid amount</t>
  </si>
  <si>
    <t>accounting/tax income</t>
  </si>
  <si>
    <t>see workings No.1</t>
  </si>
  <si>
    <t>Workings No.1</t>
  </si>
  <si>
    <t>was already taxed by WHT at the source</t>
  </si>
  <si>
    <t>depreciation group</t>
  </si>
  <si>
    <t>input price</t>
  </si>
  <si>
    <t>acquisition date</t>
  </si>
  <si>
    <t>depreciation period</t>
  </si>
  <si>
    <t>year</t>
  </si>
  <si>
    <t>depreciation method</t>
  </si>
  <si>
    <t>linear</t>
  </si>
  <si>
    <t>actual year</t>
  </si>
  <si>
    <t>DEPRECIATION workings:</t>
  </si>
  <si>
    <t>3d year</t>
  </si>
  <si>
    <t>Year</t>
  </si>
  <si>
    <t>coefficient</t>
  </si>
  <si>
    <t>and</t>
  </si>
  <si>
    <t>Deprciation tax charge =</t>
  </si>
  <si>
    <t>Depreciation charge</t>
  </si>
  <si>
    <t>Residual value</t>
  </si>
  <si>
    <t>Total</t>
  </si>
  <si>
    <t>check</t>
  </si>
  <si>
    <t>Adjustment to AP</t>
  </si>
  <si>
    <t>accelerated</t>
  </si>
  <si>
    <t>parameter</t>
  </si>
  <si>
    <t>2d year</t>
  </si>
  <si>
    <t>Ex.4</t>
  </si>
  <si>
    <t>For car (transaction 1.)</t>
  </si>
  <si>
    <t>For building (transaction 2.)</t>
  </si>
  <si>
    <t>sale price</t>
  </si>
  <si>
    <t>technical appreciation</t>
  </si>
  <si>
    <t>in</t>
  </si>
  <si>
    <t>5th year</t>
  </si>
  <si>
    <t>(i.e. 4th year)</t>
  </si>
  <si>
    <t>2.1.</t>
  </si>
  <si>
    <t>2.2.</t>
  </si>
  <si>
    <t>Ex.5</t>
  </si>
  <si>
    <t>accelarated</t>
  </si>
  <si>
    <t>1.2.</t>
  </si>
  <si>
    <t>1.1.</t>
  </si>
  <si>
    <t>7th year</t>
  </si>
  <si>
    <t>(i.e. in 5th year)</t>
  </si>
  <si>
    <t>Ex.6</t>
  </si>
  <si>
    <t>For solar panels (transaction 1.)</t>
  </si>
  <si>
    <t>monthly (for inTA)</t>
  </si>
  <si>
    <t>May and Septemebr 2015</t>
  </si>
  <si>
    <t>April and August 2016</t>
  </si>
  <si>
    <t>(i.e. in 3d year)</t>
  </si>
  <si>
    <t>4th year</t>
  </si>
  <si>
    <t>For building (transaction 2)</t>
  </si>
  <si>
    <t>For car (transaction 1.1 &amp; 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</si>
</sst>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/>
    <xf numFmtId="165" fontId="0" fillId="0" borderId="0" xfId="1" applyNumberFormat="1" applyFont="1"/>
    <xf numFmtId="0" fontId="0" fillId="0" borderId="0" xfId="0" quotePrefix="1"/>
    <xf numFmtId="10" fontId="0" fillId="0" borderId="0" xfId="2" applyNumberFormat="1" applyFont="1"/>
    <xf numFmtId="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0" xfId="0" applyNumberFormat="1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 applyAlignment="1">
      <alignment horizontal="center"/>
    </xf>
    <xf numFmtId="165" fontId="0" fillId="0" borderId="0" xfId="1" quotePrefix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2" borderId="0" xfId="0" applyFill="1" applyAlignment="1">
      <alignment horizontal="right"/>
    </xf>
    <xf numFmtId="165" fontId="0" fillId="0" borderId="0" xfId="0" applyNumberFormat="1"/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2" applyNumberFormat="1" applyFont="1"/>
    <xf numFmtId="1" fontId="0" fillId="0" borderId="0" xfId="0" applyNumberFormat="1"/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9" fontId="0" fillId="3" borderId="0" xfId="0" applyNumberFormat="1" applyFill="1"/>
    <xf numFmtId="165" fontId="0" fillId="3" borderId="0" xfId="0" applyNumberFormat="1" applyFill="1"/>
    <xf numFmtId="165" fontId="0" fillId="3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165" fontId="0" fillId="0" borderId="1" xfId="0" applyNumberFormat="1" applyBorder="1"/>
    <xf numFmtId="0" fontId="4" fillId="0" borderId="0" xfId="0" applyFont="1"/>
    <xf numFmtId="165" fontId="4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0" fillId="0" borderId="0" xfId="0" applyFont="1"/>
    <xf numFmtId="165" fontId="2" fillId="0" borderId="0" xfId="1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Font="1"/>
    <xf numFmtId="49" fontId="0" fillId="0" borderId="0" xfId="0" applyNumberFormat="1" applyBorder="1"/>
    <xf numFmtId="0" fontId="0" fillId="0" borderId="0" xfId="0" applyBorder="1"/>
    <xf numFmtId="165" fontId="0" fillId="0" borderId="0" xfId="0" applyNumberFormat="1" applyFont="1" applyBorder="1"/>
    <xf numFmtId="165" fontId="0" fillId="0" borderId="1" xfId="0" applyNumberFormat="1" applyFont="1" applyBorder="1"/>
    <xf numFmtId="0" fontId="3" fillId="0" borderId="0" xfId="0" applyFont="1" applyBorder="1"/>
    <xf numFmtId="0" fontId="0" fillId="0" borderId="0" xfId="0" applyFont="1" applyBorder="1"/>
    <xf numFmtId="165" fontId="0" fillId="0" borderId="0" xfId="0" applyNumberFormat="1" applyBorder="1"/>
    <xf numFmtId="165" fontId="3" fillId="0" borderId="0" xfId="0" applyNumberFormat="1" applyFont="1" applyBorder="1"/>
    <xf numFmtId="164" fontId="0" fillId="0" borderId="0" xfId="0" applyNumberFormat="1" applyFont="1" applyBorder="1"/>
    <xf numFmtId="0" fontId="0" fillId="4" borderId="0" xfId="0" applyFill="1" applyBorder="1"/>
    <xf numFmtId="164" fontId="0" fillId="4" borderId="0" xfId="0" applyNumberFormat="1" applyFont="1" applyFill="1" applyBorder="1"/>
    <xf numFmtId="165" fontId="0" fillId="4" borderId="0" xfId="0" applyNumberFormat="1" applyFill="1" applyBorder="1"/>
    <xf numFmtId="0" fontId="0" fillId="4" borderId="1" xfId="0" applyFill="1" applyBorder="1"/>
    <xf numFmtId="164" fontId="0" fillId="4" borderId="1" xfId="0" applyNumberFormat="1" applyFont="1" applyFill="1" applyBorder="1"/>
    <xf numFmtId="165" fontId="0" fillId="4" borderId="1" xfId="0" applyNumberFormat="1" applyFill="1" applyBorder="1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5" fontId="1" fillId="0" borderId="0" xfId="0" applyNumberFormat="1" applyFont="1" applyBorder="1"/>
    <xf numFmtId="0" fontId="0" fillId="5" borderId="1" xfId="0" applyFill="1" applyBorder="1"/>
    <xf numFmtId="165" fontId="1" fillId="5" borderId="1" xfId="0" applyNumberFormat="1" applyFont="1" applyFill="1" applyBorder="1"/>
    <xf numFmtId="165" fontId="0" fillId="5" borderId="1" xfId="0" applyNumberFormat="1" applyFill="1" applyBorder="1"/>
    <xf numFmtId="0" fontId="0" fillId="5" borderId="0" xfId="0" applyFill="1"/>
    <xf numFmtId="165" fontId="1" fillId="5" borderId="0" xfId="0" applyNumberFormat="1" applyFont="1" applyFill="1" applyBorder="1"/>
    <xf numFmtId="0" fontId="4" fillId="5" borderId="0" xfId="0" applyFont="1" applyFill="1"/>
    <xf numFmtId="0" fontId="7" fillId="0" borderId="0" xfId="0" applyFont="1"/>
    <xf numFmtId="165" fontId="7" fillId="0" borderId="0" xfId="0" applyNumberFormat="1" applyFont="1"/>
    <xf numFmtId="165" fontId="7" fillId="0" borderId="0" xfId="0" applyNumberFormat="1" applyFont="1" applyBorder="1"/>
    <xf numFmtId="0" fontId="0" fillId="5" borderId="0" xfId="0" applyFont="1" applyFill="1" applyBorder="1"/>
    <xf numFmtId="165" fontId="0" fillId="5" borderId="0" xfId="0" applyNumberFormat="1" applyFill="1"/>
    <xf numFmtId="0" fontId="0" fillId="5" borderId="0" xfId="0" applyFill="1" applyBorder="1"/>
    <xf numFmtId="0" fontId="1" fillId="0" borderId="0" xfId="0" applyFont="1" applyBorder="1"/>
    <xf numFmtId="165" fontId="0" fillId="0" borderId="0" xfId="1" applyNumberFormat="1" applyFont="1" applyBorder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7"/>
  <sheetViews>
    <sheetView topLeftCell="A48" zoomScale="130" zoomScaleNormal="130" workbookViewId="0">
      <selection activeCell="D44" sqref="D44"/>
    </sheetView>
  </sheetViews>
  <sheetFormatPr defaultRowHeight="15" x14ac:dyDescent="0.25"/>
  <cols>
    <col min="1" max="1" width="21.85546875" customWidth="1"/>
    <col min="2" max="2" width="24.42578125" customWidth="1"/>
    <col min="3" max="3" width="16.5703125" customWidth="1"/>
    <col min="4" max="4" width="16.5703125" style="13" customWidth="1"/>
    <col min="14" max="14" width="16.42578125" customWidth="1"/>
    <col min="15" max="16" width="16.5703125" customWidth="1"/>
    <col min="17" max="17" width="16.5703125" style="13" customWidth="1"/>
    <col min="18" max="18" width="10.7109375" bestFit="1" customWidth="1"/>
    <col min="23" max="27" width="0" hidden="1" customWidth="1"/>
    <col min="28" max="28" width="24.7109375" customWidth="1"/>
    <col min="29" max="31" width="17.85546875" customWidth="1"/>
    <col min="35" max="36" width="10.42578125" bestFit="1" customWidth="1"/>
    <col min="37" max="37" width="11.42578125" bestFit="1" customWidth="1"/>
    <col min="38" max="38" width="12.85546875" customWidth="1"/>
    <col min="39" max="39" width="11" customWidth="1"/>
    <col min="40" max="40" width="8.85546875" bestFit="1" customWidth="1"/>
    <col min="44" max="44" width="14.5703125" customWidth="1"/>
    <col min="48" max="48" width="11.140625" style="2" bestFit="1" customWidth="1"/>
  </cols>
  <sheetData>
    <row r="1" spans="1:48" x14ac:dyDescent="0.25">
      <c r="AE1" s="13"/>
    </row>
    <row r="2" spans="1:48" x14ac:dyDescent="0.25">
      <c r="B2" s="35" t="s">
        <v>0</v>
      </c>
      <c r="O2" s="35" t="s">
        <v>32</v>
      </c>
      <c r="AC2" s="35" t="s">
        <v>36</v>
      </c>
      <c r="AE2" s="13"/>
    </row>
    <row r="3" spans="1:48" x14ac:dyDescent="0.25">
      <c r="AE3" s="13"/>
    </row>
    <row r="4" spans="1:48" x14ac:dyDescent="0.25">
      <c r="B4" t="s">
        <v>1</v>
      </c>
      <c r="C4" s="2">
        <v>3125000</v>
      </c>
      <c r="O4" t="s">
        <v>1</v>
      </c>
      <c r="P4" s="2">
        <v>9230000</v>
      </c>
      <c r="AC4" t="s">
        <v>1</v>
      </c>
      <c r="AD4" s="2">
        <v>3125000</v>
      </c>
      <c r="AE4" s="13"/>
      <c r="AI4" t="s">
        <v>47</v>
      </c>
    </row>
    <row r="5" spans="1:48" x14ac:dyDescent="0.25">
      <c r="AE5" s="13"/>
      <c r="AJ5" t="s">
        <v>37</v>
      </c>
      <c r="AK5" t="s">
        <v>38</v>
      </c>
    </row>
    <row r="6" spans="1:48" x14ac:dyDescent="0.25">
      <c r="A6" t="s">
        <v>12</v>
      </c>
      <c r="C6" t="s">
        <v>13</v>
      </c>
      <c r="K6" s="9"/>
      <c r="N6" t="s">
        <v>12</v>
      </c>
      <c r="P6" t="s">
        <v>13</v>
      </c>
      <c r="AB6" t="s">
        <v>12</v>
      </c>
      <c r="AD6" t="s">
        <v>13</v>
      </c>
      <c r="AE6" s="13"/>
      <c r="AI6" s="22">
        <v>42689</v>
      </c>
      <c r="AJ6" s="23">
        <v>43100</v>
      </c>
      <c r="AK6" s="9">
        <f>_xlfn.DAYS(AJ6,AI6)</f>
        <v>411</v>
      </c>
      <c r="AL6" s="5" t="s">
        <v>39</v>
      </c>
      <c r="AM6" s="3" t="s">
        <v>40</v>
      </c>
      <c r="AN6" s="24">
        <f>AK6/30</f>
        <v>13.7</v>
      </c>
      <c r="AO6" t="s">
        <v>41</v>
      </c>
      <c r="AP6" t="s">
        <v>42</v>
      </c>
      <c r="AQ6" s="3" t="s">
        <v>40</v>
      </c>
      <c r="AR6" s="27">
        <v>1</v>
      </c>
      <c r="AS6" t="s">
        <v>44</v>
      </c>
      <c r="AU6" s="3" t="s">
        <v>40</v>
      </c>
      <c r="AV6" s="2">
        <f>25000*100%</f>
        <v>25000</v>
      </c>
    </row>
    <row r="7" spans="1:48" x14ac:dyDescent="0.25">
      <c r="A7" s="1" t="s">
        <v>2</v>
      </c>
      <c r="B7" s="1" t="s">
        <v>14</v>
      </c>
      <c r="C7">
        <v>0</v>
      </c>
      <c r="D7" s="14" t="s">
        <v>7</v>
      </c>
      <c r="E7">
        <f>10250</f>
        <v>10250</v>
      </c>
      <c r="F7" t="s">
        <v>8</v>
      </c>
      <c r="G7" t="s">
        <v>9</v>
      </c>
      <c r="H7" t="s">
        <v>10</v>
      </c>
      <c r="I7" t="s">
        <v>9</v>
      </c>
      <c r="J7" s="4">
        <f>(109*2*8)/(242*251*8)</f>
        <v>3.5889499851832342E-3</v>
      </c>
      <c r="K7" s="9" t="s">
        <v>11</v>
      </c>
      <c r="L7" s="5">
        <v>0.3</v>
      </c>
      <c r="N7" s="1" t="s">
        <v>2</v>
      </c>
      <c r="O7" s="1" t="s">
        <v>45</v>
      </c>
      <c r="P7" s="2">
        <v>125000</v>
      </c>
      <c r="Q7" s="14" t="s">
        <v>7</v>
      </c>
      <c r="R7" t="s">
        <v>33</v>
      </c>
      <c r="T7" t="s">
        <v>34</v>
      </c>
      <c r="X7" t="s">
        <v>27</v>
      </c>
      <c r="Y7" t="s">
        <v>28</v>
      </c>
      <c r="AB7" s="1" t="s">
        <v>2</v>
      </c>
      <c r="AC7" s="1" t="s">
        <v>24</v>
      </c>
      <c r="AD7" s="17" t="s">
        <v>29</v>
      </c>
      <c r="AE7" s="14"/>
      <c r="AI7" s="21">
        <v>42462</v>
      </c>
      <c r="AJ7" s="21">
        <v>43100</v>
      </c>
      <c r="AK7" s="9">
        <f t="shared" ref="AK7:AK8" si="0">_xlfn.DAYS(AJ7,AI7)</f>
        <v>638</v>
      </c>
      <c r="AL7" s="5" t="s">
        <v>39</v>
      </c>
      <c r="AM7" s="3" t="s">
        <v>40</v>
      </c>
      <c r="AN7" s="24">
        <f t="shared" ref="AN7:AN8" si="1">AK7/30</f>
        <v>21.266666666666666</v>
      </c>
      <c r="AO7" t="s">
        <v>41</v>
      </c>
      <c r="AP7" t="s">
        <v>43</v>
      </c>
      <c r="AQ7" s="3" t="s">
        <v>40</v>
      </c>
      <c r="AR7" s="5">
        <v>0.5</v>
      </c>
      <c r="AS7" t="s">
        <v>44</v>
      </c>
      <c r="AU7" s="3" t="s">
        <v>40</v>
      </c>
      <c r="AV7" s="2">
        <f>210000*AR7</f>
        <v>105000</v>
      </c>
    </row>
    <row r="8" spans="1:48" x14ac:dyDescent="0.25">
      <c r="A8" s="1" t="s">
        <v>3</v>
      </c>
      <c r="B8" s="1" t="s">
        <v>24</v>
      </c>
      <c r="C8" s="2">
        <f>23*1200*20</f>
        <v>552000</v>
      </c>
      <c r="K8" s="9"/>
      <c r="N8" s="1" t="s">
        <v>3</v>
      </c>
      <c r="O8" s="1" t="s">
        <v>24</v>
      </c>
      <c r="P8" s="17" t="s">
        <v>29</v>
      </c>
      <c r="AB8" s="1" t="s">
        <v>3</v>
      </c>
      <c r="AC8" s="1" t="s">
        <v>24</v>
      </c>
      <c r="AD8" s="18">
        <f>25000+210000+175000</f>
        <v>410000</v>
      </c>
      <c r="AE8" s="14" t="s">
        <v>7</v>
      </c>
      <c r="AF8" t="s">
        <v>46</v>
      </c>
      <c r="AI8" s="21">
        <v>42257</v>
      </c>
      <c r="AJ8" s="21">
        <v>43100</v>
      </c>
      <c r="AK8" s="9">
        <f t="shared" si="0"/>
        <v>843</v>
      </c>
      <c r="AL8" s="5" t="s">
        <v>39</v>
      </c>
      <c r="AM8" s="3" t="s">
        <v>40</v>
      </c>
      <c r="AN8" s="24">
        <f t="shared" si="1"/>
        <v>28.1</v>
      </c>
      <c r="AO8" t="s">
        <v>41</v>
      </c>
      <c r="AP8" t="s">
        <v>43</v>
      </c>
      <c r="AQ8" s="3" t="s">
        <v>40</v>
      </c>
      <c r="AR8" s="5">
        <v>0.5</v>
      </c>
      <c r="AS8" t="s">
        <v>44</v>
      </c>
      <c r="AU8" s="3" t="s">
        <v>40</v>
      </c>
      <c r="AV8" s="2">
        <f>(175000-25000)*AR8</f>
        <v>75000</v>
      </c>
    </row>
    <row r="9" spans="1:48" x14ac:dyDescent="0.25">
      <c r="A9" s="1" t="s">
        <v>4</v>
      </c>
      <c r="B9" s="1" t="s">
        <v>24</v>
      </c>
      <c r="C9" s="2">
        <v>114000</v>
      </c>
      <c r="K9" s="9"/>
      <c r="N9" s="1" t="s">
        <v>4</v>
      </c>
      <c r="O9" s="1" t="s">
        <v>14</v>
      </c>
      <c r="P9" s="18">
        <f>R9*50%</f>
        <v>36250</v>
      </c>
      <c r="Q9" s="14" t="s">
        <v>7</v>
      </c>
      <c r="R9" s="2">
        <f>10*7250</f>
        <v>72500</v>
      </c>
      <c r="S9" s="9" t="s">
        <v>27</v>
      </c>
      <c r="T9" s="2">
        <v>60000</v>
      </c>
      <c r="U9" t="s">
        <v>9</v>
      </c>
      <c r="V9" t="s">
        <v>10</v>
      </c>
      <c r="W9" s="9" t="s">
        <v>9</v>
      </c>
      <c r="X9" s="4">
        <f>(185*80*8)/(185*251*8)</f>
        <v>0.31872509960159362</v>
      </c>
      <c r="Y9" s="9" t="s">
        <v>27</v>
      </c>
      <c r="Z9" s="5">
        <v>0.3</v>
      </c>
      <c r="AB9" s="1" t="s">
        <v>4</v>
      </c>
      <c r="AC9" s="1" t="s">
        <v>45</v>
      </c>
      <c r="AD9" s="28">
        <v>0</v>
      </c>
      <c r="AE9" s="14" t="s">
        <v>7</v>
      </c>
      <c r="AF9" s="2" t="s">
        <v>48</v>
      </c>
      <c r="AG9" s="9"/>
      <c r="AH9" s="2"/>
    </row>
    <row r="10" spans="1:48" x14ac:dyDescent="0.25">
      <c r="A10" s="1" t="s">
        <v>5</v>
      </c>
      <c r="B10" s="1" t="s">
        <v>24</v>
      </c>
      <c r="C10" s="2">
        <v>40000</v>
      </c>
      <c r="D10" s="14" t="s">
        <v>7</v>
      </c>
      <c r="E10" t="s">
        <v>25</v>
      </c>
      <c r="G10" t="s">
        <v>26</v>
      </c>
      <c r="K10" s="9" t="s">
        <v>27</v>
      </c>
      <c r="L10" t="s">
        <v>28</v>
      </c>
      <c r="N10" s="1" t="s">
        <v>5</v>
      </c>
      <c r="O10" s="1" t="s">
        <v>24</v>
      </c>
      <c r="P10" s="18">
        <f>7*12500*12</f>
        <v>1050000</v>
      </c>
      <c r="Q10" s="14"/>
      <c r="AB10" s="1" t="s">
        <v>5</v>
      </c>
      <c r="AC10" s="1" t="s">
        <v>45</v>
      </c>
      <c r="AD10" s="28">
        <v>0</v>
      </c>
      <c r="AE10" s="14" t="s">
        <v>7</v>
      </c>
      <c r="AF10" s="2" t="s">
        <v>48</v>
      </c>
    </row>
    <row r="11" spans="1:48" x14ac:dyDescent="0.25">
      <c r="A11" s="1" t="s">
        <v>6</v>
      </c>
      <c r="B11" s="1" t="s">
        <v>24</v>
      </c>
      <c r="C11" s="17" t="s">
        <v>29</v>
      </c>
      <c r="N11" s="1"/>
      <c r="O11" s="1"/>
      <c r="AB11" s="1" t="s">
        <v>6</v>
      </c>
      <c r="AC11" s="1" t="s">
        <v>24</v>
      </c>
      <c r="AD11" s="18">
        <v>255000</v>
      </c>
      <c r="AE11" s="13"/>
    </row>
    <row r="12" spans="1:48" x14ac:dyDescent="0.25">
      <c r="AE12" s="13"/>
    </row>
    <row r="13" spans="1:48" x14ac:dyDescent="0.25">
      <c r="A13" s="1" t="s">
        <v>15</v>
      </c>
      <c r="N13" s="1" t="s">
        <v>15</v>
      </c>
      <c r="AB13" s="1" t="s">
        <v>15</v>
      </c>
      <c r="AE13" s="13"/>
    </row>
    <row r="14" spans="1:48" x14ac:dyDescent="0.25">
      <c r="A14" s="1"/>
      <c r="B14" s="10" t="s">
        <v>17</v>
      </c>
      <c r="C14" s="9" t="s">
        <v>18</v>
      </c>
      <c r="D14" s="13" t="s">
        <v>19</v>
      </c>
      <c r="N14" s="1"/>
      <c r="O14" s="10" t="s">
        <v>17</v>
      </c>
      <c r="P14" s="9" t="s">
        <v>18</v>
      </c>
      <c r="Q14" s="13" t="s">
        <v>19</v>
      </c>
      <c r="AB14" s="1"/>
      <c r="AC14" s="10" t="s">
        <v>17</v>
      </c>
      <c r="AD14" s="9" t="s">
        <v>18</v>
      </c>
      <c r="AE14" s="13" t="s">
        <v>19</v>
      </c>
    </row>
    <row r="15" spans="1:48" x14ac:dyDescent="0.25">
      <c r="A15" s="1" t="s">
        <v>3</v>
      </c>
      <c r="B15" s="11">
        <f>C8</f>
        <v>552000</v>
      </c>
      <c r="C15" s="11"/>
      <c r="D15" s="11">
        <f>B15+C15</f>
        <v>552000</v>
      </c>
      <c r="E15" t="s">
        <v>30</v>
      </c>
      <c r="N15" s="1" t="s">
        <v>2</v>
      </c>
      <c r="O15" s="11"/>
      <c r="P15" s="11">
        <f>-P7</f>
        <v>-125000</v>
      </c>
      <c r="Q15" s="11">
        <f>O15+P15</f>
        <v>-125000</v>
      </c>
      <c r="R15" t="s">
        <v>35</v>
      </c>
      <c r="AB15" s="1" t="s">
        <v>2</v>
      </c>
      <c r="AC15" s="39">
        <f>AC57</f>
        <v>96000</v>
      </c>
      <c r="AD15" s="39">
        <f t="shared" ref="AD15:AE15" si="2">AD57</f>
        <v>-115200</v>
      </c>
      <c r="AE15" s="39">
        <f t="shared" si="2"/>
        <v>-19200</v>
      </c>
    </row>
    <row r="16" spans="1:48" x14ac:dyDescent="0.25">
      <c r="A16" s="1" t="s">
        <v>4</v>
      </c>
      <c r="B16" s="11">
        <f>C9</f>
        <v>114000</v>
      </c>
      <c r="C16" s="11">
        <f>-C9</f>
        <v>-114000</v>
      </c>
      <c r="D16" s="11">
        <f t="shared" ref="D16:D17" si="3">B16+C16</f>
        <v>0</v>
      </c>
      <c r="N16" s="1" t="s">
        <v>3</v>
      </c>
      <c r="O16" s="19">
        <f>O57</f>
        <v>85000</v>
      </c>
      <c r="P16" s="19">
        <f t="shared" ref="P16:Q16" si="4">P57</f>
        <v>-102720</v>
      </c>
      <c r="Q16" s="19">
        <f t="shared" si="4"/>
        <v>-17720</v>
      </c>
      <c r="AB16" s="1" t="s">
        <v>3</v>
      </c>
      <c r="AC16" s="25">
        <f>AD8</f>
        <v>410000</v>
      </c>
      <c r="AD16" s="25">
        <f>-(AV7+AV8+AV6)</f>
        <v>-205000</v>
      </c>
      <c r="AE16" s="25">
        <f>AC16+AD16</f>
        <v>205000</v>
      </c>
    </row>
    <row r="17" spans="1:31" x14ac:dyDescent="0.25">
      <c r="A17" s="1" t="s">
        <v>5</v>
      </c>
      <c r="B17" s="11">
        <f>C10</f>
        <v>40000</v>
      </c>
      <c r="C17" s="11">
        <f>-C10</f>
        <v>-40000</v>
      </c>
      <c r="D17" s="11">
        <f t="shared" si="3"/>
        <v>0</v>
      </c>
      <c r="N17" s="1" t="s">
        <v>5</v>
      </c>
      <c r="O17" s="11">
        <f>P10</f>
        <v>1050000</v>
      </c>
      <c r="P17" s="11">
        <f>-P10</f>
        <v>-1050000</v>
      </c>
      <c r="Q17" s="11">
        <f t="shared" ref="Q17" si="5">O17+P17</f>
        <v>0</v>
      </c>
      <c r="AB17" s="1" t="s">
        <v>4</v>
      </c>
      <c r="AC17" s="25" t="s">
        <v>16</v>
      </c>
      <c r="AD17" s="25" t="s">
        <v>16</v>
      </c>
      <c r="AE17" s="25" t="s">
        <v>16</v>
      </c>
    </row>
    <row r="18" spans="1:31" x14ac:dyDescent="0.25">
      <c r="A18" s="6" t="s">
        <v>6</v>
      </c>
      <c r="B18" s="20">
        <f>B57</f>
        <v>96000</v>
      </c>
      <c r="C18" s="20">
        <f>C57</f>
        <v>-106800</v>
      </c>
      <c r="D18" s="20">
        <f t="shared" ref="C18:D18" si="6">D57</f>
        <v>-10800</v>
      </c>
      <c r="N18" s="6"/>
      <c r="O18" s="12"/>
      <c r="P18" s="12"/>
      <c r="Q18" s="12"/>
      <c r="AB18" s="1" t="s">
        <v>5</v>
      </c>
      <c r="AC18" s="25" t="s">
        <v>16</v>
      </c>
      <c r="AD18" s="25" t="s">
        <v>16</v>
      </c>
      <c r="AE18" s="25" t="s">
        <v>16</v>
      </c>
    </row>
    <row r="19" spans="1:31" x14ac:dyDescent="0.25">
      <c r="A19" s="8" t="s">
        <v>20</v>
      </c>
      <c r="D19" s="13">
        <f>SUM(D15:D18)+C4</f>
        <v>3666200</v>
      </c>
      <c r="N19" s="8" t="s">
        <v>20</v>
      </c>
      <c r="Q19" s="13">
        <f>SUM(Q15:Q18)+P4</f>
        <v>9087280</v>
      </c>
      <c r="AB19" s="1" t="s">
        <v>6</v>
      </c>
      <c r="AC19" s="12">
        <f>AD11</f>
        <v>255000</v>
      </c>
      <c r="AD19" s="12"/>
      <c r="AE19" s="26">
        <f>AC19+AD19</f>
        <v>255000</v>
      </c>
    </row>
    <row r="20" spans="1:31" x14ac:dyDescent="0.25">
      <c r="AB20" s="8" t="s">
        <v>20</v>
      </c>
      <c r="AE20" s="13">
        <f>SUM(AE16:AE19)+AD4</f>
        <v>3585000</v>
      </c>
    </row>
    <row r="21" spans="1:31" x14ac:dyDescent="0.25">
      <c r="A21" s="8" t="s">
        <v>21</v>
      </c>
      <c r="N21" s="8" t="s">
        <v>21</v>
      </c>
      <c r="AE21" s="13"/>
    </row>
    <row r="22" spans="1:31" x14ac:dyDescent="0.25">
      <c r="A22" s="6" t="s">
        <v>2</v>
      </c>
      <c r="B22" s="6"/>
      <c r="C22" s="7"/>
      <c r="D22" s="15">
        <f>-C7</f>
        <v>0</v>
      </c>
      <c r="N22" s="6" t="s">
        <v>2</v>
      </c>
      <c r="O22" s="6"/>
      <c r="P22" s="7"/>
      <c r="Q22" s="15">
        <f>-P9</f>
        <v>-36250</v>
      </c>
      <c r="AB22" s="8" t="s">
        <v>21</v>
      </c>
      <c r="AE22" s="13"/>
    </row>
    <row r="23" spans="1:31" x14ac:dyDescent="0.25">
      <c r="A23" s="8" t="s">
        <v>22</v>
      </c>
      <c r="D23" s="13">
        <f>D19+D22</f>
        <v>3666200</v>
      </c>
      <c r="N23" s="8" t="s">
        <v>22</v>
      </c>
      <c r="Q23" s="13">
        <f>Q19+Q22</f>
        <v>9051030</v>
      </c>
      <c r="AB23" s="6"/>
      <c r="AC23" s="6"/>
      <c r="AD23" s="7"/>
      <c r="AE23" s="15">
        <v>0</v>
      </c>
    </row>
    <row r="24" spans="1:31" x14ac:dyDescent="0.25">
      <c r="AB24" s="8" t="s">
        <v>22</v>
      </c>
      <c r="AE24" s="13">
        <f>AE20+AE23</f>
        <v>3585000</v>
      </c>
    </row>
    <row r="25" spans="1:31" x14ac:dyDescent="0.25">
      <c r="A25" s="8" t="s">
        <v>31</v>
      </c>
      <c r="D25" s="13">
        <v>3666000</v>
      </c>
      <c r="N25" s="8" t="s">
        <v>31</v>
      </c>
      <c r="Q25" s="13">
        <f>9051000</f>
        <v>9051000</v>
      </c>
      <c r="AE25" s="13"/>
    </row>
    <row r="26" spans="1:31" x14ac:dyDescent="0.25">
      <c r="AB26" s="8" t="s">
        <v>31</v>
      </c>
      <c r="AE26" s="29">
        <v>3585000</v>
      </c>
    </row>
    <row r="27" spans="1:31" x14ac:dyDescent="0.25">
      <c r="A27" s="8" t="s">
        <v>23</v>
      </c>
      <c r="D27" s="16">
        <f>D25*0.19</f>
        <v>696540</v>
      </c>
      <c r="N27" s="8" t="s">
        <v>23</v>
      </c>
      <c r="Q27" s="16">
        <f>Q25*0.19</f>
        <v>1719690</v>
      </c>
      <c r="AE27" s="13"/>
    </row>
    <row r="28" spans="1:31" x14ac:dyDescent="0.25">
      <c r="AB28" s="8" t="s">
        <v>23</v>
      </c>
      <c r="AE28" s="16">
        <f>AE26*0.19</f>
        <v>681150</v>
      </c>
    </row>
    <row r="29" spans="1:31" x14ac:dyDescent="0.25">
      <c r="A29" s="8"/>
      <c r="D29" s="16"/>
      <c r="N29" s="8"/>
      <c r="Q29" s="16"/>
    </row>
    <row r="34" spans="1:33" x14ac:dyDescent="0.25">
      <c r="A34" s="35" t="s">
        <v>57</v>
      </c>
      <c r="N34" s="35" t="s">
        <v>57</v>
      </c>
      <c r="AB34" s="35" t="s">
        <v>57</v>
      </c>
      <c r="AE34" s="13"/>
    </row>
    <row r="35" spans="1:33" x14ac:dyDescent="0.25">
      <c r="A35" t="s">
        <v>54</v>
      </c>
      <c r="B35" s="30" t="s">
        <v>55</v>
      </c>
      <c r="N35" t="s">
        <v>54</v>
      </c>
      <c r="O35" s="30" t="s">
        <v>68</v>
      </c>
      <c r="AB35" t="s">
        <v>54</v>
      </c>
      <c r="AC35" s="30" t="s">
        <v>68</v>
      </c>
      <c r="AE35" s="13"/>
    </row>
    <row r="36" spans="1:33" x14ac:dyDescent="0.25">
      <c r="A36" t="s">
        <v>49</v>
      </c>
      <c r="B36">
        <v>2</v>
      </c>
      <c r="C36" s="3" t="s">
        <v>40</v>
      </c>
      <c r="D36" s="13" t="s">
        <v>60</v>
      </c>
      <c r="E36" s="5">
        <v>0.11</v>
      </c>
      <c r="F36" s="31">
        <v>0.2225</v>
      </c>
      <c r="N36" t="s">
        <v>49</v>
      </c>
      <c r="O36">
        <v>2</v>
      </c>
      <c r="P36" s="3" t="s">
        <v>40</v>
      </c>
      <c r="Q36" s="13" t="s">
        <v>69</v>
      </c>
      <c r="R36">
        <v>5</v>
      </c>
      <c r="S36">
        <v>6</v>
      </c>
      <c r="AB36" t="s">
        <v>49</v>
      </c>
      <c r="AC36">
        <v>2</v>
      </c>
      <c r="AD36" s="3" t="s">
        <v>40</v>
      </c>
      <c r="AE36" s="13" t="s">
        <v>69</v>
      </c>
      <c r="AF36">
        <v>5</v>
      </c>
      <c r="AG36">
        <v>6</v>
      </c>
    </row>
    <row r="37" spans="1:33" x14ac:dyDescent="0.25">
      <c r="A37" t="s">
        <v>52</v>
      </c>
      <c r="B37">
        <v>5</v>
      </c>
      <c r="C37" t="s">
        <v>53</v>
      </c>
      <c r="N37" t="s">
        <v>52</v>
      </c>
      <c r="O37">
        <v>5</v>
      </c>
      <c r="P37" t="s">
        <v>53</v>
      </c>
      <c r="AB37" t="s">
        <v>52</v>
      </c>
      <c r="AC37">
        <v>5</v>
      </c>
      <c r="AD37" t="s">
        <v>53</v>
      </c>
      <c r="AE37" s="13"/>
    </row>
    <row r="38" spans="1:33" x14ac:dyDescent="0.25">
      <c r="A38" t="s">
        <v>50</v>
      </c>
      <c r="B38" s="2">
        <v>480000</v>
      </c>
      <c r="N38" t="s">
        <v>50</v>
      </c>
      <c r="O38" s="2">
        <v>321000</v>
      </c>
      <c r="AB38" t="s">
        <v>50</v>
      </c>
      <c r="AC38" s="2">
        <v>480000</v>
      </c>
      <c r="AE38" s="13"/>
    </row>
    <row r="39" spans="1:33" x14ac:dyDescent="0.25">
      <c r="A39" t="s">
        <v>51</v>
      </c>
      <c r="B39" s="21">
        <v>42005</v>
      </c>
      <c r="N39" t="s">
        <v>51</v>
      </c>
      <c r="O39" s="21">
        <v>42430</v>
      </c>
      <c r="AB39" t="s">
        <v>51</v>
      </c>
      <c r="AC39" s="21">
        <v>42005</v>
      </c>
      <c r="AE39" s="13"/>
    </row>
    <row r="40" spans="1:33" x14ac:dyDescent="0.25">
      <c r="AE40" s="13"/>
    </row>
    <row r="41" spans="1:33" x14ac:dyDescent="0.25">
      <c r="A41" t="s">
        <v>56</v>
      </c>
      <c r="B41" t="s">
        <v>58</v>
      </c>
      <c r="N41" t="s">
        <v>56</v>
      </c>
      <c r="O41" t="s">
        <v>70</v>
      </c>
      <c r="AB41" t="s">
        <v>56</v>
      </c>
      <c r="AC41" t="s">
        <v>58</v>
      </c>
      <c r="AE41" s="13"/>
    </row>
    <row r="42" spans="1:33" x14ac:dyDescent="0.25">
      <c r="AE42" s="13"/>
    </row>
    <row r="43" spans="1:33" x14ac:dyDescent="0.25">
      <c r="A43" t="s">
        <v>62</v>
      </c>
      <c r="B43" s="18">
        <f>B38*E36</f>
        <v>52800</v>
      </c>
      <c r="C43" t="s">
        <v>61</v>
      </c>
      <c r="D43" s="13">
        <f>B38*F36</f>
        <v>106800</v>
      </c>
      <c r="N43" t="s">
        <v>62</v>
      </c>
      <c r="O43" s="18">
        <f>O38/R36</f>
        <v>64200</v>
      </c>
      <c r="P43" t="s">
        <v>61</v>
      </c>
      <c r="Q43" s="13">
        <f>(2*($O$38-$O$43))/($S$36-1)</f>
        <v>102720</v>
      </c>
      <c r="AB43" t="s">
        <v>62</v>
      </c>
      <c r="AC43" s="18">
        <f>AC38/AF36</f>
        <v>96000</v>
      </c>
      <c r="AD43" t="s">
        <v>61</v>
      </c>
      <c r="AE43" s="13">
        <f>(2*($AC$38-AC43))/($AG$36-1)</f>
        <v>153600</v>
      </c>
    </row>
    <row r="44" spans="1:33" x14ac:dyDescent="0.25">
      <c r="AE44" s="13"/>
    </row>
    <row r="45" spans="1:33" x14ac:dyDescent="0.25">
      <c r="A45" t="s">
        <v>59</v>
      </c>
      <c r="B45" t="s">
        <v>63</v>
      </c>
      <c r="N45" t="s">
        <v>59</v>
      </c>
      <c r="O45" t="s">
        <v>63</v>
      </c>
      <c r="P45" t="s">
        <v>64</v>
      </c>
      <c r="AB45" t="s">
        <v>59</v>
      </c>
      <c r="AC45" t="s">
        <v>63</v>
      </c>
      <c r="AD45" t="s">
        <v>64</v>
      </c>
      <c r="AE45" s="13"/>
    </row>
    <row r="46" spans="1:33" x14ac:dyDescent="0.25">
      <c r="A46">
        <v>1</v>
      </c>
      <c r="B46" s="18">
        <f>B43</f>
        <v>52800</v>
      </c>
      <c r="N46">
        <v>1</v>
      </c>
      <c r="O46" s="18">
        <f>O43</f>
        <v>64200</v>
      </c>
      <c r="P46" s="18">
        <f>O38-O46</f>
        <v>256800</v>
      </c>
      <c r="AB46">
        <v>1</v>
      </c>
      <c r="AC46" s="18">
        <f>AC43</f>
        <v>96000</v>
      </c>
      <c r="AD46" s="18">
        <f>AC38-AC46</f>
        <v>384000</v>
      </c>
      <c r="AE46" s="13"/>
    </row>
    <row r="47" spans="1:33" x14ac:dyDescent="0.25">
      <c r="A47">
        <v>2</v>
      </c>
      <c r="B47" s="18">
        <f>$D$43</f>
        <v>106800</v>
      </c>
      <c r="N47" s="35">
        <v>2</v>
      </c>
      <c r="O47" s="16">
        <f>(2*P46)/($S$36-1)</f>
        <v>102720</v>
      </c>
      <c r="P47" s="18">
        <f>P46-O47</f>
        <v>154080</v>
      </c>
      <c r="AB47">
        <v>2</v>
      </c>
      <c r="AC47" s="13">
        <f>(2*AD46)/($S$36-1)</f>
        <v>153600</v>
      </c>
      <c r="AD47" s="18">
        <f>AD46-AC47</f>
        <v>230400</v>
      </c>
      <c r="AE47" s="13"/>
    </row>
    <row r="48" spans="1:33" x14ac:dyDescent="0.25">
      <c r="A48" s="35">
        <v>3</v>
      </c>
      <c r="B48" s="36">
        <f>$D$43</f>
        <v>106800</v>
      </c>
      <c r="N48" s="37">
        <v>3</v>
      </c>
      <c r="O48" s="38">
        <f>(2*P47)/($S$36-2)</f>
        <v>77040</v>
      </c>
      <c r="P48" s="18">
        <f>P47-O48</f>
        <v>77040</v>
      </c>
      <c r="AB48" s="35">
        <v>3</v>
      </c>
      <c r="AC48" s="16">
        <f>(2*AD47)/($S$36-2)</f>
        <v>115200</v>
      </c>
      <c r="AD48" s="18">
        <f>AD47-AC48</f>
        <v>115200</v>
      </c>
      <c r="AE48" s="13"/>
    </row>
    <row r="49" spans="1:31" x14ac:dyDescent="0.25">
      <c r="A49">
        <v>4</v>
      </c>
      <c r="B49" s="18">
        <f>$D$43</f>
        <v>106800</v>
      </c>
      <c r="N49">
        <v>4</v>
      </c>
      <c r="O49" s="13">
        <f>(2*P48)/($S$36-3)</f>
        <v>51360</v>
      </c>
      <c r="P49" s="18">
        <f>P48-O49</f>
        <v>25680</v>
      </c>
      <c r="AB49">
        <v>4</v>
      </c>
      <c r="AC49" s="13">
        <f>(2*AD48)/($S$36-3)</f>
        <v>76800</v>
      </c>
      <c r="AD49" s="18">
        <f>AD48-AC49</f>
        <v>38400</v>
      </c>
      <c r="AE49" s="13"/>
    </row>
    <row r="50" spans="1:31" x14ac:dyDescent="0.25">
      <c r="A50" s="7">
        <v>5</v>
      </c>
      <c r="B50" s="32">
        <f>$D$43</f>
        <v>106800</v>
      </c>
      <c r="N50" s="7">
        <v>5</v>
      </c>
      <c r="O50" s="15">
        <f>(2*P49)/($S$36-4)</f>
        <v>25680</v>
      </c>
      <c r="P50" s="32">
        <f>P49-O50</f>
        <v>0</v>
      </c>
      <c r="AB50" s="7">
        <v>5</v>
      </c>
      <c r="AC50" s="15">
        <f>(2*AD49)/($S$36-4)</f>
        <v>38400</v>
      </c>
      <c r="AD50" s="32">
        <f>AD49-AC50</f>
        <v>0</v>
      </c>
      <c r="AE50" s="13"/>
    </row>
    <row r="51" spans="1:31" x14ac:dyDescent="0.25">
      <c r="A51" t="s">
        <v>65</v>
      </c>
      <c r="B51" s="18">
        <f>SUM(B46:B50)</f>
        <v>480000</v>
      </c>
      <c r="N51" t="s">
        <v>65</v>
      </c>
      <c r="O51" s="18">
        <f>SUM(O46:O50)</f>
        <v>321000</v>
      </c>
      <c r="AB51" t="s">
        <v>65</v>
      </c>
      <c r="AC51" s="18">
        <f>SUM(AC46:AC50)</f>
        <v>480000</v>
      </c>
      <c r="AE51" s="13"/>
    </row>
    <row r="52" spans="1:31" x14ac:dyDescent="0.25">
      <c r="A52" s="33" t="s">
        <v>66</v>
      </c>
      <c r="B52" s="34">
        <f>B38-B51</f>
        <v>0</v>
      </c>
      <c r="N52" s="33" t="s">
        <v>66</v>
      </c>
      <c r="O52" s="34">
        <f>O38-O51</f>
        <v>0</v>
      </c>
      <c r="AB52" s="33" t="s">
        <v>66</v>
      </c>
      <c r="AC52" s="34">
        <f>AC38-AC51</f>
        <v>0</v>
      </c>
      <c r="AE52" s="13"/>
    </row>
    <row r="53" spans="1:31" x14ac:dyDescent="0.25">
      <c r="AE53" s="13"/>
    </row>
    <row r="54" spans="1:31" x14ac:dyDescent="0.25">
      <c r="AE54" s="13"/>
    </row>
    <row r="55" spans="1:31" x14ac:dyDescent="0.25">
      <c r="A55" t="s">
        <v>67</v>
      </c>
      <c r="N55" t="s">
        <v>67</v>
      </c>
      <c r="AB55" t="s">
        <v>67</v>
      </c>
      <c r="AE55" s="13"/>
    </row>
    <row r="56" spans="1:31" x14ac:dyDescent="0.25">
      <c r="B56" s="10" t="s">
        <v>17</v>
      </c>
      <c r="C56" s="9" t="s">
        <v>18</v>
      </c>
      <c r="D56" s="13" t="s">
        <v>19</v>
      </c>
      <c r="O56" s="10" t="s">
        <v>17</v>
      </c>
      <c r="P56" s="9" t="s">
        <v>18</v>
      </c>
      <c r="Q56" s="13" t="s">
        <v>19</v>
      </c>
      <c r="AC56" s="10" t="s">
        <v>17</v>
      </c>
      <c r="AD56" s="9" t="s">
        <v>18</v>
      </c>
      <c r="AE56" s="13" t="s">
        <v>19</v>
      </c>
    </row>
    <row r="57" spans="1:31" x14ac:dyDescent="0.25">
      <c r="A57" s="6" t="s">
        <v>6</v>
      </c>
      <c r="B57" s="20">
        <f>96000</f>
        <v>96000</v>
      </c>
      <c r="C57" s="20">
        <f>-B48</f>
        <v>-106800</v>
      </c>
      <c r="D57" s="20">
        <f>B57+C57</f>
        <v>-10800</v>
      </c>
      <c r="N57" s="6" t="s">
        <v>3</v>
      </c>
      <c r="O57" s="20">
        <f>85000</f>
        <v>85000</v>
      </c>
      <c r="P57" s="20">
        <f>-O47</f>
        <v>-102720</v>
      </c>
      <c r="Q57" s="20">
        <f>O57+P57</f>
        <v>-17720</v>
      </c>
      <c r="AB57" s="6" t="s">
        <v>2</v>
      </c>
      <c r="AC57" s="20">
        <v>96000</v>
      </c>
      <c r="AD57" s="20">
        <f>-AC48</f>
        <v>-115200</v>
      </c>
      <c r="AE57" s="20">
        <f>AC57+AD57</f>
        <v>-19200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43"/>
  <sheetViews>
    <sheetView tabSelected="1" topLeftCell="AA15" zoomScaleNormal="100" workbookViewId="0">
      <selection activeCell="AL36" sqref="AL36:AN41"/>
    </sheetView>
  </sheetViews>
  <sheetFormatPr defaultRowHeight="15" x14ac:dyDescent="0.25"/>
  <cols>
    <col min="1" max="1" width="23.140625" customWidth="1"/>
    <col min="2" max="2" width="13.42578125" customWidth="1"/>
    <col min="3" max="3" width="15.85546875" customWidth="1"/>
    <col min="4" max="4" width="11.5703125" customWidth="1"/>
    <col min="5" max="5" width="13.7109375" customWidth="1"/>
    <col min="6" max="6" width="15.5703125" customWidth="1"/>
    <col min="8" max="8" width="25.140625" customWidth="1"/>
    <col min="9" max="10" width="15.5703125" customWidth="1"/>
    <col min="11" max="11" width="13.42578125" customWidth="1"/>
    <col min="16" max="16" width="19.42578125" customWidth="1"/>
    <col min="17" max="17" width="17.42578125" customWidth="1"/>
    <col min="18" max="18" width="15.42578125" customWidth="1"/>
    <col min="19" max="19" width="10.140625" bestFit="1" customWidth="1"/>
    <col min="23" max="23" width="20.28515625" customWidth="1"/>
    <col min="24" max="25" width="20.7109375" customWidth="1"/>
    <col min="26" max="26" width="15.5703125" customWidth="1"/>
    <col min="32" max="32" width="13" bestFit="1" customWidth="1"/>
    <col min="33" max="33" width="11.85546875" customWidth="1"/>
    <col min="34" max="34" width="12.7109375" customWidth="1"/>
    <col min="38" max="38" width="15.140625" customWidth="1"/>
    <col min="39" max="40" width="12.7109375" customWidth="1"/>
    <col min="41" max="41" width="23.28515625" customWidth="1"/>
  </cols>
  <sheetData>
    <row r="2" spans="1:44" x14ac:dyDescent="0.25">
      <c r="A2" s="35" t="s">
        <v>71</v>
      </c>
      <c r="P2" s="35" t="s">
        <v>81</v>
      </c>
      <c r="AE2" s="35" t="s">
        <v>87</v>
      </c>
    </row>
    <row r="4" spans="1:44" x14ac:dyDescent="0.25">
      <c r="A4" s="35" t="s">
        <v>57</v>
      </c>
      <c r="D4" s="13"/>
      <c r="P4" s="35" t="s">
        <v>57</v>
      </c>
      <c r="S4" s="13"/>
      <c r="AE4" s="35" t="s">
        <v>57</v>
      </c>
      <c r="AH4" s="13"/>
    </row>
    <row r="5" spans="1:44" x14ac:dyDescent="0.25">
      <c r="A5" s="35"/>
      <c r="D5" s="13"/>
      <c r="P5" s="35"/>
      <c r="S5" s="13"/>
      <c r="AE5" s="35"/>
      <c r="AH5" s="13"/>
    </row>
    <row r="6" spans="1:44" x14ac:dyDescent="0.25">
      <c r="A6" s="35" t="s">
        <v>72</v>
      </c>
      <c r="D6" s="13"/>
      <c r="H6" s="35" t="s">
        <v>73</v>
      </c>
      <c r="P6" s="35" t="s">
        <v>95</v>
      </c>
      <c r="S6" s="13"/>
      <c r="W6" s="35" t="s">
        <v>94</v>
      </c>
      <c r="AE6" s="35" t="s">
        <v>88</v>
      </c>
      <c r="AH6" s="13"/>
      <c r="AL6" s="35" t="s">
        <v>73</v>
      </c>
    </row>
    <row r="7" spans="1:44" ht="18.600000000000001" customHeight="1" x14ac:dyDescent="0.25">
      <c r="A7" t="s">
        <v>54</v>
      </c>
      <c r="B7" s="30" t="s">
        <v>55</v>
      </c>
      <c r="D7" s="13"/>
      <c r="H7" t="s">
        <v>54</v>
      </c>
      <c r="I7" s="30" t="s">
        <v>68</v>
      </c>
      <c r="K7" s="13"/>
      <c r="P7" t="s">
        <v>54</v>
      </c>
      <c r="Q7" s="30" t="s">
        <v>82</v>
      </c>
      <c r="S7" s="13"/>
      <c r="W7" t="s">
        <v>54</v>
      </c>
      <c r="X7" s="30" t="s">
        <v>55</v>
      </c>
      <c r="Z7" s="13"/>
      <c r="AE7" t="s">
        <v>54</v>
      </c>
      <c r="AF7" s="30" t="s">
        <v>89</v>
      </c>
      <c r="AH7" s="13"/>
      <c r="AL7" t="s">
        <v>54</v>
      </c>
      <c r="AM7" s="30" t="s">
        <v>55</v>
      </c>
      <c r="AO7" s="13"/>
    </row>
    <row r="8" spans="1:44" x14ac:dyDescent="0.25">
      <c r="A8" t="s">
        <v>49</v>
      </c>
      <c r="B8">
        <v>2</v>
      </c>
      <c r="C8" s="3" t="s">
        <v>40</v>
      </c>
      <c r="D8" s="13" t="s">
        <v>60</v>
      </c>
      <c r="E8" s="5">
        <v>0.11</v>
      </c>
      <c r="F8" s="31">
        <v>0.2225</v>
      </c>
      <c r="H8" t="s">
        <v>49</v>
      </c>
      <c r="I8">
        <v>4</v>
      </c>
      <c r="J8" s="3" t="s">
        <v>40</v>
      </c>
      <c r="K8" s="13" t="s">
        <v>69</v>
      </c>
      <c r="L8" s="13">
        <v>20</v>
      </c>
      <c r="M8" s="13">
        <v>21</v>
      </c>
      <c r="N8" s="13">
        <v>20</v>
      </c>
      <c r="P8" t="s">
        <v>49</v>
      </c>
      <c r="Q8">
        <v>2</v>
      </c>
      <c r="R8" s="3" t="s">
        <v>40</v>
      </c>
      <c r="S8" s="13" t="s">
        <v>69</v>
      </c>
      <c r="T8">
        <v>5</v>
      </c>
      <c r="U8">
        <v>6</v>
      </c>
      <c r="W8" t="s">
        <v>49</v>
      </c>
      <c r="X8">
        <v>4</v>
      </c>
      <c r="Y8" s="3" t="s">
        <v>40</v>
      </c>
      <c r="Z8" s="13" t="s">
        <v>60</v>
      </c>
      <c r="AA8" s="5">
        <v>2.1499999999999998E-2</v>
      </c>
      <c r="AB8" s="5">
        <v>5.1499999999999997E-2</v>
      </c>
      <c r="AC8" s="5">
        <v>0.05</v>
      </c>
      <c r="AE8" t="s">
        <v>52</v>
      </c>
      <c r="AF8">
        <v>36</v>
      </c>
      <c r="AG8" t="s">
        <v>41</v>
      </c>
      <c r="AH8" s="13"/>
      <c r="AL8" t="s">
        <v>49</v>
      </c>
      <c r="AM8">
        <v>4</v>
      </c>
      <c r="AN8" s="3" t="s">
        <v>40</v>
      </c>
      <c r="AO8" s="13" t="s">
        <v>60</v>
      </c>
      <c r="AP8" s="5">
        <v>2.1499999999999998E-2</v>
      </c>
      <c r="AQ8" s="5">
        <v>5.1499999999999997E-2</v>
      </c>
      <c r="AR8" s="5">
        <v>0.05</v>
      </c>
    </row>
    <row r="9" spans="1:44" x14ac:dyDescent="0.25">
      <c r="A9" t="s">
        <v>52</v>
      </c>
      <c r="B9">
        <v>5</v>
      </c>
      <c r="C9" t="s">
        <v>53</v>
      </c>
      <c r="D9" s="13"/>
      <c r="H9" t="s">
        <v>52</v>
      </c>
      <c r="I9">
        <v>20</v>
      </c>
      <c r="J9" t="s">
        <v>53</v>
      </c>
      <c r="K9" s="13"/>
      <c r="P9" t="s">
        <v>52</v>
      </c>
      <c r="Q9">
        <v>5</v>
      </c>
      <c r="R9" t="s">
        <v>53</v>
      </c>
      <c r="S9" s="13"/>
      <c r="W9" t="s">
        <v>52</v>
      </c>
      <c r="X9">
        <v>20</v>
      </c>
      <c r="Y9" t="s">
        <v>53</v>
      </c>
      <c r="Z9" s="13"/>
      <c r="AE9" t="s">
        <v>50</v>
      </c>
      <c r="AF9" s="2">
        <v>466600</v>
      </c>
      <c r="AH9" s="13"/>
      <c r="AL9" t="s">
        <v>52</v>
      </c>
      <c r="AM9">
        <v>20</v>
      </c>
      <c r="AN9" t="s">
        <v>53</v>
      </c>
      <c r="AO9" s="13"/>
    </row>
    <row r="10" spans="1:44" x14ac:dyDescent="0.25">
      <c r="A10" t="s">
        <v>50</v>
      </c>
      <c r="B10" s="2">
        <v>321000</v>
      </c>
      <c r="D10" s="13"/>
      <c r="H10" t="s">
        <v>50</v>
      </c>
      <c r="I10" s="2">
        <v>17000000</v>
      </c>
      <c r="K10" s="13"/>
      <c r="P10" t="s">
        <v>50</v>
      </c>
      <c r="Q10" s="2">
        <v>321000</v>
      </c>
      <c r="S10" s="13"/>
      <c r="W10" t="s">
        <v>50</v>
      </c>
      <c r="X10" s="2">
        <v>4280000</v>
      </c>
      <c r="Z10" s="13"/>
      <c r="AE10" t="s">
        <v>51</v>
      </c>
      <c r="AF10" s="21">
        <v>42370</v>
      </c>
      <c r="AH10" s="13"/>
      <c r="AL10" t="s">
        <v>50</v>
      </c>
      <c r="AM10" s="2">
        <v>5320000</v>
      </c>
      <c r="AO10" s="13"/>
    </row>
    <row r="11" spans="1:44" x14ac:dyDescent="0.25">
      <c r="A11" t="s">
        <v>51</v>
      </c>
      <c r="B11" s="21">
        <v>42430</v>
      </c>
      <c r="D11" s="13"/>
      <c r="H11" t="s">
        <v>51</v>
      </c>
      <c r="I11" s="21">
        <v>41395</v>
      </c>
      <c r="K11" s="13"/>
      <c r="P11" t="s">
        <v>51</v>
      </c>
      <c r="Q11" s="21">
        <v>42064</v>
      </c>
      <c r="S11" s="13"/>
      <c r="W11" t="s">
        <v>51</v>
      </c>
      <c r="X11" s="21">
        <v>40664</v>
      </c>
      <c r="Z11" s="13"/>
      <c r="AH11" s="13"/>
      <c r="AL11" t="s">
        <v>51</v>
      </c>
      <c r="AM11" s="21">
        <v>41913</v>
      </c>
      <c r="AO11" s="13"/>
    </row>
    <row r="12" spans="1:44" x14ac:dyDescent="0.25">
      <c r="D12" s="13"/>
      <c r="H12" t="s">
        <v>74</v>
      </c>
      <c r="I12" s="2">
        <v>12450000</v>
      </c>
      <c r="J12" s="56">
        <v>2017</v>
      </c>
      <c r="K12" s="13"/>
      <c r="P12" t="s">
        <v>74</v>
      </c>
      <c r="Q12" s="2">
        <v>285000</v>
      </c>
      <c r="R12" t="s">
        <v>76</v>
      </c>
      <c r="S12" s="21">
        <v>42948</v>
      </c>
      <c r="W12" t="s">
        <v>75</v>
      </c>
      <c r="X12" s="2">
        <v>0</v>
      </c>
      <c r="Y12" t="s">
        <v>76</v>
      </c>
      <c r="Z12" s="21">
        <v>41395</v>
      </c>
      <c r="AE12" t="s">
        <v>56</v>
      </c>
      <c r="AF12" t="s">
        <v>70</v>
      </c>
      <c r="AH12" s="13"/>
      <c r="AL12" t="s">
        <v>75</v>
      </c>
      <c r="AM12" s="2">
        <v>0</v>
      </c>
      <c r="AN12" t="s">
        <v>76</v>
      </c>
      <c r="AO12" s="21" t="s">
        <v>90</v>
      </c>
    </row>
    <row r="13" spans="1:44" x14ac:dyDescent="0.25">
      <c r="A13" t="s">
        <v>56</v>
      </c>
      <c r="B13" t="s">
        <v>70</v>
      </c>
      <c r="D13" s="13"/>
      <c r="H13" t="s">
        <v>75</v>
      </c>
      <c r="I13" s="2">
        <f>136000+221000</f>
        <v>357000</v>
      </c>
      <c r="J13" t="s">
        <v>76</v>
      </c>
      <c r="K13" s="21">
        <v>42583</v>
      </c>
      <c r="L13" t="s">
        <v>78</v>
      </c>
      <c r="X13" s="2">
        <f>336000+215000</f>
        <v>551000</v>
      </c>
      <c r="Y13" t="s">
        <v>76</v>
      </c>
      <c r="Z13" s="21">
        <v>42217</v>
      </c>
      <c r="AA13" t="s">
        <v>86</v>
      </c>
      <c r="AH13" s="13"/>
      <c r="AM13" s="2">
        <f>(150000*2)+(215000*5)</f>
        <v>1375000</v>
      </c>
      <c r="AN13" t="s">
        <v>76</v>
      </c>
      <c r="AO13" s="21" t="s">
        <v>91</v>
      </c>
      <c r="AP13" t="s">
        <v>92</v>
      </c>
    </row>
    <row r="14" spans="1:44" x14ac:dyDescent="0.25">
      <c r="D14" s="13"/>
      <c r="K14" s="13"/>
      <c r="S14" s="13"/>
      <c r="AE14" t="s">
        <v>62</v>
      </c>
      <c r="AF14" s="57">
        <f>AF9/AF8</f>
        <v>12961.111111111111</v>
      </c>
      <c r="AH14" s="13"/>
    </row>
    <row r="15" spans="1:44" x14ac:dyDescent="0.25">
      <c r="A15" t="s">
        <v>62</v>
      </c>
      <c r="B15" s="18">
        <f>B10*E8</f>
        <v>35310</v>
      </c>
      <c r="C15" t="s">
        <v>61</v>
      </c>
      <c r="D15" s="13">
        <f>B10*F8</f>
        <v>71422.5</v>
      </c>
      <c r="H15" t="s">
        <v>56</v>
      </c>
      <c r="I15" t="s">
        <v>77</v>
      </c>
      <c r="K15" s="13"/>
      <c r="P15" t="s">
        <v>56</v>
      </c>
      <c r="Q15" t="s">
        <v>58</v>
      </c>
      <c r="S15" s="13"/>
      <c r="W15" t="s">
        <v>56</v>
      </c>
      <c r="X15" t="s">
        <v>85</v>
      </c>
      <c r="Z15" s="13"/>
      <c r="AH15" s="13"/>
      <c r="AL15" t="s">
        <v>56</v>
      </c>
      <c r="AM15" t="s">
        <v>93</v>
      </c>
      <c r="AO15" s="13"/>
    </row>
    <row r="16" spans="1:44" x14ac:dyDescent="0.25">
      <c r="D16" s="13"/>
      <c r="K16" s="13"/>
      <c r="S16" s="13"/>
      <c r="Z16" s="13"/>
      <c r="AE16" t="s">
        <v>59</v>
      </c>
      <c r="AF16" t="s">
        <v>63</v>
      </c>
      <c r="AG16" t="s">
        <v>64</v>
      </c>
      <c r="AH16" s="13"/>
      <c r="AO16" s="13"/>
    </row>
    <row r="17" spans="1:44" x14ac:dyDescent="0.25">
      <c r="A17" t="s">
        <v>59</v>
      </c>
      <c r="B17" t="s">
        <v>63</v>
      </c>
      <c r="D17" s="13"/>
      <c r="H17" t="s">
        <v>62</v>
      </c>
      <c r="I17" s="18">
        <f>I10/L8</f>
        <v>850000</v>
      </c>
      <c r="J17" t="s">
        <v>61</v>
      </c>
      <c r="K17" s="13">
        <f>(2*(I10-I17))/(M8-1)</f>
        <v>1615000</v>
      </c>
      <c r="P17" t="s">
        <v>62</v>
      </c>
      <c r="Q17" s="18">
        <f>Q10/T8</f>
        <v>64200</v>
      </c>
      <c r="R17" t="s">
        <v>61</v>
      </c>
      <c r="S17" s="13">
        <f>(2*(Q10-Q17))/(U8-1)</f>
        <v>102720</v>
      </c>
      <c r="W17" t="s">
        <v>62</v>
      </c>
      <c r="X17" s="57">
        <f>X10*AA8</f>
        <v>92019.999999999985</v>
      </c>
      <c r="Y17" t="s">
        <v>61</v>
      </c>
      <c r="Z17" s="58">
        <f>(X10-X17)*5.15%</f>
        <v>215680.97000000003</v>
      </c>
      <c r="AE17">
        <v>1</v>
      </c>
      <c r="AF17" s="18">
        <f>AF14*9</f>
        <v>116650</v>
      </c>
      <c r="AG17" s="18">
        <f>AF9-AF17</f>
        <v>349950</v>
      </c>
      <c r="AH17" s="13"/>
      <c r="AL17" t="s">
        <v>62</v>
      </c>
      <c r="AM17" s="57">
        <f>AM10*AP8</f>
        <v>114379.99999999999</v>
      </c>
      <c r="AN17" t="s">
        <v>61</v>
      </c>
      <c r="AO17" s="58">
        <f>(AM10)*AQ8</f>
        <v>273980</v>
      </c>
    </row>
    <row r="18" spans="1:44" x14ac:dyDescent="0.25">
      <c r="A18">
        <v>1</v>
      </c>
      <c r="B18" s="18">
        <f>B15</f>
        <v>35310</v>
      </c>
      <c r="D18" s="13"/>
      <c r="K18" s="13"/>
      <c r="S18" s="13"/>
      <c r="Z18" s="13"/>
      <c r="AE18" s="66">
        <v>2</v>
      </c>
      <c r="AF18" s="67">
        <f>AF14*12</f>
        <v>155533.33333333334</v>
      </c>
      <c r="AG18" s="18">
        <f>AG17-AF18</f>
        <v>194416.66666666666</v>
      </c>
      <c r="AH18" s="13"/>
      <c r="AO18" s="13"/>
    </row>
    <row r="19" spans="1:44" x14ac:dyDescent="0.25">
      <c r="A19" s="35">
        <v>2</v>
      </c>
      <c r="B19" s="36">
        <f>$D$15</f>
        <v>71422.5</v>
      </c>
      <c r="D19" s="13"/>
      <c r="H19" t="s">
        <v>59</v>
      </c>
      <c r="I19" t="s">
        <v>63</v>
      </c>
      <c r="J19" t="s">
        <v>64</v>
      </c>
      <c r="K19" s="13"/>
      <c r="P19" t="s">
        <v>59</v>
      </c>
      <c r="Q19" t="s">
        <v>63</v>
      </c>
      <c r="R19" t="s">
        <v>64</v>
      </c>
      <c r="S19" s="13"/>
      <c r="W19" t="s">
        <v>59</v>
      </c>
      <c r="X19" t="s">
        <v>63</v>
      </c>
      <c r="Y19" t="s">
        <v>64</v>
      </c>
      <c r="Z19" s="13"/>
      <c r="AE19" s="72">
        <v>3</v>
      </c>
      <c r="AF19" s="43">
        <f>AF14*12</f>
        <v>155533.33333333334</v>
      </c>
      <c r="AG19" s="47">
        <f t="shared" ref="AG19" si="0">AG18-AF19</f>
        <v>38883.333333333314</v>
      </c>
      <c r="AH19" s="73"/>
      <c r="AI19" s="42"/>
      <c r="AL19" t="s">
        <v>59</v>
      </c>
      <c r="AM19" t="s">
        <v>63</v>
      </c>
      <c r="AN19" t="s">
        <v>64</v>
      </c>
      <c r="AO19" s="13"/>
    </row>
    <row r="20" spans="1:44" x14ac:dyDescent="0.25">
      <c r="A20" s="37">
        <v>3</v>
      </c>
      <c r="B20" s="43">
        <f t="shared" ref="B20:B22" si="1">$D$15</f>
        <v>71422.5</v>
      </c>
      <c r="C20" s="18">
        <f>B10-(B18+B19*2)</f>
        <v>142845</v>
      </c>
      <c r="D20" s="13"/>
      <c r="H20" s="42">
        <v>1</v>
      </c>
      <c r="I20" s="47">
        <f>I17</f>
        <v>850000</v>
      </c>
      <c r="J20" s="18">
        <f>I10-I20</f>
        <v>16150000</v>
      </c>
      <c r="K20" s="13"/>
      <c r="P20">
        <v>1</v>
      </c>
      <c r="Q20" s="18">
        <f>Q17</f>
        <v>64200</v>
      </c>
      <c r="R20" s="18">
        <f>Q10-Q20</f>
        <v>256800</v>
      </c>
      <c r="S20" s="13"/>
      <c r="W20" s="42">
        <v>1</v>
      </c>
      <c r="X20" s="47">
        <f>X17</f>
        <v>92019.999999999985</v>
      </c>
      <c r="Y20" s="18">
        <f>X10-X20</f>
        <v>4187980</v>
      </c>
      <c r="Z20" s="13"/>
      <c r="AE20" s="7">
        <v>4</v>
      </c>
      <c r="AF20" s="44">
        <f>AF14*3</f>
        <v>38883.333333333336</v>
      </c>
      <c r="AG20" s="32">
        <f>AG19-AF20</f>
        <v>0</v>
      </c>
      <c r="AH20" s="7"/>
      <c r="AI20" s="7"/>
      <c r="AL20" s="42">
        <v>1</v>
      </c>
      <c r="AM20" s="47">
        <f>AM17</f>
        <v>114379.99999999999</v>
      </c>
      <c r="AN20" s="18">
        <f>AM10-AM20</f>
        <v>5205620</v>
      </c>
      <c r="AO20" s="13"/>
    </row>
    <row r="21" spans="1:44" x14ac:dyDescent="0.25">
      <c r="A21">
        <v>4</v>
      </c>
      <c r="B21" s="43">
        <f t="shared" si="1"/>
        <v>71422.5</v>
      </c>
      <c r="D21" s="13"/>
      <c r="H21" s="46">
        <v>2</v>
      </c>
      <c r="I21" s="43">
        <f>2*J20/($M$8-1)</f>
        <v>1615000</v>
      </c>
      <c r="J21" s="18">
        <f t="shared" ref="J21:J34" si="2">J20-I21</f>
        <v>14535000</v>
      </c>
      <c r="K21" s="13"/>
      <c r="P21" s="37">
        <v>2</v>
      </c>
      <c r="Q21" s="40">
        <f>(2*R20)/(U8-1)</f>
        <v>102720</v>
      </c>
      <c r="R21" s="18">
        <f>R20-Q21</f>
        <v>154080</v>
      </c>
      <c r="S21" s="13"/>
      <c r="W21" s="46">
        <v>2</v>
      </c>
      <c r="X21" s="43">
        <f>$X$10*$AB$8</f>
        <v>220420</v>
      </c>
      <c r="Y21" s="18">
        <f>Y20-X21</f>
        <v>3967560</v>
      </c>
      <c r="Z21" s="13"/>
      <c r="AE21" t="s">
        <v>65</v>
      </c>
      <c r="AF21" s="18">
        <f>SUM(AF17:AF20)</f>
        <v>466600.00000000006</v>
      </c>
      <c r="AH21" s="13"/>
      <c r="AL21" s="46">
        <v>2</v>
      </c>
      <c r="AM21" s="43">
        <f>$AM$10*$AQ$8</f>
        <v>273980</v>
      </c>
      <c r="AN21" s="18">
        <f>AN20-AM21</f>
        <v>4931640</v>
      </c>
      <c r="AO21" s="13"/>
    </row>
    <row r="22" spans="1:44" x14ac:dyDescent="0.25">
      <c r="A22" s="7">
        <v>5</v>
      </c>
      <c r="B22" s="44">
        <f t="shared" si="1"/>
        <v>71422.5</v>
      </c>
      <c r="D22" s="13"/>
      <c r="H22" s="46">
        <v>3</v>
      </c>
      <c r="I22" s="43">
        <f>2*J21/($M$8-2)</f>
        <v>1530000</v>
      </c>
      <c r="J22" s="18">
        <f t="shared" si="2"/>
        <v>13005000</v>
      </c>
      <c r="K22" s="13"/>
      <c r="P22" s="35">
        <v>3</v>
      </c>
      <c r="Q22" s="40">
        <f>(2*R21)/($U$8-2)</f>
        <v>77040</v>
      </c>
      <c r="R22" s="18">
        <f t="shared" ref="R22:R24" si="3">R21-Q22</f>
        <v>77040</v>
      </c>
      <c r="S22" s="13"/>
      <c r="W22" s="46">
        <v>3</v>
      </c>
      <c r="X22" s="43">
        <f t="shared" ref="X22:X23" si="4">$X$10*$AB$8</f>
        <v>220420</v>
      </c>
      <c r="Y22" s="18">
        <f t="shared" ref="Y22:Y39" si="5">Y21-X22</f>
        <v>3747140</v>
      </c>
      <c r="Z22" s="13"/>
      <c r="AE22" s="33" t="s">
        <v>66</v>
      </c>
      <c r="AF22" s="34">
        <f>AF9-AF21</f>
        <v>0</v>
      </c>
      <c r="AH22" s="13"/>
      <c r="AL22" s="45">
        <v>3</v>
      </c>
      <c r="AM22" s="48">
        <f>(AM10+AM13)*$AR$8</f>
        <v>334750</v>
      </c>
      <c r="AN22" s="36">
        <f t="shared" ref="AN22:AN39" si="6">AN21-AM22</f>
        <v>4596890</v>
      </c>
      <c r="AO22" s="13"/>
    </row>
    <row r="23" spans="1:44" x14ac:dyDescent="0.25">
      <c r="A23" t="s">
        <v>65</v>
      </c>
      <c r="B23" s="18">
        <f>SUM(B18:B22)</f>
        <v>321000</v>
      </c>
      <c r="D23" s="13"/>
      <c r="H23" s="45">
        <v>4</v>
      </c>
      <c r="I23" s="48">
        <f>2*(J22+I13)/$N$8</f>
        <v>1336200</v>
      </c>
      <c r="J23" s="36">
        <f t="shared" si="2"/>
        <v>11668800</v>
      </c>
      <c r="K23" s="13"/>
      <c r="P23">
        <v>4</v>
      </c>
      <c r="Q23" s="40">
        <f>(2*R22)/($U$8-3)</f>
        <v>51360</v>
      </c>
      <c r="R23" s="18">
        <f t="shared" si="3"/>
        <v>25680</v>
      </c>
      <c r="S23" s="13"/>
      <c r="W23" s="46">
        <v>4</v>
      </c>
      <c r="X23" s="43">
        <f>$X$10*$AB$8</f>
        <v>220420</v>
      </c>
      <c r="Y23" s="40">
        <f t="shared" si="5"/>
        <v>3526720</v>
      </c>
      <c r="Z23" s="13"/>
      <c r="AH23" s="13"/>
      <c r="AL23" s="45">
        <v>4</v>
      </c>
      <c r="AM23" s="68">
        <f>$AM$22</f>
        <v>334750</v>
      </c>
      <c r="AN23" s="36">
        <f t="shared" si="6"/>
        <v>4262140</v>
      </c>
      <c r="AO23" s="13"/>
    </row>
    <row r="24" spans="1:44" x14ac:dyDescent="0.25">
      <c r="A24" s="33" t="s">
        <v>66</v>
      </c>
      <c r="B24" s="34">
        <f>B10-B23</f>
        <v>0</v>
      </c>
      <c r="D24" s="13"/>
      <c r="H24" s="45">
        <v>5</v>
      </c>
      <c r="I24" s="48">
        <f>(2*J23)/($N$8-1)</f>
        <v>1228294.7368421052</v>
      </c>
      <c r="J24" s="36">
        <f t="shared" si="2"/>
        <v>10440505.263157895</v>
      </c>
      <c r="K24" s="13"/>
      <c r="P24" s="7">
        <v>5</v>
      </c>
      <c r="Q24" s="44">
        <f>(2*R23)/($U$8-4)</f>
        <v>25680</v>
      </c>
      <c r="R24" s="32">
        <f t="shared" si="3"/>
        <v>0</v>
      </c>
      <c r="S24" s="13"/>
      <c r="W24" s="45">
        <v>5</v>
      </c>
      <c r="X24" s="59">
        <f>($X$10+$X$13)*$AC$8</f>
        <v>241550</v>
      </c>
      <c r="Y24" s="36">
        <f>Y23-X24</f>
        <v>3285170</v>
      </c>
      <c r="Z24" s="13"/>
      <c r="AL24" s="46">
        <v>5</v>
      </c>
      <c r="AM24" s="59">
        <f t="shared" ref="AM24:AM41" si="7">$AM$22</f>
        <v>334750</v>
      </c>
      <c r="AN24" s="40">
        <f>AN23-AM24</f>
        <v>3927390</v>
      </c>
      <c r="AO24" s="13"/>
    </row>
    <row r="25" spans="1:44" x14ac:dyDescent="0.25">
      <c r="D25" s="13"/>
      <c r="H25" s="46">
        <v>6</v>
      </c>
      <c r="I25" s="49">
        <f>(2*J24)/($N$8-2)</f>
        <v>1160056.1403508773</v>
      </c>
      <c r="J25" s="18">
        <f t="shared" si="2"/>
        <v>9280449.1228070185</v>
      </c>
      <c r="K25" s="13"/>
      <c r="P25" t="s">
        <v>65</v>
      </c>
      <c r="Q25" s="18">
        <f>SUM(Q20:Q24)</f>
        <v>321000</v>
      </c>
      <c r="S25" s="13"/>
      <c r="W25" s="46">
        <v>6</v>
      </c>
      <c r="X25" s="59">
        <f t="shared" ref="X25:X41" si="8">($X$10+$X$13)*$AC$8</f>
        <v>241550</v>
      </c>
      <c r="Y25" s="18">
        <f>Y24-X25</f>
        <v>3043620</v>
      </c>
      <c r="Z25" s="13"/>
      <c r="AE25" t="s">
        <v>67</v>
      </c>
      <c r="AH25" s="13"/>
      <c r="AL25" s="46">
        <v>6</v>
      </c>
      <c r="AM25" s="59">
        <f t="shared" si="7"/>
        <v>334750</v>
      </c>
      <c r="AN25" s="40">
        <f t="shared" si="6"/>
        <v>3592640</v>
      </c>
      <c r="AO25" s="13"/>
    </row>
    <row r="26" spans="1:44" x14ac:dyDescent="0.25">
      <c r="D26" s="13"/>
      <c r="H26" s="46">
        <v>7</v>
      </c>
      <c r="I26" s="49">
        <f>(2*J25)/($N$8-3)</f>
        <v>1091817.5438596492</v>
      </c>
      <c r="J26" s="18">
        <f t="shared" si="2"/>
        <v>8188631.578947369</v>
      </c>
      <c r="K26" s="13"/>
      <c r="P26" s="33" t="s">
        <v>66</v>
      </c>
      <c r="Q26" s="34">
        <f>Q10-Q25</f>
        <v>0</v>
      </c>
      <c r="S26" s="13"/>
      <c r="W26" s="45">
        <v>7</v>
      </c>
      <c r="X26" s="59">
        <f t="shared" si="8"/>
        <v>241550</v>
      </c>
      <c r="Y26" s="36">
        <f>Y25-X26</f>
        <v>2802070</v>
      </c>
      <c r="Z26" s="13"/>
      <c r="AC26" s="42"/>
      <c r="AF26" s="10" t="s">
        <v>17</v>
      </c>
      <c r="AG26" s="9" t="s">
        <v>18</v>
      </c>
      <c r="AH26" s="13" t="s">
        <v>19</v>
      </c>
      <c r="AL26" s="46">
        <v>7</v>
      </c>
      <c r="AM26" s="59">
        <f t="shared" si="7"/>
        <v>334750</v>
      </c>
      <c r="AN26" s="40">
        <f t="shared" si="6"/>
        <v>3257890</v>
      </c>
      <c r="AO26" s="13"/>
      <c r="AR26" s="42"/>
    </row>
    <row r="27" spans="1:44" x14ac:dyDescent="0.25">
      <c r="A27" t="s">
        <v>67</v>
      </c>
      <c r="D27" s="13"/>
      <c r="H27" s="46">
        <v>8</v>
      </c>
      <c r="I27" s="49">
        <f>(2*J26)/($N$8-4)</f>
        <v>1023578.9473684211</v>
      </c>
      <c r="J27" s="18">
        <f t="shared" si="2"/>
        <v>7165052.6315789483</v>
      </c>
      <c r="S27" s="13"/>
      <c r="W27" s="46">
        <v>8</v>
      </c>
      <c r="X27" s="59">
        <f t="shared" si="8"/>
        <v>241550</v>
      </c>
      <c r="Y27" s="18">
        <f>Y26-X27</f>
        <v>2560520</v>
      </c>
      <c r="AC27" s="42"/>
      <c r="AE27" s="41" t="s">
        <v>2</v>
      </c>
      <c r="AF27" s="19">
        <v>65000</v>
      </c>
      <c r="AG27" s="19">
        <f>-AF18</f>
        <v>-155533.33333333334</v>
      </c>
      <c r="AH27" s="19">
        <f>AF27+AG27</f>
        <v>-90533.333333333343</v>
      </c>
      <c r="AI27" s="42"/>
      <c r="AL27" s="46">
        <v>8</v>
      </c>
      <c r="AM27" s="59">
        <f t="shared" si="7"/>
        <v>334750</v>
      </c>
      <c r="AN27" s="40">
        <f t="shared" si="6"/>
        <v>2923140</v>
      </c>
      <c r="AR27" s="42"/>
    </row>
    <row r="28" spans="1:44" x14ac:dyDescent="0.25">
      <c r="B28" s="10" t="s">
        <v>17</v>
      </c>
      <c r="C28" s="9" t="s">
        <v>18</v>
      </c>
      <c r="D28" s="13" t="s">
        <v>19</v>
      </c>
      <c r="H28" s="46">
        <v>9</v>
      </c>
      <c r="I28" s="49">
        <f>(2*J27)/($N$8-5)</f>
        <v>955340.35087719315</v>
      </c>
      <c r="J28" s="18">
        <f t="shared" si="2"/>
        <v>6209712.2807017555</v>
      </c>
      <c r="S28" s="13"/>
      <c r="W28" s="46">
        <v>9</v>
      </c>
      <c r="X28" s="59">
        <f t="shared" si="8"/>
        <v>241550</v>
      </c>
      <c r="Y28" s="18">
        <f t="shared" si="5"/>
        <v>2318970</v>
      </c>
      <c r="AA28" s="42"/>
      <c r="AB28" s="42"/>
      <c r="AC28" s="42"/>
      <c r="AE28" s="6" t="s">
        <v>3</v>
      </c>
      <c r="AF28" s="20">
        <f>210000</f>
        <v>210000</v>
      </c>
      <c r="AG28" s="20">
        <f>-AM23</f>
        <v>-334750</v>
      </c>
      <c r="AH28" s="20">
        <f>AF28+AG28</f>
        <v>-124750</v>
      </c>
      <c r="AI28" s="42"/>
      <c r="AJ28" s="42"/>
      <c r="AL28" s="46">
        <v>9</v>
      </c>
      <c r="AM28" s="59">
        <f t="shared" si="7"/>
        <v>334750</v>
      </c>
      <c r="AN28" s="40">
        <f t="shared" si="6"/>
        <v>2588390</v>
      </c>
      <c r="AP28" s="42"/>
      <c r="AQ28" s="42"/>
      <c r="AR28" s="42"/>
    </row>
    <row r="29" spans="1:44" s="42" customFormat="1" x14ac:dyDescent="0.25">
      <c r="A29" s="41" t="s">
        <v>2</v>
      </c>
      <c r="B29" s="19">
        <v>85000</v>
      </c>
      <c r="C29" s="19">
        <f>-B19</f>
        <v>-71422.5</v>
      </c>
      <c r="D29" s="19">
        <f>B29+C29</f>
        <v>13577.5</v>
      </c>
      <c r="H29" s="46">
        <v>10</v>
      </c>
      <c r="I29" s="49">
        <f>(2*J28)/($N$8-6)</f>
        <v>887101.75438596506</v>
      </c>
      <c r="J29" s="18">
        <f t="shared" si="2"/>
        <v>5322610.5263157906</v>
      </c>
      <c r="K29"/>
      <c r="L29"/>
      <c r="M29"/>
      <c r="P29"/>
      <c r="Q29"/>
      <c r="R29"/>
      <c r="S29"/>
      <c r="T29"/>
      <c r="W29" s="46">
        <v>10</v>
      </c>
      <c r="X29" s="59">
        <f t="shared" si="8"/>
        <v>241550</v>
      </c>
      <c r="Y29" s="18">
        <f>Y28-X29</f>
        <v>2077420</v>
      </c>
      <c r="Z29"/>
      <c r="AE29" s="8"/>
      <c r="AF29" s="25"/>
      <c r="AG29" s="25"/>
      <c r="AH29" s="25">
        <f>SUM(AH27:AH28)</f>
        <v>-215283.33333333334</v>
      </c>
      <c r="AL29" s="46">
        <v>10</v>
      </c>
      <c r="AM29" s="59">
        <f t="shared" si="7"/>
        <v>334750</v>
      </c>
      <c r="AN29" s="40">
        <f t="shared" si="6"/>
        <v>2253640</v>
      </c>
      <c r="AO29"/>
    </row>
    <row r="30" spans="1:44" s="42" customFormat="1" x14ac:dyDescent="0.25">
      <c r="A30" s="41" t="s">
        <v>79</v>
      </c>
      <c r="B30" s="19">
        <f>270000</f>
        <v>270000</v>
      </c>
      <c r="C30" s="19">
        <f>-I24/2</f>
        <v>-614147.36842105258</v>
      </c>
      <c r="D30" s="19">
        <f>B30+C30</f>
        <v>-344147.36842105258</v>
      </c>
      <c r="H30" s="46">
        <v>11</v>
      </c>
      <c r="I30" s="49">
        <f>(2*J29)/($N$8-7)</f>
        <v>818863.15789473697</v>
      </c>
      <c r="J30" s="18">
        <f t="shared" si="2"/>
        <v>4503747.3684210535</v>
      </c>
      <c r="K30"/>
      <c r="L30"/>
      <c r="M30"/>
      <c r="P30" t="s">
        <v>67</v>
      </c>
      <c r="Q30"/>
      <c r="R30"/>
      <c r="S30" s="13"/>
      <c r="T30"/>
      <c r="W30" s="46">
        <v>11</v>
      </c>
      <c r="X30" s="59">
        <f t="shared" si="8"/>
        <v>241550</v>
      </c>
      <c r="Y30" s="18">
        <f t="shared" si="5"/>
        <v>1835870</v>
      </c>
      <c r="Z30"/>
      <c r="AH30" s="47"/>
      <c r="AL30" s="46">
        <v>11</v>
      </c>
      <c r="AM30" s="59">
        <f t="shared" si="7"/>
        <v>334750</v>
      </c>
      <c r="AN30" s="40">
        <f t="shared" si="6"/>
        <v>1918890</v>
      </c>
      <c r="AO30"/>
    </row>
    <row r="31" spans="1:44" s="42" customFormat="1" x14ac:dyDescent="0.25">
      <c r="A31" s="6" t="s">
        <v>80</v>
      </c>
      <c r="B31" s="20">
        <f>I12</f>
        <v>12450000</v>
      </c>
      <c r="C31" s="20">
        <f>-J24</f>
        <v>-10440505.263157895</v>
      </c>
      <c r="D31" s="20">
        <f>B31+C31</f>
        <v>2009494.7368421052</v>
      </c>
      <c r="H31" s="46">
        <v>12</v>
      </c>
      <c r="I31" s="49">
        <f>(2*J30)/($N$8-8)</f>
        <v>750624.56140350888</v>
      </c>
      <c r="J31" s="18">
        <f t="shared" si="2"/>
        <v>3753122.8070175448</v>
      </c>
      <c r="P31"/>
      <c r="Q31" s="10" t="s">
        <v>17</v>
      </c>
      <c r="R31" s="9" t="s">
        <v>18</v>
      </c>
      <c r="S31" s="13" t="s">
        <v>19</v>
      </c>
      <c r="T31"/>
      <c r="W31" s="46">
        <v>12</v>
      </c>
      <c r="X31" s="59">
        <f t="shared" si="8"/>
        <v>241550</v>
      </c>
      <c r="Y31" s="18">
        <f t="shared" si="5"/>
        <v>1594320</v>
      </c>
      <c r="AL31" s="46">
        <v>12</v>
      </c>
      <c r="AM31" s="59">
        <f t="shared" si="7"/>
        <v>334750</v>
      </c>
      <c r="AN31" s="18">
        <f t="shared" si="6"/>
        <v>1584140</v>
      </c>
    </row>
    <row r="32" spans="1:44" s="42" customFormat="1" x14ac:dyDescent="0.25">
      <c r="D32" s="47">
        <f>SUM(D29:D31)</f>
        <v>1678924.8684210526</v>
      </c>
      <c r="H32" s="46">
        <v>13</v>
      </c>
      <c r="I32" s="49">
        <f>(2*J31)/($N$8-9)</f>
        <v>682385.96491228091</v>
      </c>
      <c r="J32" s="18">
        <f t="shared" si="2"/>
        <v>3070736.8421052638</v>
      </c>
      <c r="P32" s="41" t="s">
        <v>84</v>
      </c>
      <c r="Q32" s="19">
        <v>30000</v>
      </c>
      <c r="R32" s="19">
        <f>-Q22/2</f>
        <v>-38520</v>
      </c>
      <c r="S32" s="19">
        <f>Q32+R32</f>
        <v>-8520</v>
      </c>
      <c r="W32" s="46">
        <v>13</v>
      </c>
      <c r="X32" s="59">
        <f t="shared" si="8"/>
        <v>241550</v>
      </c>
      <c r="Y32" s="18">
        <f t="shared" si="5"/>
        <v>1352770</v>
      </c>
      <c r="AA32"/>
      <c r="AB32"/>
      <c r="AC32"/>
      <c r="AL32" s="46">
        <v>13</v>
      </c>
      <c r="AM32" s="59">
        <f t="shared" si="7"/>
        <v>334750</v>
      </c>
      <c r="AN32" s="18">
        <f t="shared" si="6"/>
        <v>1249390</v>
      </c>
      <c r="AP32"/>
      <c r="AQ32"/>
      <c r="AR32"/>
    </row>
    <row r="33" spans="8:44" s="42" customFormat="1" x14ac:dyDescent="0.25">
      <c r="H33" s="46">
        <v>14</v>
      </c>
      <c r="I33" s="49">
        <f>(2*J32)/($N$8-10)</f>
        <v>614147.36842105282</v>
      </c>
      <c r="J33" s="18">
        <f t="shared" si="2"/>
        <v>2456589.4736842113</v>
      </c>
      <c r="P33" s="41" t="s">
        <v>83</v>
      </c>
      <c r="Q33" s="19">
        <f>Q12</f>
        <v>285000</v>
      </c>
      <c r="R33" s="19">
        <f>-R22</f>
        <v>-77040</v>
      </c>
      <c r="S33" s="19">
        <f>Q33+R33</f>
        <v>207960</v>
      </c>
      <c r="W33" s="46">
        <v>14</v>
      </c>
      <c r="X33" s="59">
        <f t="shared" si="8"/>
        <v>241550</v>
      </c>
      <c r="Y33" s="18">
        <f t="shared" si="5"/>
        <v>1111220</v>
      </c>
      <c r="AA33"/>
      <c r="AB33"/>
      <c r="AC33"/>
      <c r="AE33"/>
      <c r="AF33"/>
      <c r="AG33"/>
      <c r="AH33"/>
      <c r="AI33"/>
      <c r="AL33" s="46">
        <v>14</v>
      </c>
      <c r="AM33" s="59">
        <f t="shared" si="7"/>
        <v>334750</v>
      </c>
      <c r="AN33" s="18">
        <f t="shared" si="6"/>
        <v>914640</v>
      </c>
      <c r="AP33"/>
      <c r="AQ33"/>
      <c r="AR33"/>
    </row>
    <row r="34" spans="8:44" s="42" customFormat="1" x14ac:dyDescent="0.25">
      <c r="H34" s="46">
        <v>15</v>
      </c>
      <c r="I34" s="49">
        <f>(2*J33)/($N$8-11)</f>
        <v>545908.77192982472</v>
      </c>
      <c r="J34" s="18">
        <f t="shared" si="2"/>
        <v>1910680.7017543865</v>
      </c>
      <c r="P34" s="6" t="s">
        <v>3</v>
      </c>
      <c r="Q34" s="20">
        <f>775000</f>
        <v>775000</v>
      </c>
      <c r="R34" s="20">
        <f>-X26</f>
        <v>-241550</v>
      </c>
      <c r="S34" s="20">
        <f>Q34+R34</f>
        <v>533450</v>
      </c>
      <c r="W34" s="46">
        <v>15</v>
      </c>
      <c r="X34" s="59">
        <f t="shared" si="8"/>
        <v>241550</v>
      </c>
      <c r="Y34" s="18">
        <f t="shared" si="5"/>
        <v>869670</v>
      </c>
      <c r="AA34"/>
      <c r="AB34"/>
      <c r="AC34"/>
      <c r="AE34"/>
      <c r="AF34"/>
      <c r="AG34"/>
      <c r="AH34"/>
      <c r="AI34"/>
      <c r="AJ34"/>
      <c r="AL34" s="46">
        <v>15</v>
      </c>
      <c r="AM34" s="59">
        <f t="shared" si="7"/>
        <v>334750</v>
      </c>
      <c r="AN34" s="18">
        <f t="shared" si="6"/>
        <v>579890</v>
      </c>
      <c r="AP34"/>
      <c r="AQ34"/>
      <c r="AR34"/>
    </row>
    <row r="35" spans="8:44" x14ac:dyDescent="0.25">
      <c r="H35" s="46">
        <v>16</v>
      </c>
      <c r="I35" s="49">
        <f>(2*J34)/($N$8-12)</f>
        <v>477670.17543859663</v>
      </c>
      <c r="J35" s="18">
        <f t="shared" ref="J35:J38" si="9">J34-I35</f>
        <v>1433010.5263157899</v>
      </c>
      <c r="P35" s="42"/>
      <c r="Q35" s="42"/>
      <c r="R35" s="42"/>
      <c r="S35" s="47">
        <f>SUM(S32:S34)</f>
        <v>732890</v>
      </c>
      <c r="T35" s="42"/>
      <c r="W35" s="46">
        <v>16</v>
      </c>
      <c r="X35" s="59">
        <f t="shared" si="8"/>
        <v>241550</v>
      </c>
      <c r="Y35" s="18">
        <f t="shared" si="5"/>
        <v>628120</v>
      </c>
      <c r="AL35" s="46">
        <v>16</v>
      </c>
      <c r="AM35" s="59">
        <f t="shared" si="7"/>
        <v>334750</v>
      </c>
      <c r="AN35" s="18">
        <f t="shared" si="6"/>
        <v>245140</v>
      </c>
    </row>
    <row r="36" spans="8:44" x14ac:dyDescent="0.25">
      <c r="H36" s="46">
        <v>17</v>
      </c>
      <c r="I36" s="49">
        <f>(2*J35)/($N$8-13)</f>
        <v>409431.57894736854</v>
      </c>
      <c r="J36" s="18">
        <f t="shared" si="9"/>
        <v>1023578.9473684214</v>
      </c>
      <c r="P36" s="42"/>
      <c r="Q36" s="42"/>
      <c r="R36" s="42"/>
      <c r="S36" s="42"/>
      <c r="T36" s="42"/>
      <c r="W36" s="46">
        <v>17</v>
      </c>
      <c r="X36" s="59">
        <f t="shared" si="8"/>
        <v>241550</v>
      </c>
      <c r="Y36" s="18">
        <f t="shared" si="5"/>
        <v>386570</v>
      </c>
      <c r="AL36" s="69">
        <v>17</v>
      </c>
      <c r="AM36" s="64">
        <f t="shared" si="7"/>
        <v>334750</v>
      </c>
      <c r="AN36" s="70">
        <f t="shared" si="6"/>
        <v>-89610</v>
      </c>
    </row>
    <row r="37" spans="8:44" x14ac:dyDescent="0.25">
      <c r="H37" s="46">
        <v>18</v>
      </c>
      <c r="I37" s="49">
        <f>(2*J36)/($N$8-14)</f>
        <v>341192.98245614045</v>
      </c>
      <c r="J37" s="18">
        <f t="shared" si="9"/>
        <v>682385.96491228091</v>
      </c>
      <c r="P37" s="42"/>
      <c r="Q37" s="42"/>
      <c r="R37" s="42"/>
      <c r="S37" s="42"/>
      <c r="T37" s="42"/>
      <c r="W37" s="46">
        <v>18</v>
      </c>
      <c r="X37" s="59">
        <f>($X$10+$X$13)*$AC$8</f>
        <v>241550</v>
      </c>
      <c r="Y37" s="18">
        <f>Y36-X37</f>
        <v>145020</v>
      </c>
      <c r="AL37" s="69">
        <v>18</v>
      </c>
      <c r="AM37" s="64">
        <f t="shared" si="7"/>
        <v>334750</v>
      </c>
      <c r="AN37" s="70">
        <f t="shared" si="6"/>
        <v>-424360</v>
      </c>
    </row>
    <row r="38" spans="8:44" x14ac:dyDescent="0.25">
      <c r="H38" s="42">
        <v>19</v>
      </c>
      <c r="I38" s="49">
        <f>(2*J37)/($N$8-15)</f>
        <v>272954.38596491236</v>
      </c>
      <c r="J38" s="18">
        <f t="shared" si="9"/>
        <v>409431.57894736854</v>
      </c>
      <c r="W38" s="42">
        <v>19</v>
      </c>
      <c r="X38" s="59">
        <f t="shared" ref="X38:X39" si="10">($X$10+$X$13)*$AC$8</f>
        <v>241550</v>
      </c>
      <c r="Y38" s="18">
        <f t="shared" ref="Y38:Y39" si="11">Y37-X38</f>
        <v>-96530</v>
      </c>
      <c r="AL38" s="71">
        <v>19</v>
      </c>
      <c r="AM38" s="64">
        <f t="shared" si="7"/>
        <v>334750</v>
      </c>
      <c r="AN38" s="70">
        <f t="shared" si="6"/>
        <v>-759110</v>
      </c>
    </row>
    <row r="39" spans="8:44" x14ac:dyDescent="0.25">
      <c r="H39" s="42">
        <v>20</v>
      </c>
      <c r="I39" s="49">
        <f>(2*J38)/($N$8-16)</f>
        <v>204715.78947368427</v>
      </c>
      <c r="J39" s="47">
        <f>J38-I39</f>
        <v>204715.78947368427</v>
      </c>
      <c r="W39" s="60">
        <v>20</v>
      </c>
      <c r="X39" s="61">
        <f t="shared" si="10"/>
        <v>241550</v>
      </c>
      <c r="Y39" s="62">
        <f t="shared" si="11"/>
        <v>-338080</v>
      </c>
      <c r="AL39" s="60">
        <v>20</v>
      </c>
      <c r="AM39" s="61">
        <f t="shared" si="7"/>
        <v>334750</v>
      </c>
      <c r="AN39" s="62">
        <f t="shared" si="6"/>
        <v>-1093860</v>
      </c>
    </row>
    <row r="40" spans="8:44" x14ac:dyDescent="0.25">
      <c r="H40" s="50">
        <v>21</v>
      </c>
      <c r="I40" s="51">
        <f>(2*J39)/($N$8-17)</f>
        <v>136477.19298245618</v>
      </c>
      <c r="J40" s="52">
        <f t="shared" ref="J40:J41" si="12">J39-I40</f>
        <v>68238.596491228091</v>
      </c>
      <c r="W40" s="63" t="s">
        <v>65</v>
      </c>
      <c r="X40" s="64">
        <f>SUM(X20:X38)</f>
        <v>4376530</v>
      </c>
      <c r="Y40" s="63"/>
      <c r="AL40" s="63" t="s">
        <v>65</v>
      </c>
      <c r="AM40" s="64"/>
      <c r="AN40" s="63"/>
    </row>
    <row r="41" spans="8:44" x14ac:dyDescent="0.25">
      <c r="H41" s="53">
        <v>22</v>
      </c>
      <c r="I41" s="54">
        <f>(2*J40)/($N$8-18)</f>
        <v>68238.596491228091</v>
      </c>
      <c r="J41" s="55">
        <f t="shared" si="12"/>
        <v>0</v>
      </c>
      <c r="W41" s="65" t="s">
        <v>66</v>
      </c>
      <c r="X41" s="64">
        <f>X40-X10+X13</f>
        <v>647530</v>
      </c>
      <c r="Y41" s="63"/>
      <c r="AL41" s="65" t="s">
        <v>66</v>
      </c>
      <c r="AM41" s="64"/>
      <c r="AN41" s="63"/>
    </row>
    <row r="42" spans="8:44" x14ac:dyDescent="0.25">
      <c r="H42" t="s">
        <v>65</v>
      </c>
      <c r="I42" s="18">
        <f>SUM(I20:I41)</f>
        <v>17000000</v>
      </c>
      <c r="J42" s="47"/>
    </row>
    <row r="43" spans="8:44" x14ac:dyDescent="0.25">
      <c r="H43" s="33" t="s">
        <v>66</v>
      </c>
      <c r="I43" s="34">
        <f>I10-I42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Ex.1-3</vt:lpstr>
      <vt:lpstr>Ex.4-6 (depreciation)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Oleksandra</dc:creator>
  <cp:lastModifiedBy>CIKT</cp:lastModifiedBy>
  <dcterms:created xsi:type="dcterms:W3CDTF">2019-04-10T17:17:24Z</dcterms:created>
  <dcterms:modified xsi:type="dcterms:W3CDTF">2019-04-18T17:04:08Z</dcterms:modified>
</cp:coreProperties>
</file>