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axation\"/>
    </mc:Choice>
  </mc:AlternateContent>
  <bookViews>
    <workbookView xWindow="0" yWindow="0" windowWidth="19200" windowHeight="6945" activeTab="1"/>
  </bookViews>
  <sheets>
    <sheet name="Ex.1-3 (full examples)" sheetId="1" r:id="rId1"/>
    <sheet name="Ex.4-6 (full examples)" sheetId="2" r:id="rId2"/>
    <sheet name="Ex. 7-10 (without depreciation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J17" i="3"/>
  <c r="C16" i="3"/>
  <c r="B16" i="3"/>
  <c r="C8" i="3"/>
  <c r="AN24" i="2"/>
  <c r="AL20" i="2"/>
  <c r="AM9" i="2"/>
  <c r="W18" i="2"/>
  <c r="C58" i="2"/>
  <c r="C16" i="2"/>
  <c r="C19" i="2"/>
  <c r="B19" i="2"/>
  <c r="AB23" i="3" l="1"/>
  <c r="AB19" i="3"/>
  <c r="Z19" i="3"/>
  <c r="AA18" i="3"/>
  <c r="Z18" i="3"/>
  <c r="AB18" i="3" s="1"/>
  <c r="AA17" i="3"/>
  <c r="AA10" i="3"/>
  <c r="AA8" i="3"/>
  <c r="Z16" i="3" s="1"/>
  <c r="AA9" i="3"/>
  <c r="AB28" i="3"/>
  <c r="T21" i="3"/>
  <c r="R17" i="3"/>
  <c r="S8" i="3"/>
  <c r="S16" i="3" s="1"/>
  <c r="L17" i="3"/>
  <c r="K9" i="3"/>
  <c r="K16" i="3" s="1"/>
  <c r="K8" i="3"/>
  <c r="J15" i="3" s="1"/>
  <c r="D23" i="3"/>
  <c r="C10" i="3"/>
  <c r="B18" i="3" s="1"/>
  <c r="C9" i="3"/>
  <c r="B17" i="3" s="1"/>
  <c r="T26" i="3"/>
  <c r="D28" i="3"/>
  <c r="L26" i="3"/>
  <c r="B19" i="3"/>
  <c r="AL18" i="2"/>
  <c r="AL16" i="2"/>
  <c r="AM10" i="2"/>
  <c r="AL19" i="2" s="1"/>
  <c r="AM18" i="2"/>
  <c r="AN29" i="2"/>
  <c r="X10" i="2"/>
  <c r="Y18" i="2" s="1"/>
  <c r="W15" i="2"/>
  <c r="Y27" i="2"/>
  <c r="D28" i="2"/>
  <c r="C11" i="2"/>
  <c r="AD8" i="1"/>
  <c r="T8" i="2"/>
  <c r="T7" i="2"/>
  <c r="T6" i="2"/>
  <c r="J8" i="2"/>
  <c r="M8" i="2" s="1"/>
  <c r="J7" i="2"/>
  <c r="M7" i="2" s="1"/>
  <c r="M6" i="2"/>
  <c r="B18" i="2"/>
  <c r="D18" i="2" s="1"/>
  <c r="B15" i="2"/>
  <c r="D23" i="2"/>
  <c r="AA16" i="3" l="1"/>
  <c r="AB16" i="3" s="1"/>
  <c r="AB20" i="3" s="1"/>
  <c r="AB24" i="3" s="1"/>
  <c r="Z17" i="3"/>
  <c r="AB17" i="3" s="1"/>
  <c r="R16" i="3"/>
  <c r="T16" i="3" s="1"/>
  <c r="J16" i="3"/>
  <c r="L16" i="3" s="1"/>
  <c r="D16" i="3"/>
  <c r="K15" i="3"/>
  <c r="L15" i="3" s="1"/>
  <c r="C17" i="3"/>
  <c r="D17" i="3" s="1"/>
  <c r="C18" i="3"/>
  <c r="D18" i="3" s="1"/>
  <c r="D19" i="3"/>
  <c r="T17" i="3"/>
  <c r="AN18" i="2"/>
  <c r="AN19" i="2"/>
  <c r="D19" i="2"/>
  <c r="AM19" i="2"/>
  <c r="AU47" i="2"/>
  <c r="AD41" i="2"/>
  <c r="AF45" i="2"/>
  <c r="D43" i="2"/>
  <c r="D43" i="1"/>
  <c r="L18" i="3" l="1"/>
  <c r="L22" i="3" s="1"/>
  <c r="D20" i="3"/>
  <c r="D24" i="3" s="1"/>
  <c r="T18" i="3"/>
  <c r="T22" i="3" s="1"/>
  <c r="AL58" i="2"/>
  <c r="AL17" i="2" s="1"/>
  <c r="AS51" i="2"/>
  <c r="AS47" i="2"/>
  <c r="AS50" i="2" s="1"/>
  <c r="AL44" i="2"/>
  <c r="AL48" i="2" s="1"/>
  <c r="AM57" i="2" s="1"/>
  <c r="B47" i="1"/>
  <c r="AD51" i="2"/>
  <c r="AD50" i="2"/>
  <c r="AD49" i="2"/>
  <c r="AD45" i="2"/>
  <c r="AD48" i="2" s="1"/>
  <c r="I45" i="2"/>
  <c r="Q25" i="1"/>
  <c r="Q43" i="1"/>
  <c r="O43" i="1"/>
  <c r="B50" i="1"/>
  <c r="B49" i="1"/>
  <c r="B48" i="1"/>
  <c r="B43" i="1"/>
  <c r="B46" i="1" s="1"/>
  <c r="B51" i="1" s="1"/>
  <c r="B52" i="1" s="1"/>
  <c r="AN57" i="2" l="1"/>
  <c r="AM16" i="2"/>
  <c r="AN16" i="2" s="1"/>
  <c r="AL50" i="2"/>
  <c r="AL47" i="2"/>
  <c r="AS43" i="2"/>
  <c r="AS52" i="2" s="1"/>
  <c r="AL49" i="2"/>
  <c r="W62" i="2"/>
  <c r="W17" i="2" s="1"/>
  <c r="W61" i="2"/>
  <c r="W16" i="2" s="1"/>
  <c r="W45" i="2"/>
  <c r="Y45" i="2" s="1"/>
  <c r="B59" i="2"/>
  <c r="B17" i="2" s="1"/>
  <c r="B58" i="2"/>
  <c r="B16" i="2" s="1"/>
  <c r="K45" i="2"/>
  <c r="I41" i="2"/>
  <c r="I48" i="2"/>
  <c r="B47" i="2"/>
  <c r="B43" i="2"/>
  <c r="B46" i="2" s="1"/>
  <c r="AC15" i="1"/>
  <c r="O57" i="1"/>
  <c r="O16" i="1" s="1"/>
  <c r="AC43" i="1"/>
  <c r="O46" i="1"/>
  <c r="B57" i="1"/>
  <c r="B18" i="1" l="1"/>
  <c r="P46" i="1"/>
  <c r="AC46" i="1"/>
  <c r="AE43" i="1"/>
  <c r="C48" i="2"/>
  <c r="C57" i="2"/>
  <c r="D57" i="2" s="1"/>
  <c r="C15" i="2"/>
  <c r="D15" i="2" s="1"/>
  <c r="AS56" i="2"/>
  <c r="AS60" i="2"/>
  <c r="AS64" i="2"/>
  <c r="AS68" i="2"/>
  <c r="AS63" i="2"/>
  <c r="AS67" i="2"/>
  <c r="AS53" i="2"/>
  <c r="AM58" i="2" s="1"/>
  <c r="AS57" i="2"/>
  <c r="AS61" i="2"/>
  <c r="AS65" i="2"/>
  <c r="AS69" i="2"/>
  <c r="AS55" i="2"/>
  <c r="AS54" i="2"/>
  <c r="AS58" i="2"/>
  <c r="AS62" i="2"/>
  <c r="AS66" i="2"/>
  <c r="AS59" i="2"/>
  <c r="AL51" i="2"/>
  <c r="AD52" i="2"/>
  <c r="AD66" i="2"/>
  <c r="AD54" i="2"/>
  <c r="X62" i="2" s="1"/>
  <c r="X17" i="2" s="1"/>
  <c r="Y17" i="2" s="1"/>
  <c r="AD58" i="2"/>
  <c r="AD62" i="2"/>
  <c r="AD53" i="2"/>
  <c r="AD61" i="2"/>
  <c r="AD67" i="2"/>
  <c r="AD55" i="2"/>
  <c r="AD59" i="2"/>
  <c r="AD63" i="2"/>
  <c r="AD65" i="2"/>
  <c r="AD56" i="2"/>
  <c r="AD60" i="2"/>
  <c r="AD64" i="2"/>
  <c r="AD57" i="2"/>
  <c r="J48" i="2"/>
  <c r="I49" i="2" s="1"/>
  <c r="O47" i="1"/>
  <c r="C57" i="1"/>
  <c r="C18" i="1" s="1"/>
  <c r="AT50" i="2"/>
  <c r="AE48" i="2"/>
  <c r="W48" i="2"/>
  <c r="X48" i="2" s="1"/>
  <c r="B48" i="2"/>
  <c r="B50" i="2"/>
  <c r="B49" i="2"/>
  <c r="AD46" i="1"/>
  <c r="AC47" i="1" s="1"/>
  <c r="AE28" i="1"/>
  <c r="AV6" i="1"/>
  <c r="P10" i="1"/>
  <c r="X9" i="1"/>
  <c r="D22" i="1"/>
  <c r="J7" i="1"/>
  <c r="D57" i="1" l="1"/>
  <c r="P57" i="1"/>
  <c r="Q57" i="1" s="1"/>
  <c r="Q16" i="1" s="1"/>
  <c r="Y62" i="2"/>
  <c r="AN58" i="2"/>
  <c r="AM17" i="2"/>
  <c r="AN17" i="2" s="1"/>
  <c r="AN21" i="2" s="1"/>
  <c r="AN25" i="2" s="1"/>
  <c r="J49" i="2"/>
  <c r="I50" i="2" s="1"/>
  <c r="P47" i="1"/>
  <c r="D18" i="1"/>
  <c r="AM47" i="2"/>
  <c r="AT51" i="2"/>
  <c r="AT52" i="2" s="1"/>
  <c r="B51" i="2"/>
  <c r="B52" i="2" s="1"/>
  <c r="W49" i="2"/>
  <c r="X49" i="2" s="1"/>
  <c r="W50" i="2" s="1"/>
  <c r="X60" i="2" s="1"/>
  <c r="X15" i="2" s="1"/>
  <c r="Y15" i="2" s="1"/>
  <c r="AD47" i="1"/>
  <c r="AC48" i="1" s="1"/>
  <c r="AC19" i="1"/>
  <c r="AE19" i="1" s="1"/>
  <c r="AC16" i="1"/>
  <c r="AV8" i="1"/>
  <c r="AV7" i="1"/>
  <c r="AK8" i="1"/>
  <c r="AN8" i="1" s="1"/>
  <c r="AK7" i="1"/>
  <c r="AN7" i="1" s="1"/>
  <c r="AK6" i="1"/>
  <c r="AN6" i="1" s="1"/>
  <c r="Q27" i="1"/>
  <c r="P15" i="1"/>
  <c r="Q15" i="1" s="1"/>
  <c r="P17" i="1"/>
  <c r="R9" i="1"/>
  <c r="P9" i="1" s="1"/>
  <c r="Q22" i="1" s="1"/>
  <c r="C17" i="1"/>
  <c r="B17" i="1"/>
  <c r="C16" i="1"/>
  <c r="B16" i="1"/>
  <c r="D16" i="1" s="1"/>
  <c r="C8" i="1"/>
  <c r="B15" i="1" s="1"/>
  <c r="D15" i="1" s="1"/>
  <c r="E7" i="1"/>
  <c r="P16" i="1" l="1"/>
  <c r="J50" i="2"/>
  <c r="I51" i="2" s="1"/>
  <c r="O48" i="1"/>
  <c r="P48" i="1"/>
  <c r="AD16" i="1"/>
  <c r="AE16" i="1" s="1"/>
  <c r="AE20" i="1" s="1"/>
  <c r="AE24" i="1" s="1"/>
  <c r="AM48" i="2"/>
  <c r="X50" i="2"/>
  <c r="Y60" i="2"/>
  <c r="AE49" i="2"/>
  <c r="AD57" i="1"/>
  <c r="AD48" i="1"/>
  <c r="AC49" i="1" s="1"/>
  <c r="D17" i="1"/>
  <c r="D19" i="1" s="1"/>
  <c r="D23" i="1" s="1"/>
  <c r="D27" i="1" s="1"/>
  <c r="O17" i="1"/>
  <c r="Q17" i="1" s="1"/>
  <c r="Q19" i="1" s="1"/>
  <c r="J51" i="2" l="1"/>
  <c r="I52" i="2" s="1"/>
  <c r="D16" i="2" s="1"/>
  <c r="AE57" i="1"/>
  <c r="AE15" i="1" s="1"/>
  <c r="AD15" i="1"/>
  <c r="O49" i="1"/>
  <c r="P49" i="1" s="1"/>
  <c r="AT53" i="2"/>
  <c r="AE50" i="2"/>
  <c r="X61" i="2"/>
  <c r="W51" i="2"/>
  <c r="AD49" i="1"/>
  <c r="AC50" i="1" s="1"/>
  <c r="Q23" i="1"/>
  <c r="J52" i="2" l="1"/>
  <c r="C59" i="2" s="1"/>
  <c r="C17" i="2" s="1"/>
  <c r="D17" i="2" s="1"/>
  <c r="D20" i="2"/>
  <c r="D24" i="2" s="1"/>
  <c r="Y61" i="2"/>
  <c r="X16" i="2"/>
  <c r="Y16" i="2" s="1"/>
  <c r="Y19" i="2" s="1"/>
  <c r="Y23" i="2" s="1"/>
  <c r="O50" i="1"/>
  <c r="AT54" i="2"/>
  <c r="AM49" i="2"/>
  <c r="AM50" i="2" s="1"/>
  <c r="AE51" i="2"/>
  <c r="AE52" i="2" s="1"/>
  <c r="AE53" i="2" s="1"/>
  <c r="AE54" i="2" s="1"/>
  <c r="AE55" i="2" s="1"/>
  <c r="D59" i="2"/>
  <c r="I53" i="2"/>
  <c r="X51" i="2"/>
  <c r="D58" i="2"/>
  <c r="AD50" i="1"/>
  <c r="O51" i="1" l="1"/>
  <c r="O52" i="1" s="1"/>
  <c r="D60" i="2"/>
  <c r="J53" i="2"/>
  <c r="I54" i="2" s="1"/>
  <c r="J54" i="2" s="1"/>
  <c r="AC51" i="1"/>
  <c r="AC52" i="1" s="1"/>
  <c r="P50" i="1"/>
  <c r="AN59" i="2"/>
  <c r="AT55" i="2"/>
  <c r="W52" i="2"/>
  <c r="W53" i="2" s="1"/>
  <c r="W54" i="2" s="1"/>
  <c r="AL52" i="2" l="1"/>
  <c r="I55" i="2"/>
  <c r="J55" i="2" s="1"/>
  <c r="X52" i="2"/>
  <c r="Y63" i="2" l="1"/>
  <c r="AT56" i="2"/>
  <c r="I56" i="2"/>
  <c r="J56" i="2" s="1"/>
  <c r="AT57" i="2" l="1"/>
  <c r="I57" i="2"/>
  <c r="J57" i="2" s="1"/>
  <c r="AT58" i="2" l="1"/>
  <c r="I58" i="2"/>
  <c r="J58" i="2" s="1"/>
  <c r="AE56" i="2"/>
  <c r="AE57" i="2" s="1"/>
  <c r="AT59" i="2" l="1"/>
  <c r="I59" i="2"/>
  <c r="J59" i="2" s="1"/>
  <c r="AT60" i="2" l="1"/>
  <c r="I60" i="2"/>
  <c r="J60" i="2" s="1"/>
  <c r="AE58" i="2"/>
  <c r="AT61" i="2" l="1"/>
  <c r="I61" i="2"/>
  <c r="J61" i="2" s="1"/>
  <c r="AE59" i="2"/>
  <c r="AT62" i="2" l="1"/>
  <c r="I62" i="2"/>
  <c r="J62" i="2" s="1"/>
  <c r="AE60" i="2"/>
  <c r="AE61" i="2" s="1"/>
  <c r="AT63" i="2" l="1"/>
  <c r="I63" i="2"/>
  <c r="J63" i="2" s="1"/>
  <c r="I64" i="2" s="1"/>
  <c r="AT64" i="2" l="1"/>
  <c r="J64" i="2"/>
  <c r="AE62" i="2"/>
  <c r="AT65" i="2" l="1"/>
  <c r="I65" i="2"/>
  <c r="J65" i="2" s="1"/>
  <c r="AE63" i="2"/>
  <c r="AT66" i="2" l="1"/>
  <c r="I66" i="2"/>
  <c r="J66" i="2" s="1"/>
  <c r="AE64" i="2"/>
  <c r="AE65" i="2" s="1"/>
  <c r="AE66" i="2" s="1"/>
  <c r="AE67" i="2" s="1"/>
  <c r="AD68" i="2" l="1"/>
  <c r="AT67" i="2"/>
  <c r="I67" i="2"/>
  <c r="J67" i="2" s="1"/>
  <c r="AE68" i="2" l="1"/>
  <c r="AD69" i="2"/>
  <c r="AD70" i="2" s="1"/>
  <c r="AT68" i="2"/>
  <c r="I68" i="2"/>
  <c r="J68" i="2" s="1"/>
  <c r="I69" i="2" l="1"/>
  <c r="I70" i="2" l="1"/>
  <c r="I71" i="2" s="1"/>
  <c r="J69" i="2"/>
  <c r="AT69" i="2"/>
  <c r="AS70" i="2" l="1"/>
  <c r="AT70" i="2" l="1"/>
  <c r="AS71" i="2"/>
  <c r="AS72" i="2" s="1"/>
</calcChain>
</file>

<file path=xl/comments1.xml><?xml version="1.0" encoding="utf-8"?>
<comments xmlns="http://schemas.openxmlformats.org/spreadsheetml/2006/main">
  <authors>
    <author>Oleksandra</author>
  </authors>
  <commentList>
    <comment ref="Q43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e.g. for 2d year</t>
        </r>
      </text>
    </comment>
    <comment ref="AE43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e.g. for 2d year</t>
        </r>
      </text>
    </comment>
  </commentList>
</comments>
</file>

<file path=xl/comments2.xml><?xml version="1.0" encoding="utf-8"?>
<comments xmlns="http://schemas.openxmlformats.org/spreadsheetml/2006/main">
  <authors>
    <author>Oleksandra</author>
  </authors>
  <commentList>
    <comment ref="N36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after TA</t>
        </r>
      </text>
    </comment>
    <comment ref="AI36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after TA</t>
        </r>
      </text>
    </comment>
    <comment ref="AX38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after TA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because it is regular servicing (=maintanance)</t>
        </r>
      </text>
    </comment>
    <comment ref="AS42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because it is regular servicing (=maintanance)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e.g. for 2d year</t>
        </r>
      </text>
    </comment>
    <comment ref="Y45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e.g. for 2d year</t>
        </r>
      </text>
    </comment>
    <comment ref="AF45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e.g. for 2d year</t>
        </r>
      </text>
    </comment>
    <comment ref="AU47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e.g. for 2d year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adjustment for tax depreciation
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adjustment for tax residual value</t>
        </r>
      </text>
    </comment>
    <comment ref="Y60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adjustment for tax depreciation</t>
        </r>
      </text>
    </comment>
    <comment ref="Y61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adjustment for tax residual value
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depreciation period is extended due to TA</t>
        </r>
      </text>
    </comment>
    <comment ref="AE68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remaining amount will be depreciated during extended lifetime of building due to conducted TA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depreciation period is extended due to TA</t>
        </r>
      </text>
    </comment>
    <comment ref="AT70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remaining amount will be depreciated during extended lifetime of building due to conducted TA</t>
        </r>
      </text>
    </comment>
  </commentList>
</comments>
</file>

<file path=xl/sharedStrings.xml><?xml version="1.0" encoding="utf-8"?>
<sst xmlns="http://schemas.openxmlformats.org/spreadsheetml/2006/main" count="607" uniqueCount="110">
  <si>
    <t>Ex. 1</t>
  </si>
  <si>
    <t>AP</t>
  </si>
  <si>
    <t>1.</t>
  </si>
  <si>
    <t>2.</t>
  </si>
  <si>
    <t>3.</t>
  </si>
  <si>
    <t>4.</t>
  </si>
  <si>
    <t>5.</t>
  </si>
  <si>
    <t>&lt;=</t>
  </si>
  <si>
    <t>&lt;60000</t>
  </si>
  <si>
    <t>&amp;</t>
  </si>
  <si>
    <t>laptops are used (i.e. Exor is not first owner)</t>
  </si>
  <si>
    <t>&lt;</t>
  </si>
  <si>
    <t>Categorization:</t>
  </si>
  <si>
    <t xml:space="preserve">Impact </t>
  </si>
  <si>
    <t>tax base deduction</t>
  </si>
  <si>
    <t>Adjustments to AP:</t>
  </si>
  <si>
    <t>-</t>
  </si>
  <si>
    <t>Add back</t>
  </si>
  <si>
    <t>Less</t>
  </si>
  <si>
    <t>Net impact</t>
  </si>
  <si>
    <t>Tax base</t>
  </si>
  <si>
    <t>Tax base deductions</t>
  </si>
  <si>
    <t>Tax base adjusted</t>
  </si>
  <si>
    <t>Tax liability</t>
  </si>
  <si>
    <t>accounting/tax cost</t>
  </si>
  <si>
    <t>depreciation group is 4</t>
  </si>
  <si>
    <t>&amp; creation of reserve is planned during 3 years</t>
  </si>
  <si>
    <t>&gt;</t>
  </si>
  <si>
    <t>1 year</t>
  </si>
  <si>
    <t>see separately</t>
  </si>
  <si>
    <t>as accounting costs which is non-deductable tax cost</t>
  </si>
  <si>
    <t>rounding</t>
  </si>
  <si>
    <t>Ex. 2</t>
  </si>
  <si>
    <t>depreciation group is 3 or 4</t>
  </si>
  <si>
    <t>&amp; creation of reserve was during 3 years</t>
  </si>
  <si>
    <t>as accounting income which is non-taxable income</t>
  </si>
  <si>
    <t>Ex. 3</t>
  </si>
  <si>
    <t>as per</t>
  </si>
  <si>
    <t>overdue</t>
  </si>
  <si>
    <t>days</t>
  </si>
  <si>
    <t>=&gt;</t>
  </si>
  <si>
    <t>months</t>
  </si>
  <si>
    <t>&lt;18 months</t>
  </si>
  <si>
    <t>&gt;18 months</t>
  </si>
  <si>
    <t>of unpaid amount</t>
  </si>
  <si>
    <t>accounting/tax income</t>
  </si>
  <si>
    <t>see workings No.1</t>
  </si>
  <si>
    <t>Workings No.1</t>
  </si>
  <si>
    <t>was already taxed by WHT at the source</t>
  </si>
  <si>
    <t>depreciation group</t>
  </si>
  <si>
    <t>input price</t>
  </si>
  <si>
    <t>acquisition date</t>
  </si>
  <si>
    <t>depreciation period</t>
  </si>
  <si>
    <t>year</t>
  </si>
  <si>
    <t>depreciation method</t>
  </si>
  <si>
    <t>linear</t>
  </si>
  <si>
    <t>actual year</t>
  </si>
  <si>
    <t>DEPRECIATION workings:</t>
  </si>
  <si>
    <t>3d year</t>
  </si>
  <si>
    <t>Year</t>
  </si>
  <si>
    <t>coefficient</t>
  </si>
  <si>
    <t>and</t>
  </si>
  <si>
    <t>Deprciation tax charge =</t>
  </si>
  <si>
    <t>Depreciation charge</t>
  </si>
  <si>
    <t>Residual value</t>
  </si>
  <si>
    <t>Total</t>
  </si>
  <si>
    <t>check</t>
  </si>
  <si>
    <t>Adjustment to AP</t>
  </si>
  <si>
    <t>accelerated</t>
  </si>
  <si>
    <t>parameter</t>
  </si>
  <si>
    <t>2d year</t>
  </si>
  <si>
    <t>Ex.4</t>
  </si>
  <si>
    <t>For car (transaction 1.)</t>
  </si>
  <si>
    <t>For building (transaction 2.)</t>
  </si>
  <si>
    <t>sale price</t>
  </si>
  <si>
    <t>technical appreciation</t>
  </si>
  <si>
    <t>in</t>
  </si>
  <si>
    <t>5th year</t>
  </si>
  <si>
    <t>(i.e. 4th year)</t>
  </si>
  <si>
    <t>2.1.</t>
  </si>
  <si>
    <t>2.2.</t>
  </si>
  <si>
    <t>Ex.5</t>
  </si>
  <si>
    <t>accelarated</t>
  </si>
  <si>
    <t>1.2.</t>
  </si>
  <si>
    <t>1.1.</t>
  </si>
  <si>
    <t>7th year</t>
  </si>
  <si>
    <t>(i.e. in 5th year)</t>
  </si>
  <si>
    <t>Ex.6</t>
  </si>
  <si>
    <t>For solar panels (transaction 1.)</t>
  </si>
  <si>
    <t>monthly (for inTA)</t>
  </si>
  <si>
    <t>May and Septemebr 2015</t>
  </si>
  <si>
    <t>April and August 2016</t>
  </si>
  <si>
    <t>(i.e. in 3d year)</t>
  </si>
  <si>
    <t>4th year</t>
  </si>
  <si>
    <t>For building (transaction 2)</t>
  </si>
  <si>
    <t>For car (transaction 1.1 &amp; 1.2)</t>
  </si>
  <si>
    <t>AR workings:</t>
  </si>
  <si>
    <t>issue date</t>
  </si>
  <si>
    <t xml:space="preserve">see AR workings </t>
  </si>
  <si>
    <t>see Depreciation workings (transaction 1)</t>
  </si>
  <si>
    <t>see Depreciation workings (transaction 2)</t>
  </si>
  <si>
    <t>representation accounting costs; nondeductable for tax purposes</t>
  </si>
  <si>
    <t>non-decutable cost but deductable item for tax base because fulfill certain conditions (&gt;2000 czk; recipient is NPO)</t>
  </si>
  <si>
    <t>accounting/tax cost &amp; tax base deduction</t>
  </si>
  <si>
    <t>Ex.7</t>
  </si>
  <si>
    <t>Ex.8</t>
  </si>
  <si>
    <t>Ex.9</t>
  </si>
  <si>
    <t>see model calculations from previous model examples</t>
  </si>
  <si>
    <t>non-decutable cost and non-deductable item for tax base because doesn't fulfill certain conditions (&lt;2000 czk)</t>
  </si>
  <si>
    <t>Ex.10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</si>
</sst>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49" fontId="0" fillId="0" borderId="0" xfId="0" applyNumberFormat="1"/>
    <xf numFmtId="165" fontId="0" fillId="0" borderId="0" xfId="1" applyNumberFormat="1" applyFont="1"/>
    <xf numFmtId="0" fontId="0" fillId="0" borderId="0" xfId="0" quotePrefix="1"/>
    <xf numFmtId="10" fontId="0" fillId="0" borderId="0" xfId="2" applyNumberFormat="1" applyFont="1"/>
    <xf numFmtId="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0" fillId="0" borderId="0" xfId="0" applyNumberFormat="1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1" applyNumberFormat="1" applyFont="1" applyBorder="1"/>
    <xf numFmtId="165" fontId="0" fillId="0" borderId="1" xfId="1" applyNumberFormat="1" applyFont="1" applyBorder="1"/>
    <xf numFmtId="165" fontId="0" fillId="0" borderId="0" xfId="1" applyNumberFormat="1" applyFont="1" applyAlignment="1">
      <alignment horizontal="center"/>
    </xf>
    <xf numFmtId="165" fontId="0" fillId="0" borderId="0" xfId="1" quotePrefix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0" fontId="0" fillId="2" borderId="0" xfId="0" applyFill="1" applyAlignment="1">
      <alignment horizontal="right"/>
    </xf>
    <xf numFmtId="165" fontId="0" fillId="0" borderId="0" xfId="0" applyNumberFormat="1"/>
    <xf numFmtId="165" fontId="0" fillId="2" borderId="0" xfId="1" applyNumberFormat="1" applyFont="1" applyFill="1" applyBorder="1"/>
    <xf numFmtId="165" fontId="0" fillId="2" borderId="1" xfId="1" applyNumberFormat="1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2" applyNumberFormat="1" applyFont="1"/>
    <xf numFmtId="1" fontId="0" fillId="0" borderId="0" xfId="0" applyNumberFormat="1"/>
    <xf numFmtId="165" fontId="0" fillId="0" borderId="0" xfId="1" applyNumberFormat="1" applyFont="1" applyFill="1" applyBorder="1"/>
    <xf numFmtId="165" fontId="0" fillId="0" borderId="1" xfId="1" applyNumberFormat="1" applyFont="1" applyFill="1" applyBorder="1"/>
    <xf numFmtId="9" fontId="0" fillId="3" borderId="0" xfId="0" applyNumberFormat="1" applyFill="1"/>
    <xf numFmtId="165" fontId="0" fillId="3" borderId="0" xfId="0" applyNumberFormat="1" applyFill="1"/>
    <xf numFmtId="165" fontId="0" fillId="3" borderId="0" xfId="1" applyNumberFormat="1" applyFont="1" applyFill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165" fontId="0" fillId="0" borderId="1" xfId="0" applyNumberFormat="1" applyBorder="1"/>
    <xf numFmtId="0" fontId="4" fillId="0" borderId="0" xfId="0" applyFont="1"/>
    <xf numFmtId="165" fontId="4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0" fillId="0" borderId="0" xfId="0" applyFont="1"/>
    <xf numFmtId="165" fontId="2" fillId="0" borderId="0" xfId="1" applyNumberFormat="1" applyFont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0" borderId="0" xfId="0" applyNumberFormat="1" applyFont="1"/>
    <xf numFmtId="49" fontId="0" fillId="0" borderId="0" xfId="0" applyNumberFormat="1" applyBorder="1"/>
    <xf numFmtId="0" fontId="0" fillId="0" borderId="0" xfId="0" applyBorder="1"/>
    <xf numFmtId="165" fontId="0" fillId="0" borderId="0" xfId="0" applyNumberFormat="1" applyFont="1" applyBorder="1"/>
    <xf numFmtId="165" fontId="0" fillId="0" borderId="1" xfId="0" applyNumberFormat="1" applyFont="1" applyBorder="1"/>
    <xf numFmtId="0" fontId="3" fillId="0" borderId="0" xfId="0" applyFont="1" applyBorder="1"/>
    <xf numFmtId="0" fontId="0" fillId="0" borderId="0" xfId="0" applyFont="1" applyBorder="1"/>
    <xf numFmtId="165" fontId="0" fillId="0" borderId="0" xfId="0" applyNumberFormat="1" applyBorder="1"/>
    <xf numFmtId="165" fontId="3" fillId="0" borderId="0" xfId="0" applyNumberFormat="1" applyFont="1" applyBorder="1"/>
    <xf numFmtId="164" fontId="0" fillId="0" borderId="0" xfId="0" applyNumberFormat="1" applyFont="1" applyBorder="1"/>
    <xf numFmtId="0" fontId="0" fillId="4" borderId="0" xfId="0" applyFill="1" applyBorder="1"/>
    <xf numFmtId="164" fontId="0" fillId="4" borderId="0" xfId="0" applyNumberFormat="1" applyFont="1" applyFill="1" applyBorder="1"/>
    <xf numFmtId="165" fontId="0" fillId="4" borderId="0" xfId="0" applyNumberFormat="1" applyFill="1" applyBorder="1"/>
    <xf numFmtId="0" fontId="0" fillId="4" borderId="1" xfId="0" applyFill="1" applyBorder="1"/>
    <xf numFmtId="164" fontId="0" fillId="4" borderId="1" xfId="0" applyNumberFormat="1" applyFont="1" applyFill="1" applyBorder="1"/>
    <xf numFmtId="165" fontId="0" fillId="4" borderId="1" xfId="0" applyNumberFormat="1" applyFill="1" applyBorder="1"/>
    <xf numFmtId="0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165" fontId="1" fillId="0" borderId="0" xfId="0" applyNumberFormat="1" applyFont="1" applyBorder="1"/>
    <xf numFmtId="0" fontId="7" fillId="0" borderId="0" xfId="0" applyFont="1"/>
    <xf numFmtId="165" fontId="7" fillId="0" borderId="0" xfId="0" applyNumberFormat="1" applyFont="1"/>
    <xf numFmtId="165" fontId="7" fillId="0" borderId="0" xfId="0" applyNumberFormat="1" applyFont="1" applyBorder="1"/>
    <xf numFmtId="0" fontId="1" fillId="0" borderId="0" xfId="0" applyFont="1" applyBorder="1"/>
    <xf numFmtId="165" fontId="0" fillId="0" borderId="0" xfId="1" applyNumberFormat="1" applyFont="1" applyBorder="1" applyAlignment="1">
      <alignment horizontal="center"/>
    </xf>
    <xf numFmtId="165" fontId="3" fillId="5" borderId="0" xfId="0" applyNumberFormat="1" applyFont="1" applyFill="1"/>
    <xf numFmtId="165" fontId="1" fillId="0" borderId="0" xfId="0" applyNumberFormat="1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0" fontId="0" fillId="5" borderId="1" xfId="0" applyFill="1" applyBorder="1"/>
    <xf numFmtId="165" fontId="1" fillId="5" borderId="1" xfId="0" applyNumberFormat="1" applyFont="1" applyFill="1" applyBorder="1"/>
    <xf numFmtId="165" fontId="0" fillId="5" borderId="1" xfId="0" applyNumberFormat="1" applyFill="1" applyBorder="1"/>
    <xf numFmtId="0" fontId="0" fillId="5" borderId="0" xfId="0" applyFill="1"/>
    <xf numFmtId="165" fontId="1" fillId="5" borderId="0" xfId="0" applyNumberFormat="1" applyFont="1" applyFill="1" applyBorder="1"/>
    <xf numFmtId="0" fontId="4" fillId="5" borderId="0" xfId="0" applyFont="1" applyFill="1"/>
    <xf numFmtId="165" fontId="3" fillId="5" borderId="0" xfId="0" applyNumberFormat="1" applyFont="1" applyFill="1" applyBorder="1"/>
    <xf numFmtId="0" fontId="0" fillId="0" borderId="0" xfId="0" applyFont="1" applyFill="1" applyBorder="1"/>
    <xf numFmtId="165" fontId="0" fillId="0" borderId="0" xfId="0" applyNumberFormat="1" applyFill="1"/>
    <xf numFmtId="0" fontId="0" fillId="0" borderId="0" xfId="0" applyFill="1" applyAlignment="1">
      <alignment horizontal="right"/>
    </xf>
    <xf numFmtId="14" fontId="0" fillId="0" borderId="0" xfId="0" applyNumberFormat="1" applyAlignment="1">
      <alignment horizontal="right"/>
    </xf>
    <xf numFmtId="9" fontId="0" fillId="0" borderId="0" xfId="0" applyNumberFormat="1" applyFill="1"/>
    <xf numFmtId="49" fontId="0" fillId="0" borderId="0" xfId="0" applyNumberFormat="1" applyFill="1"/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/>
    <xf numFmtId="0" fontId="0" fillId="0" borderId="0" xfId="0" applyFill="1"/>
    <xf numFmtId="0" fontId="0" fillId="2" borderId="0" xfId="0" applyFill="1" applyAlignment="1">
      <alignment horizontal="left"/>
    </xf>
    <xf numFmtId="165" fontId="0" fillId="0" borderId="0" xfId="1" applyNumberFormat="1" applyFont="1" applyFill="1" applyAlignment="1">
      <alignment horizontal="right"/>
    </xf>
    <xf numFmtId="49" fontId="0" fillId="0" borderId="1" xfId="0" applyNumberFormat="1" applyFill="1" applyBorder="1"/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57"/>
  <sheetViews>
    <sheetView topLeftCell="A16" zoomScale="82" zoomScaleNormal="130" workbookViewId="0">
      <selection activeCell="B8" sqref="B8:B11"/>
    </sheetView>
  </sheetViews>
  <sheetFormatPr defaultRowHeight="15" x14ac:dyDescent="0.25"/>
  <cols>
    <col min="1" max="1" width="21.85546875" customWidth="1"/>
    <col min="2" max="2" width="24.42578125" customWidth="1"/>
    <col min="3" max="3" width="16.5703125" customWidth="1"/>
    <col min="4" max="4" width="16.5703125" style="13" customWidth="1"/>
    <col min="14" max="14" width="16.42578125" customWidth="1"/>
    <col min="15" max="16" width="16.5703125" customWidth="1"/>
    <col min="17" max="17" width="16.5703125" style="13" customWidth="1"/>
    <col min="18" max="18" width="10.7109375" bestFit="1" customWidth="1"/>
    <col min="23" max="27" width="0" hidden="1" customWidth="1"/>
    <col min="28" max="28" width="24.7109375" customWidth="1"/>
    <col min="29" max="31" width="17.85546875" customWidth="1"/>
    <col min="35" max="36" width="10.42578125" bestFit="1" customWidth="1"/>
    <col min="37" max="37" width="11.42578125" bestFit="1" customWidth="1"/>
    <col min="38" max="38" width="12.85546875" customWidth="1"/>
    <col min="39" max="39" width="11" customWidth="1"/>
    <col min="40" max="40" width="8.85546875" bestFit="1" customWidth="1"/>
    <col min="44" max="44" width="14.5703125" customWidth="1"/>
    <col min="48" max="48" width="11.140625" style="2" bestFit="1" customWidth="1"/>
  </cols>
  <sheetData>
    <row r="1" spans="1:48" x14ac:dyDescent="0.25">
      <c r="AE1" s="13"/>
    </row>
    <row r="2" spans="1:48" x14ac:dyDescent="0.25">
      <c r="B2" s="35" t="s">
        <v>0</v>
      </c>
      <c r="O2" s="35" t="s">
        <v>32</v>
      </c>
      <c r="AC2" s="35" t="s">
        <v>36</v>
      </c>
      <c r="AE2" s="13"/>
    </row>
    <row r="3" spans="1:48" x14ac:dyDescent="0.25">
      <c r="AE3" s="13"/>
    </row>
    <row r="4" spans="1:48" x14ac:dyDescent="0.25">
      <c r="B4" t="s">
        <v>1</v>
      </c>
      <c r="C4" s="2">
        <v>3125000</v>
      </c>
      <c r="O4" t="s">
        <v>1</v>
      </c>
      <c r="P4" s="2">
        <v>9230000</v>
      </c>
      <c r="AC4" t="s">
        <v>1</v>
      </c>
      <c r="AD4" s="2">
        <v>3125000</v>
      </c>
      <c r="AE4" s="13"/>
      <c r="AI4" t="s">
        <v>47</v>
      </c>
    </row>
    <row r="5" spans="1:48" x14ac:dyDescent="0.25">
      <c r="AE5" s="13"/>
      <c r="AJ5" t="s">
        <v>37</v>
      </c>
      <c r="AK5" t="s">
        <v>38</v>
      </c>
    </row>
    <row r="6" spans="1:48" x14ac:dyDescent="0.25">
      <c r="A6" t="s">
        <v>12</v>
      </c>
      <c r="C6" t="s">
        <v>13</v>
      </c>
      <c r="K6" s="9"/>
      <c r="N6" t="s">
        <v>12</v>
      </c>
      <c r="P6" t="s">
        <v>13</v>
      </c>
      <c r="AB6" t="s">
        <v>12</v>
      </c>
      <c r="AD6" t="s">
        <v>13</v>
      </c>
      <c r="AE6" s="13"/>
      <c r="AI6" s="22">
        <v>42689</v>
      </c>
      <c r="AJ6" s="23">
        <v>43100</v>
      </c>
      <c r="AK6" s="9">
        <f>_xlfn.DAYS(AJ6,AI6)</f>
        <v>411</v>
      </c>
      <c r="AL6" s="5" t="s">
        <v>39</v>
      </c>
      <c r="AM6" s="3" t="s">
        <v>40</v>
      </c>
      <c r="AN6" s="24">
        <f>AK6/30</f>
        <v>13.7</v>
      </c>
      <c r="AO6" t="s">
        <v>41</v>
      </c>
      <c r="AP6" t="s">
        <v>42</v>
      </c>
      <c r="AQ6" s="3" t="s">
        <v>40</v>
      </c>
      <c r="AR6" s="27">
        <v>1</v>
      </c>
      <c r="AS6" t="s">
        <v>44</v>
      </c>
      <c r="AU6" s="3" t="s">
        <v>40</v>
      </c>
      <c r="AV6" s="2">
        <f>25000*100%</f>
        <v>25000</v>
      </c>
    </row>
    <row r="7" spans="1:48" x14ac:dyDescent="0.25">
      <c r="A7" s="1" t="s">
        <v>2</v>
      </c>
      <c r="B7" s="1" t="s">
        <v>14</v>
      </c>
      <c r="C7">
        <v>0</v>
      </c>
      <c r="D7" s="14" t="s">
        <v>7</v>
      </c>
      <c r="E7">
        <f>10250</f>
        <v>10250</v>
      </c>
      <c r="F7" t="s">
        <v>8</v>
      </c>
      <c r="G7" t="s">
        <v>9</v>
      </c>
      <c r="H7" t="s">
        <v>10</v>
      </c>
      <c r="I7" t="s">
        <v>9</v>
      </c>
      <c r="J7" s="4">
        <f>(109*2*8)/(242*251*8)</f>
        <v>3.5889499851832342E-3</v>
      </c>
      <c r="K7" s="9" t="s">
        <v>11</v>
      </c>
      <c r="L7" s="5">
        <v>0.3</v>
      </c>
      <c r="N7" s="1" t="s">
        <v>2</v>
      </c>
      <c r="O7" s="1" t="s">
        <v>45</v>
      </c>
      <c r="P7" s="2">
        <v>125000</v>
      </c>
      <c r="Q7" s="14" t="s">
        <v>7</v>
      </c>
      <c r="R7" t="s">
        <v>33</v>
      </c>
      <c r="T7" t="s">
        <v>34</v>
      </c>
      <c r="X7" t="s">
        <v>27</v>
      </c>
      <c r="Y7" t="s">
        <v>28</v>
      </c>
      <c r="AB7" s="1" t="s">
        <v>2</v>
      </c>
      <c r="AC7" s="1" t="s">
        <v>24</v>
      </c>
      <c r="AD7" s="17" t="s">
        <v>29</v>
      </c>
      <c r="AE7" s="14"/>
      <c r="AI7" s="21">
        <v>42462</v>
      </c>
      <c r="AJ7" s="21">
        <v>43100</v>
      </c>
      <c r="AK7" s="9">
        <f t="shared" ref="AK7:AK8" si="0">_xlfn.DAYS(AJ7,AI7)</f>
        <v>638</v>
      </c>
      <c r="AL7" s="5" t="s">
        <v>39</v>
      </c>
      <c r="AM7" s="3" t="s">
        <v>40</v>
      </c>
      <c r="AN7" s="24">
        <f t="shared" ref="AN7:AN8" si="1">AK7/30</f>
        <v>21.266666666666666</v>
      </c>
      <c r="AO7" t="s">
        <v>41</v>
      </c>
      <c r="AP7" t="s">
        <v>43</v>
      </c>
      <c r="AQ7" s="3" t="s">
        <v>40</v>
      </c>
      <c r="AR7" s="5">
        <v>0.5</v>
      </c>
      <c r="AS7" t="s">
        <v>44</v>
      </c>
      <c r="AU7" s="3" t="s">
        <v>40</v>
      </c>
      <c r="AV7" s="2">
        <f>210000*AR7</f>
        <v>105000</v>
      </c>
    </row>
    <row r="8" spans="1:48" x14ac:dyDescent="0.25">
      <c r="A8" s="1" t="s">
        <v>3</v>
      </c>
      <c r="B8" s="1" t="s">
        <v>24</v>
      </c>
      <c r="C8" s="2">
        <f>23*1200*20</f>
        <v>552000</v>
      </c>
      <c r="K8" s="9"/>
      <c r="N8" s="1" t="s">
        <v>3</v>
      </c>
      <c r="O8" s="1" t="s">
        <v>24</v>
      </c>
      <c r="P8" s="17" t="s">
        <v>29</v>
      </c>
      <c r="AB8" s="1" t="s">
        <v>3</v>
      </c>
      <c r="AC8" s="1" t="s">
        <v>24</v>
      </c>
      <c r="AD8" s="18">
        <f>25000+210000+175000</f>
        <v>410000</v>
      </c>
      <c r="AE8" s="14" t="s">
        <v>7</v>
      </c>
      <c r="AF8" t="s">
        <v>46</v>
      </c>
      <c r="AI8" s="21">
        <v>42257</v>
      </c>
      <c r="AJ8" s="21">
        <v>43100</v>
      </c>
      <c r="AK8" s="9">
        <f t="shared" si="0"/>
        <v>843</v>
      </c>
      <c r="AL8" s="5" t="s">
        <v>39</v>
      </c>
      <c r="AM8" s="3" t="s">
        <v>40</v>
      </c>
      <c r="AN8" s="24">
        <f t="shared" si="1"/>
        <v>28.1</v>
      </c>
      <c r="AO8" t="s">
        <v>41</v>
      </c>
      <c r="AP8" t="s">
        <v>43</v>
      </c>
      <c r="AQ8" s="3" t="s">
        <v>40</v>
      </c>
      <c r="AR8" s="5">
        <v>0.5</v>
      </c>
      <c r="AS8" t="s">
        <v>44</v>
      </c>
      <c r="AU8" s="3" t="s">
        <v>40</v>
      </c>
      <c r="AV8" s="2">
        <f>(175000-25000)*AR8</f>
        <v>75000</v>
      </c>
    </row>
    <row r="9" spans="1:48" x14ac:dyDescent="0.25">
      <c r="A9" s="1" t="s">
        <v>4</v>
      </c>
      <c r="B9" s="1" t="s">
        <v>24</v>
      </c>
      <c r="C9" s="2">
        <v>114000</v>
      </c>
      <c r="K9" s="9"/>
      <c r="N9" s="1" t="s">
        <v>4</v>
      </c>
      <c r="O9" s="1" t="s">
        <v>14</v>
      </c>
      <c r="P9" s="18">
        <f>R9*50%</f>
        <v>36250</v>
      </c>
      <c r="Q9" s="14" t="s">
        <v>7</v>
      </c>
      <c r="R9" s="2">
        <f>10*7250</f>
        <v>72500</v>
      </c>
      <c r="S9" s="9" t="s">
        <v>27</v>
      </c>
      <c r="T9" s="2">
        <v>60000</v>
      </c>
      <c r="U9" t="s">
        <v>9</v>
      </c>
      <c r="V9" t="s">
        <v>10</v>
      </c>
      <c r="W9" s="9" t="s">
        <v>9</v>
      </c>
      <c r="X9" s="4">
        <f>(185*80*8)/(185*251*8)</f>
        <v>0.31872509960159362</v>
      </c>
      <c r="Y9" s="9" t="s">
        <v>27</v>
      </c>
      <c r="Z9" s="5">
        <v>0.3</v>
      </c>
      <c r="AB9" s="1" t="s">
        <v>4</v>
      </c>
      <c r="AC9" s="1" t="s">
        <v>45</v>
      </c>
      <c r="AD9" s="28">
        <v>0</v>
      </c>
      <c r="AE9" s="14" t="s">
        <v>7</v>
      </c>
      <c r="AF9" s="2" t="s">
        <v>48</v>
      </c>
      <c r="AG9" s="9"/>
      <c r="AH9" s="2"/>
    </row>
    <row r="10" spans="1:48" x14ac:dyDescent="0.25">
      <c r="A10" s="1" t="s">
        <v>5</v>
      </c>
      <c r="B10" s="1" t="s">
        <v>24</v>
      </c>
      <c r="C10" s="2">
        <v>40000</v>
      </c>
      <c r="D10" s="14" t="s">
        <v>7</v>
      </c>
      <c r="E10" t="s">
        <v>25</v>
      </c>
      <c r="G10" t="s">
        <v>26</v>
      </c>
      <c r="K10" s="9" t="s">
        <v>27</v>
      </c>
      <c r="L10" t="s">
        <v>28</v>
      </c>
      <c r="N10" s="1" t="s">
        <v>5</v>
      </c>
      <c r="O10" s="1" t="s">
        <v>24</v>
      </c>
      <c r="P10" s="18">
        <f>7*12500*12</f>
        <v>1050000</v>
      </c>
      <c r="Q10" s="14"/>
      <c r="AB10" s="1" t="s">
        <v>5</v>
      </c>
      <c r="AC10" s="1" t="s">
        <v>45</v>
      </c>
      <c r="AD10" s="28">
        <v>0</v>
      </c>
      <c r="AE10" s="14" t="s">
        <v>7</v>
      </c>
      <c r="AF10" s="2" t="s">
        <v>48</v>
      </c>
    </row>
    <row r="11" spans="1:48" x14ac:dyDescent="0.25">
      <c r="A11" s="1" t="s">
        <v>6</v>
      </c>
      <c r="B11" s="1" t="s">
        <v>24</v>
      </c>
      <c r="C11" s="17" t="s">
        <v>29</v>
      </c>
      <c r="N11" s="1"/>
      <c r="O11" s="1"/>
      <c r="AB11" s="1" t="s">
        <v>6</v>
      </c>
      <c r="AC11" s="1" t="s">
        <v>24</v>
      </c>
      <c r="AD11" s="18">
        <v>255000</v>
      </c>
      <c r="AE11" s="13"/>
    </row>
    <row r="12" spans="1:48" x14ac:dyDescent="0.25">
      <c r="AE12" s="13"/>
    </row>
    <row r="13" spans="1:48" x14ac:dyDescent="0.25">
      <c r="A13" s="1" t="s">
        <v>15</v>
      </c>
      <c r="N13" s="1" t="s">
        <v>15</v>
      </c>
      <c r="AB13" s="1" t="s">
        <v>15</v>
      </c>
      <c r="AE13" s="13"/>
    </row>
    <row r="14" spans="1:48" x14ac:dyDescent="0.25">
      <c r="A14" s="1"/>
      <c r="B14" s="10" t="s">
        <v>17</v>
      </c>
      <c r="C14" s="9" t="s">
        <v>18</v>
      </c>
      <c r="D14" s="13" t="s">
        <v>19</v>
      </c>
      <c r="N14" s="1"/>
      <c r="O14" s="10" t="s">
        <v>17</v>
      </c>
      <c r="P14" s="9" t="s">
        <v>18</v>
      </c>
      <c r="Q14" s="13" t="s">
        <v>19</v>
      </c>
      <c r="AB14" s="1"/>
      <c r="AC14" s="10" t="s">
        <v>17</v>
      </c>
      <c r="AD14" s="9" t="s">
        <v>18</v>
      </c>
      <c r="AE14" s="13" t="s">
        <v>19</v>
      </c>
    </row>
    <row r="15" spans="1:48" x14ac:dyDescent="0.25">
      <c r="A15" s="1" t="s">
        <v>3</v>
      </c>
      <c r="B15" s="11">
        <f>C8</f>
        <v>552000</v>
      </c>
      <c r="C15" s="11"/>
      <c r="D15" s="11">
        <f>B15+C15</f>
        <v>552000</v>
      </c>
      <c r="E15" t="s">
        <v>30</v>
      </c>
      <c r="N15" s="1" t="s">
        <v>2</v>
      </c>
      <c r="O15" s="11"/>
      <c r="P15" s="11">
        <f>-P7</f>
        <v>-125000</v>
      </c>
      <c r="Q15" s="11">
        <f>O15+P15</f>
        <v>-125000</v>
      </c>
      <c r="R15" t="s">
        <v>35</v>
      </c>
      <c r="AB15" s="1" t="s">
        <v>2</v>
      </c>
      <c r="AC15" s="39">
        <f>AC57</f>
        <v>96000</v>
      </c>
      <c r="AD15" s="39">
        <f t="shared" ref="AD15:AE15" si="2">AD57</f>
        <v>-115200</v>
      </c>
      <c r="AE15" s="39">
        <f t="shared" si="2"/>
        <v>-19200</v>
      </c>
    </row>
    <row r="16" spans="1:48" x14ac:dyDescent="0.25">
      <c r="A16" s="1" t="s">
        <v>4</v>
      </c>
      <c r="B16" s="11">
        <f>C9</f>
        <v>114000</v>
      </c>
      <c r="C16" s="11">
        <f>-C9</f>
        <v>-114000</v>
      </c>
      <c r="D16" s="11">
        <f t="shared" ref="D16:D17" si="3">B16+C16</f>
        <v>0</v>
      </c>
      <c r="N16" s="1" t="s">
        <v>3</v>
      </c>
      <c r="O16" s="19">
        <f>O57</f>
        <v>85000</v>
      </c>
      <c r="P16" s="19">
        <f t="shared" ref="P16:Q16" si="4">P57</f>
        <v>-102720</v>
      </c>
      <c r="Q16" s="19">
        <f t="shared" si="4"/>
        <v>-17720</v>
      </c>
      <c r="AB16" s="1" t="s">
        <v>3</v>
      </c>
      <c r="AC16" s="25">
        <f>AD8</f>
        <v>410000</v>
      </c>
      <c r="AD16" s="25">
        <f>-(AV7+AV8+AV6)</f>
        <v>-205000</v>
      </c>
      <c r="AE16" s="25">
        <f>AC16+AD16</f>
        <v>205000</v>
      </c>
    </row>
    <row r="17" spans="1:31" x14ac:dyDescent="0.25">
      <c r="A17" s="1" t="s">
        <v>5</v>
      </c>
      <c r="B17" s="11">
        <f>C10</f>
        <v>40000</v>
      </c>
      <c r="C17" s="11">
        <f>-C10</f>
        <v>-40000</v>
      </c>
      <c r="D17" s="11">
        <f t="shared" si="3"/>
        <v>0</v>
      </c>
      <c r="N17" s="1" t="s">
        <v>5</v>
      </c>
      <c r="O17" s="11">
        <f>P10</f>
        <v>1050000</v>
      </c>
      <c r="P17" s="11">
        <f>-P10</f>
        <v>-1050000</v>
      </c>
      <c r="Q17" s="11">
        <f t="shared" ref="Q17" si="5">O17+P17</f>
        <v>0</v>
      </c>
      <c r="AB17" s="1" t="s">
        <v>4</v>
      </c>
      <c r="AC17" s="25" t="s">
        <v>16</v>
      </c>
      <c r="AD17" s="25" t="s">
        <v>16</v>
      </c>
      <c r="AE17" s="25" t="s">
        <v>16</v>
      </c>
    </row>
    <row r="18" spans="1:31" x14ac:dyDescent="0.25">
      <c r="A18" s="6" t="s">
        <v>6</v>
      </c>
      <c r="B18" s="20">
        <f>B57</f>
        <v>96000</v>
      </c>
      <c r="C18" s="20">
        <f>C57</f>
        <v>-106800</v>
      </c>
      <c r="D18" s="20">
        <f t="shared" ref="D18" si="6">D57</f>
        <v>-10800</v>
      </c>
      <c r="N18" s="6"/>
      <c r="O18" s="12"/>
      <c r="P18" s="12"/>
      <c r="Q18" s="12"/>
      <c r="AB18" s="1" t="s">
        <v>5</v>
      </c>
      <c r="AC18" s="25" t="s">
        <v>16</v>
      </c>
      <c r="AD18" s="25" t="s">
        <v>16</v>
      </c>
      <c r="AE18" s="25" t="s">
        <v>16</v>
      </c>
    </row>
    <row r="19" spans="1:31" x14ac:dyDescent="0.25">
      <c r="A19" s="8" t="s">
        <v>20</v>
      </c>
      <c r="D19" s="13">
        <f>SUM(D15:D18)+C4</f>
        <v>3666200</v>
      </c>
      <c r="N19" s="8" t="s">
        <v>20</v>
      </c>
      <c r="Q19" s="13">
        <f>SUM(Q15:Q18)+P4</f>
        <v>9087280</v>
      </c>
      <c r="AB19" s="1" t="s">
        <v>6</v>
      </c>
      <c r="AC19" s="12">
        <f>AD11</f>
        <v>255000</v>
      </c>
      <c r="AD19" s="12"/>
      <c r="AE19" s="26">
        <f>AC19+AD19</f>
        <v>255000</v>
      </c>
    </row>
    <row r="20" spans="1:31" x14ac:dyDescent="0.25">
      <c r="AB20" s="8" t="s">
        <v>20</v>
      </c>
      <c r="AE20" s="13">
        <f>SUM(AE16:AE19)+AD4</f>
        <v>3585000</v>
      </c>
    </row>
    <row r="21" spans="1:31" x14ac:dyDescent="0.25">
      <c r="A21" s="8" t="s">
        <v>21</v>
      </c>
      <c r="N21" s="8" t="s">
        <v>21</v>
      </c>
      <c r="AE21" s="13"/>
    </row>
    <row r="22" spans="1:31" x14ac:dyDescent="0.25">
      <c r="A22" s="6" t="s">
        <v>2</v>
      </c>
      <c r="B22" s="6"/>
      <c r="C22" s="7"/>
      <c r="D22" s="15">
        <f>-C7</f>
        <v>0</v>
      </c>
      <c r="N22" s="6" t="s">
        <v>2</v>
      </c>
      <c r="O22" s="6"/>
      <c r="P22" s="7"/>
      <c r="Q22" s="15">
        <f>-P9</f>
        <v>-36250</v>
      </c>
      <c r="AB22" s="8" t="s">
        <v>21</v>
      </c>
      <c r="AE22" s="13"/>
    </row>
    <row r="23" spans="1:31" x14ac:dyDescent="0.25">
      <c r="A23" s="8" t="s">
        <v>22</v>
      </c>
      <c r="D23" s="13">
        <f>D19+D22</f>
        <v>3666200</v>
      </c>
      <c r="N23" s="8" t="s">
        <v>22</v>
      </c>
      <c r="Q23" s="13">
        <f>Q19+Q22</f>
        <v>9051030</v>
      </c>
      <c r="AB23" s="6"/>
      <c r="AC23" s="6"/>
      <c r="AD23" s="7"/>
      <c r="AE23" s="15">
        <v>0</v>
      </c>
    </row>
    <row r="24" spans="1:31" x14ac:dyDescent="0.25">
      <c r="AB24" s="8" t="s">
        <v>22</v>
      </c>
      <c r="AE24" s="13">
        <f>AE20+AE23</f>
        <v>3585000</v>
      </c>
    </row>
    <row r="25" spans="1:31" x14ac:dyDescent="0.25">
      <c r="A25" s="8" t="s">
        <v>31</v>
      </c>
      <c r="D25" s="13">
        <v>3666000</v>
      </c>
      <c r="N25" s="8" t="s">
        <v>31</v>
      </c>
      <c r="Q25" s="13">
        <f>9051000</f>
        <v>9051000</v>
      </c>
      <c r="AE25" s="13"/>
    </row>
    <row r="26" spans="1:31" x14ac:dyDescent="0.25">
      <c r="AB26" s="8" t="s">
        <v>31</v>
      </c>
      <c r="AE26" s="29">
        <v>3585000</v>
      </c>
    </row>
    <row r="27" spans="1:31" x14ac:dyDescent="0.25">
      <c r="A27" s="8" t="s">
        <v>23</v>
      </c>
      <c r="D27" s="16">
        <f>D25*0.19</f>
        <v>696540</v>
      </c>
      <c r="N27" s="8" t="s">
        <v>23</v>
      </c>
      <c r="Q27" s="16">
        <f>Q25*0.19</f>
        <v>1719690</v>
      </c>
      <c r="AE27" s="13"/>
    </row>
    <row r="28" spans="1:31" x14ac:dyDescent="0.25">
      <c r="AB28" s="8" t="s">
        <v>23</v>
      </c>
      <c r="AE28" s="16">
        <f>AE26*0.19</f>
        <v>681150</v>
      </c>
    </row>
    <row r="29" spans="1:31" x14ac:dyDescent="0.25">
      <c r="A29" s="8"/>
      <c r="D29" s="16"/>
      <c r="N29" s="8"/>
      <c r="Q29" s="16"/>
    </row>
    <row r="34" spans="1:33" x14ac:dyDescent="0.25">
      <c r="A34" s="35" t="s">
        <v>57</v>
      </c>
      <c r="N34" s="35" t="s">
        <v>57</v>
      </c>
      <c r="AB34" s="35" t="s">
        <v>57</v>
      </c>
      <c r="AE34" s="13"/>
    </row>
    <row r="35" spans="1:33" x14ac:dyDescent="0.25">
      <c r="A35" t="s">
        <v>54</v>
      </c>
      <c r="B35" s="30" t="s">
        <v>55</v>
      </c>
      <c r="N35" t="s">
        <v>54</v>
      </c>
      <c r="O35" s="30" t="s">
        <v>68</v>
      </c>
      <c r="AB35" t="s">
        <v>54</v>
      </c>
      <c r="AC35" s="30" t="s">
        <v>68</v>
      </c>
      <c r="AE35" s="13"/>
    </row>
    <row r="36" spans="1:33" x14ac:dyDescent="0.25">
      <c r="A36" t="s">
        <v>49</v>
      </c>
      <c r="B36">
        <v>2</v>
      </c>
      <c r="C36" s="3" t="s">
        <v>40</v>
      </c>
      <c r="D36" s="13" t="s">
        <v>60</v>
      </c>
      <c r="E36" s="5">
        <v>0.11</v>
      </c>
      <c r="F36" s="31">
        <v>0.2225</v>
      </c>
      <c r="N36" t="s">
        <v>49</v>
      </c>
      <c r="O36">
        <v>2</v>
      </c>
      <c r="P36" s="3" t="s">
        <v>40</v>
      </c>
      <c r="Q36" s="13" t="s">
        <v>69</v>
      </c>
      <c r="R36">
        <v>5</v>
      </c>
      <c r="S36">
        <v>6</v>
      </c>
      <c r="AB36" t="s">
        <v>49</v>
      </c>
      <c r="AC36">
        <v>2</v>
      </c>
      <c r="AD36" s="3" t="s">
        <v>40</v>
      </c>
      <c r="AE36" s="13" t="s">
        <v>69</v>
      </c>
      <c r="AF36">
        <v>5</v>
      </c>
      <c r="AG36">
        <v>6</v>
      </c>
    </row>
    <row r="37" spans="1:33" x14ac:dyDescent="0.25">
      <c r="A37" t="s">
        <v>52</v>
      </c>
      <c r="B37">
        <v>5</v>
      </c>
      <c r="C37" t="s">
        <v>53</v>
      </c>
      <c r="N37" t="s">
        <v>52</v>
      </c>
      <c r="O37">
        <v>5</v>
      </c>
      <c r="P37" t="s">
        <v>53</v>
      </c>
      <c r="AB37" t="s">
        <v>52</v>
      </c>
      <c r="AC37">
        <v>5</v>
      </c>
      <c r="AD37" t="s">
        <v>53</v>
      </c>
      <c r="AE37" s="13"/>
    </row>
    <row r="38" spans="1:33" x14ac:dyDescent="0.25">
      <c r="A38" t="s">
        <v>50</v>
      </c>
      <c r="B38" s="2">
        <v>480000</v>
      </c>
      <c r="N38" t="s">
        <v>50</v>
      </c>
      <c r="O38" s="2">
        <v>321000</v>
      </c>
      <c r="AB38" t="s">
        <v>50</v>
      </c>
      <c r="AC38" s="2">
        <v>480000</v>
      </c>
      <c r="AE38" s="13"/>
    </row>
    <row r="39" spans="1:33" x14ac:dyDescent="0.25">
      <c r="A39" t="s">
        <v>51</v>
      </c>
      <c r="B39" s="21">
        <v>42005</v>
      </c>
      <c r="N39" t="s">
        <v>51</v>
      </c>
      <c r="O39" s="21">
        <v>42430</v>
      </c>
      <c r="AB39" t="s">
        <v>51</v>
      </c>
      <c r="AC39" s="21">
        <v>42005</v>
      </c>
      <c r="AE39" s="13"/>
    </row>
    <row r="40" spans="1:33" x14ac:dyDescent="0.25">
      <c r="AE40" s="13"/>
    </row>
    <row r="41" spans="1:33" x14ac:dyDescent="0.25">
      <c r="A41" t="s">
        <v>56</v>
      </c>
      <c r="B41" t="s">
        <v>58</v>
      </c>
      <c r="N41" t="s">
        <v>56</v>
      </c>
      <c r="O41" t="s">
        <v>70</v>
      </c>
      <c r="AB41" t="s">
        <v>56</v>
      </c>
      <c r="AC41" t="s">
        <v>58</v>
      </c>
      <c r="AE41" s="13"/>
    </row>
    <row r="42" spans="1:33" x14ac:dyDescent="0.25">
      <c r="AE42" s="13"/>
    </row>
    <row r="43" spans="1:33" x14ac:dyDescent="0.25">
      <c r="A43" t="s">
        <v>62</v>
      </c>
      <c r="B43" s="18">
        <f>B38*E36</f>
        <v>52800</v>
      </c>
      <c r="C43" t="s">
        <v>61</v>
      </c>
      <c r="D43" s="13">
        <f>B38*F36</f>
        <v>106800</v>
      </c>
      <c r="N43" t="s">
        <v>62</v>
      </c>
      <c r="O43" s="18">
        <f>O38/R36</f>
        <v>64200</v>
      </c>
      <c r="P43" t="s">
        <v>61</v>
      </c>
      <c r="Q43" s="13">
        <f>(2*($O$38-$O$43))/($S$36-1)</f>
        <v>102720</v>
      </c>
      <c r="AB43" t="s">
        <v>62</v>
      </c>
      <c r="AC43" s="18">
        <f>AC38/AF36</f>
        <v>96000</v>
      </c>
      <c r="AD43" t="s">
        <v>61</v>
      </c>
      <c r="AE43" s="13">
        <f>(2*($AC$38-AC43))/($AG$36-1)</f>
        <v>153600</v>
      </c>
    </row>
    <row r="44" spans="1:33" x14ac:dyDescent="0.25">
      <c r="AE44" s="13"/>
    </row>
    <row r="45" spans="1:33" x14ac:dyDescent="0.25">
      <c r="A45" t="s">
        <v>59</v>
      </c>
      <c r="B45" t="s">
        <v>63</v>
      </c>
      <c r="N45" t="s">
        <v>59</v>
      </c>
      <c r="O45" t="s">
        <v>63</v>
      </c>
      <c r="P45" t="s">
        <v>64</v>
      </c>
      <c r="AB45" t="s">
        <v>59</v>
      </c>
      <c r="AC45" t="s">
        <v>63</v>
      </c>
      <c r="AD45" t="s">
        <v>64</v>
      </c>
      <c r="AE45" s="13"/>
    </row>
    <row r="46" spans="1:33" x14ac:dyDescent="0.25">
      <c r="A46">
        <v>1</v>
      </c>
      <c r="B46" s="18">
        <f>B43</f>
        <v>52800</v>
      </c>
      <c r="N46">
        <v>1</v>
      </c>
      <c r="O46" s="18">
        <f>O43</f>
        <v>64200</v>
      </c>
      <c r="P46" s="18">
        <f>O38-O46</f>
        <v>256800</v>
      </c>
      <c r="AB46">
        <v>1</v>
      </c>
      <c r="AC46" s="18">
        <f>AC43</f>
        <v>96000</v>
      </c>
      <c r="AD46" s="18">
        <f>AC38-AC46</f>
        <v>384000</v>
      </c>
      <c r="AE46" s="13"/>
    </row>
    <row r="47" spans="1:33" x14ac:dyDescent="0.25">
      <c r="A47">
        <v>2</v>
      </c>
      <c r="B47" s="18">
        <f>$D$43</f>
        <v>106800</v>
      </c>
      <c r="N47" s="35">
        <v>2</v>
      </c>
      <c r="O47" s="16">
        <f>(2*P46)/($S$36-1)</f>
        <v>102720</v>
      </c>
      <c r="P47" s="18">
        <f>P46-O47</f>
        <v>154080</v>
      </c>
      <c r="AB47">
        <v>2</v>
      </c>
      <c r="AC47" s="13">
        <f>(2*AD46)/($S$36-1)</f>
        <v>153600</v>
      </c>
      <c r="AD47" s="18">
        <f>AD46-AC47</f>
        <v>230400</v>
      </c>
      <c r="AE47" s="13"/>
    </row>
    <row r="48" spans="1:33" x14ac:dyDescent="0.25">
      <c r="A48" s="35">
        <v>3</v>
      </c>
      <c r="B48" s="36">
        <f>$D$43</f>
        <v>106800</v>
      </c>
      <c r="N48" s="37">
        <v>3</v>
      </c>
      <c r="O48" s="38">
        <f>(2*P47)/($S$36-2)</f>
        <v>77040</v>
      </c>
      <c r="P48" s="18">
        <f>P47-O48</f>
        <v>77040</v>
      </c>
      <c r="AB48" s="35">
        <v>3</v>
      </c>
      <c r="AC48" s="16">
        <f>(2*AD47)/($S$36-2)</f>
        <v>115200</v>
      </c>
      <c r="AD48" s="18">
        <f>AD47-AC48</f>
        <v>115200</v>
      </c>
      <c r="AE48" s="13"/>
    </row>
    <row r="49" spans="1:31" x14ac:dyDescent="0.25">
      <c r="A49">
        <v>4</v>
      </c>
      <c r="B49" s="18">
        <f>$D$43</f>
        <v>106800</v>
      </c>
      <c r="N49">
        <v>4</v>
      </c>
      <c r="O49" s="13">
        <f>(2*P48)/($S$36-3)</f>
        <v>51360</v>
      </c>
      <c r="P49" s="18">
        <f>P48-O49</f>
        <v>25680</v>
      </c>
      <c r="AB49">
        <v>4</v>
      </c>
      <c r="AC49" s="13">
        <f>(2*AD48)/($S$36-3)</f>
        <v>76800</v>
      </c>
      <c r="AD49" s="18">
        <f>AD48-AC49</f>
        <v>38400</v>
      </c>
      <c r="AE49" s="13"/>
    </row>
    <row r="50" spans="1:31" x14ac:dyDescent="0.25">
      <c r="A50" s="7">
        <v>5</v>
      </c>
      <c r="B50" s="32">
        <f>$D$43</f>
        <v>106800</v>
      </c>
      <c r="N50" s="7">
        <v>5</v>
      </c>
      <c r="O50" s="15">
        <f>(2*P49)/($S$36-4)</f>
        <v>25680</v>
      </c>
      <c r="P50" s="32">
        <f>P49-O50</f>
        <v>0</v>
      </c>
      <c r="AB50" s="7">
        <v>5</v>
      </c>
      <c r="AC50" s="15">
        <f>(2*AD49)/($S$36-4)</f>
        <v>38400</v>
      </c>
      <c r="AD50" s="32">
        <f>AD49-AC50</f>
        <v>0</v>
      </c>
      <c r="AE50" s="13"/>
    </row>
    <row r="51" spans="1:31" x14ac:dyDescent="0.25">
      <c r="A51" t="s">
        <v>65</v>
      </c>
      <c r="B51" s="18">
        <f>SUM(B46:B50)</f>
        <v>480000</v>
      </c>
      <c r="N51" t="s">
        <v>65</v>
      </c>
      <c r="O51" s="18">
        <f>SUM(O46:O50)</f>
        <v>321000</v>
      </c>
      <c r="AB51" t="s">
        <v>65</v>
      </c>
      <c r="AC51" s="18">
        <f>SUM(AC46:AC50)</f>
        <v>480000</v>
      </c>
      <c r="AE51" s="13"/>
    </row>
    <row r="52" spans="1:31" x14ac:dyDescent="0.25">
      <c r="A52" s="33" t="s">
        <v>66</v>
      </c>
      <c r="B52" s="34">
        <f>B38-B51</f>
        <v>0</v>
      </c>
      <c r="N52" s="33" t="s">
        <v>66</v>
      </c>
      <c r="O52" s="34">
        <f>O38-O51</f>
        <v>0</v>
      </c>
      <c r="AB52" s="33" t="s">
        <v>66</v>
      </c>
      <c r="AC52" s="34">
        <f>AC38-AC51</f>
        <v>0</v>
      </c>
      <c r="AE52" s="13"/>
    </row>
    <row r="53" spans="1:31" x14ac:dyDescent="0.25">
      <c r="AE53" s="13"/>
    </row>
    <row r="54" spans="1:31" x14ac:dyDescent="0.25">
      <c r="AE54" s="13"/>
    </row>
    <row r="55" spans="1:31" x14ac:dyDescent="0.25">
      <c r="A55" t="s">
        <v>67</v>
      </c>
      <c r="N55" t="s">
        <v>67</v>
      </c>
      <c r="AB55" t="s">
        <v>67</v>
      </c>
      <c r="AE55" s="13"/>
    </row>
    <row r="56" spans="1:31" x14ac:dyDescent="0.25">
      <c r="B56" s="10" t="s">
        <v>17</v>
      </c>
      <c r="C56" s="9" t="s">
        <v>18</v>
      </c>
      <c r="D56" s="13" t="s">
        <v>19</v>
      </c>
      <c r="O56" s="10" t="s">
        <v>17</v>
      </c>
      <c r="P56" s="9" t="s">
        <v>18</v>
      </c>
      <c r="Q56" s="13" t="s">
        <v>19</v>
      </c>
      <c r="AC56" s="10" t="s">
        <v>17</v>
      </c>
      <c r="AD56" s="9" t="s">
        <v>18</v>
      </c>
      <c r="AE56" s="13" t="s">
        <v>19</v>
      </c>
    </row>
    <row r="57" spans="1:31" x14ac:dyDescent="0.25">
      <c r="A57" s="6" t="s">
        <v>6</v>
      </c>
      <c r="B57" s="20">
        <f>96000</f>
        <v>96000</v>
      </c>
      <c r="C57" s="20">
        <f>-B48</f>
        <v>-106800</v>
      </c>
      <c r="D57" s="20">
        <f>B57+C57</f>
        <v>-10800</v>
      </c>
      <c r="N57" s="6" t="s">
        <v>3</v>
      </c>
      <c r="O57" s="20">
        <f>85000</f>
        <v>85000</v>
      </c>
      <c r="P57" s="20">
        <f>-O47</f>
        <v>-102720</v>
      </c>
      <c r="Q57" s="20">
        <f>O57+P57</f>
        <v>-17720</v>
      </c>
      <c r="AB57" s="6" t="s">
        <v>2</v>
      </c>
      <c r="AC57" s="20">
        <v>96000</v>
      </c>
      <c r="AD57" s="20">
        <f>-AC48</f>
        <v>-115200</v>
      </c>
      <c r="AE57" s="20">
        <f>AC57+AD57</f>
        <v>-19200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G72"/>
  <sheetViews>
    <sheetView tabSelected="1" zoomScale="115" zoomScaleNormal="115" workbookViewId="0">
      <selection activeCell="H11" sqref="H11"/>
    </sheetView>
  </sheetViews>
  <sheetFormatPr defaultRowHeight="15" x14ac:dyDescent="0.25"/>
  <cols>
    <col min="1" max="1" width="23.140625" customWidth="1"/>
    <col min="2" max="2" width="20.42578125" customWidth="1"/>
    <col min="3" max="3" width="15.85546875" customWidth="1"/>
    <col min="4" max="4" width="17.85546875" customWidth="1"/>
    <col min="5" max="5" width="13.7109375" customWidth="1"/>
    <col min="6" max="6" width="15.5703125" customWidth="1"/>
    <col min="8" max="8" width="25.140625" customWidth="1"/>
    <col min="9" max="10" width="15.5703125" customWidth="1"/>
    <col min="11" max="11" width="13.42578125" customWidth="1"/>
    <col min="15" max="15" width="14.140625" customWidth="1"/>
    <col min="19" max="19" width="8.7109375" customWidth="1"/>
    <col min="20" max="20" width="15" customWidth="1"/>
    <col min="21" max="21" width="8.7109375" customWidth="1"/>
    <col min="22" max="22" width="19.42578125" customWidth="1"/>
    <col min="23" max="23" width="17.42578125" customWidth="1"/>
    <col min="24" max="24" width="15.42578125" customWidth="1"/>
    <col min="25" max="25" width="14" customWidth="1"/>
    <col min="29" max="29" width="20.28515625" customWidth="1"/>
    <col min="30" max="31" width="20.7109375" customWidth="1"/>
    <col min="32" max="32" width="15.5703125" customWidth="1"/>
    <col min="38" max="38" width="30.42578125" customWidth="1"/>
    <col min="39" max="39" width="11.85546875" customWidth="1"/>
    <col min="40" max="40" width="12.7109375" customWidth="1"/>
    <col min="44" max="44" width="15.140625" customWidth="1"/>
    <col min="45" max="46" width="12.7109375" customWidth="1"/>
    <col min="47" max="47" width="23.28515625" customWidth="1"/>
  </cols>
  <sheetData>
    <row r="2" spans="1:41" x14ac:dyDescent="0.25">
      <c r="A2" s="35" t="s">
        <v>71</v>
      </c>
      <c r="V2" s="35" t="s">
        <v>81</v>
      </c>
      <c r="AK2" s="35" t="s">
        <v>87</v>
      </c>
    </row>
    <row r="3" spans="1:41" x14ac:dyDescent="0.25">
      <c r="A3" s="35"/>
      <c r="V3" s="35"/>
      <c r="AK3" s="35"/>
    </row>
    <row r="4" spans="1:41" x14ac:dyDescent="0.25">
      <c r="B4" t="s">
        <v>1</v>
      </c>
      <c r="C4" s="2">
        <v>12500000</v>
      </c>
      <c r="D4" s="13"/>
      <c r="H4" t="s">
        <v>96</v>
      </c>
      <c r="W4" t="s">
        <v>1</v>
      </c>
      <c r="X4" s="2">
        <v>11125000</v>
      </c>
      <c r="Y4" s="13"/>
      <c r="AL4" t="s">
        <v>1</v>
      </c>
      <c r="AM4" s="2">
        <v>5100000</v>
      </c>
      <c r="AN4" s="13"/>
    </row>
    <row r="5" spans="1:41" x14ac:dyDescent="0.25">
      <c r="D5" s="13"/>
      <c r="H5" s="9" t="s">
        <v>97</v>
      </c>
      <c r="I5" t="s">
        <v>37</v>
      </c>
      <c r="J5" t="s">
        <v>38</v>
      </c>
      <c r="Y5" s="13"/>
      <c r="AN5" s="13"/>
    </row>
    <row r="6" spans="1:41" x14ac:dyDescent="0.25">
      <c r="A6" t="s">
        <v>12</v>
      </c>
      <c r="C6" t="s">
        <v>13</v>
      </c>
      <c r="D6" s="13"/>
      <c r="H6" s="79">
        <v>42257</v>
      </c>
      <c r="I6" s="23">
        <v>43220</v>
      </c>
      <c r="J6" s="13">
        <f>_xlfn.DAYS(I6,H6)</f>
        <v>963</v>
      </c>
      <c r="K6" s="5" t="s">
        <v>39</v>
      </c>
      <c r="L6" s="3" t="s">
        <v>40</v>
      </c>
      <c r="M6" s="24">
        <f>J6/30</f>
        <v>32.1</v>
      </c>
      <c r="N6" t="s">
        <v>41</v>
      </c>
      <c r="O6" t="s">
        <v>43</v>
      </c>
      <c r="P6" s="3" t="s">
        <v>40</v>
      </c>
      <c r="Q6" s="80">
        <v>1</v>
      </c>
      <c r="R6" t="s">
        <v>44</v>
      </c>
      <c r="S6" s="3" t="s">
        <v>40</v>
      </c>
      <c r="T6" s="2">
        <f>(175000-25000)*100%</f>
        <v>150000</v>
      </c>
      <c r="V6" t="s">
        <v>12</v>
      </c>
      <c r="X6" t="s">
        <v>13</v>
      </c>
      <c r="Y6" s="13"/>
      <c r="AF6" s="9"/>
      <c r="AK6" t="s">
        <v>12</v>
      </c>
      <c r="AM6" t="s">
        <v>13</v>
      </c>
      <c r="AN6" s="13"/>
    </row>
    <row r="7" spans="1:41" x14ac:dyDescent="0.25">
      <c r="A7" s="1" t="s">
        <v>2</v>
      </c>
      <c r="B7" s="1" t="s">
        <v>24</v>
      </c>
      <c r="C7" s="17"/>
      <c r="D7" s="14" t="s">
        <v>7</v>
      </c>
      <c r="E7" t="s">
        <v>99</v>
      </c>
      <c r="H7" s="79">
        <v>42103</v>
      </c>
      <c r="I7" s="23">
        <v>43220</v>
      </c>
      <c r="J7" s="13">
        <f t="shared" ref="J7:J8" si="0">_xlfn.DAYS(I7,H7)</f>
        <v>1117</v>
      </c>
      <c r="K7" s="5" t="s">
        <v>39</v>
      </c>
      <c r="L7" s="3" t="s">
        <v>40</v>
      </c>
      <c r="M7" s="24">
        <f t="shared" ref="M7:M8" si="1">J7/30</f>
        <v>37.233333333333334</v>
      </c>
      <c r="N7" t="s">
        <v>41</v>
      </c>
      <c r="O7" t="s">
        <v>43</v>
      </c>
      <c r="P7" s="3" t="s">
        <v>40</v>
      </c>
      <c r="Q7" s="80">
        <v>1</v>
      </c>
      <c r="R7" t="s">
        <v>44</v>
      </c>
      <c r="S7" s="3" t="s">
        <v>40</v>
      </c>
      <c r="T7" s="2">
        <f>(445000-105000)*Q7</f>
        <v>340000</v>
      </c>
      <c r="V7" s="1" t="s">
        <v>2</v>
      </c>
      <c r="W7" s="1" t="s">
        <v>24</v>
      </c>
      <c r="X7" s="17"/>
      <c r="Y7" s="14" t="s">
        <v>7</v>
      </c>
      <c r="Z7" t="s">
        <v>99</v>
      </c>
      <c r="AE7" s="4"/>
      <c r="AF7" s="9"/>
      <c r="AG7" s="5"/>
      <c r="AK7" s="1" t="s">
        <v>2</v>
      </c>
      <c r="AL7" s="1" t="s">
        <v>24</v>
      </c>
      <c r="AM7" s="17"/>
      <c r="AN7" s="14" t="s">
        <v>7</v>
      </c>
      <c r="AO7" t="s">
        <v>99</v>
      </c>
    </row>
    <row r="8" spans="1:41" x14ac:dyDescent="0.25">
      <c r="A8" s="1" t="s">
        <v>3</v>
      </c>
      <c r="B8" s="1" t="s">
        <v>24</v>
      </c>
      <c r="C8" s="17"/>
      <c r="D8" s="14" t="s">
        <v>7</v>
      </c>
      <c r="E8" t="s">
        <v>100</v>
      </c>
      <c r="H8" s="79">
        <v>41953</v>
      </c>
      <c r="I8" s="23">
        <v>43220</v>
      </c>
      <c r="J8" s="13">
        <f t="shared" si="0"/>
        <v>1267</v>
      </c>
      <c r="K8" s="5" t="s">
        <v>39</v>
      </c>
      <c r="L8" s="3" t="s">
        <v>40</v>
      </c>
      <c r="M8" s="24">
        <f t="shared" si="1"/>
        <v>42.233333333333334</v>
      </c>
      <c r="N8" t="s">
        <v>41</v>
      </c>
      <c r="O8" t="s">
        <v>43</v>
      </c>
      <c r="P8" s="3" t="s">
        <v>40</v>
      </c>
      <c r="Q8" s="80">
        <v>1</v>
      </c>
      <c r="R8" t="s">
        <v>44</v>
      </c>
      <c r="S8" s="3" t="s">
        <v>40</v>
      </c>
      <c r="T8" s="2">
        <f>175000*Q8</f>
        <v>175000</v>
      </c>
      <c r="V8" s="1" t="s">
        <v>3</v>
      </c>
      <c r="W8" s="1" t="s">
        <v>24</v>
      </c>
      <c r="X8" s="17"/>
      <c r="Y8" s="14" t="s">
        <v>7</v>
      </c>
      <c r="Z8" t="s">
        <v>100</v>
      </c>
      <c r="AF8" s="9"/>
      <c r="AK8" s="1" t="s">
        <v>3</v>
      </c>
      <c r="AL8" s="1" t="s">
        <v>24</v>
      </c>
      <c r="AM8" s="17"/>
      <c r="AN8" s="14" t="s">
        <v>7</v>
      </c>
      <c r="AO8" t="s">
        <v>100</v>
      </c>
    </row>
    <row r="9" spans="1:41" x14ac:dyDescent="0.25">
      <c r="A9" s="1" t="s">
        <v>4</v>
      </c>
      <c r="B9" s="1" t="s">
        <v>45</v>
      </c>
      <c r="C9" s="28">
        <v>0</v>
      </c>
      <c r="D9" s="14" t="s">
        <v>7</v>
      </c>
      <c r="E9" s="2" t="s">
        <v>48</v>
      </c>
      <c r="K9" s="9"/>
      <c r="V9" s="1" t="s">
        <v>4</v>
      </c>
      <c r="W9" s="1" t="s">
        <v>45</v>
      </c>
      <c r="X9" s="28">
        <v>0</v>
      </c>
      <c r="Y9" s="14" t="s">
        <v>7</v>
      </c>
      <c r="Z9" s="2" t="s">
        <v>48</v>
      </c>
      <c r="AF9" s="9"/>
      <c r="AK9" s="1" t="s">
        <v>4</v>
      </c>
      <c r="AL9" s="1" t="s">
        <v>24</v>
      </c>
      <c r="AM9" s="77">
        <f>15*1*(140-57)</f>
        <v>1245</v>
      </c>
      <c r="AN9" s="14"/>
      <c r="AO9" s="2"/>
    </row>
    <row r="10" spans="1:41" x14ac:dyDescent="0.25">
      <c r="A10" s="1" t="s">
        <v>5</v>
      </c>
      <c r="B10" s="1" t="s">
        <v>24</v>
      </c>
      <c r="C10" s="77">
        <v>180000</v>
      </c>
      <c r="D10" s="14"/>
      <c r="E10" s="2"/>
      <c r="K10" s="9"/>
      <c r="V10" s="1" t="s">
        <v>5</v>
      </c>
      <c r="W10" s="1" t="s">
        <v>24</v>
      </c>
      <c r="X10" s="2">
        <f>50000*2+32000</f>
        <v>132000</v>
      </c>
      <c r="Y10" s="14" t="s">
        <v>7</v>
      </c>
      <c r="Z10" t="s">
        <v>101</v>
      </c>
      <c r="AF10" s="9"/>
      <c r="AK10" s="1" t="s">
        <v>5</v>
      </c>
      <c r="AL10" s="1" t="s">
        <v>24</v>
      </c>
      <c r="AM10" s="83">
        <f>1000*52</f>
        <v>52000</v>
      </c>
      <c r="AN10" s="14"/>
    </row>
    <row r="11" spans="1:41" x14ac:dyDescent="0.25">
      <c r="A11" s="1" t="s">
        <v>6</v>
      </c>
      <c r="B11" s="1" t="s">
        <v>24</v>
      </c>
      <c r="C11" s="18">
        <f>175000+445000+75000</f>
        <v>695000</v>
      </c>
      <c r="D11" s="14" t="s">
        <v>7</v>
      </c>
      <c r="E11" t="s">
        <v>98</v>
      </c>
      <c r="H11" s="21"/>
      <c r="V11" s="81"/>
      <c r="W11" s="81"/>
      <c r="X11" s="78"/>
      <c r="Y11" s="82"/>
      <c r="AK11" s="81" t="s">
        <v>6</v>
      </c>
      <c r="AL11" s="81" t="s">
        <v>103</v>
      </c>
      <c r="AM11" s="83">
        <v>25645</v>
      </c>
      <c r="AN11" s="14" t="s">
        <v>7</v>
      </c>
      <c r="AO11" t="s">
        <v>102</v>
      </c>
    </row>
    <row r="12" spans="1:41" x14ac:dyDescent="0.25">
      <c r="Y12" s="13"/>
      <c r="AN12" s="13"/>
    </row>
    <row r="13" spans="1:41" x14ac:dyDescent="0.25">
      <c r="A13" s="1" t="s">
        <v>15</v>
      </c>
      <c r="D13" s="13"/>
      <c r="V13" s="1" t="s">
        <v>15</v>
      </c>
      <c r="Y13" s="13"/>
      <c r="AK13" s="1" t="s">
        <v>15</v>
      </c>
      <c r="AN13" s="13"/>
    </row>
    <row r="14" spans="1:41" x14ac:dyDescent="0.25">
      <c r="A14" s="1"/>
      <c r="B14" s="10" t="s">
        <v>17</v>
      </c>
      <c r="C14" s="9" t="s">
        <v>18</v>
      </c>
      <c r="D14" s="13" t="s">
        <v>19</v>
      </c>
      <c r="V14" s="1"/>
      <c r="W14" s="10" t="s">
        <v>17</v>
      </c>
      <c r="X14" s="9" t="s">
        <v>18</v>
      </c>
      <c r="Y14" s="13" t="s">
        <v>19</v>
      </c>
      <c r="AK14" s="1"/>
      <c r="AL14" s="10"/>
      <c r="AM14" s="9"/>
      <c r="AN14" s="13"/>
    </row>
    <row r="15" spans="1:41" x14ac:dyDescent="0.25">
      <c r="A15" s="1" t="s">
        <v>2</v>
      </c>
      <c r="B15" s="19">
        <f>85000</f>
        <v>85000</v>
      </c>
      <c r="C15" s="19">
        <f>-B47</f>
        <v>-71422.5</v>
      </c>
      <c r="D15" s="19">
        <f>B15+C15</f>
        <v>13577.5</v>
      </c>
      <c r="V15" s="1" t="s">
        <v>84</v>
      </c>
      <c r="W15" s="19">
        <f>W60</f>
        <v>30000</v>
      </c>
      <c r="X15" s="19">
        <f t="shared" ref="X15:X17" si="2">X60</f>
        <v>-38520</v>
      </c>
      <c r="Y15" s="19">
        <f>W15+X15</f>
        <v>-8520</v>
      </c>
      <c r="Z15" t="s">
        <v>30</v>
      </c>
      <c r="AK15" s="1"/>
      <c r="AL15" s="10" t="s">
        <v>17</v>
      </c>
      <c r="AM15" s="9" t="s">
        <v>18</v>
      </c>
      <c r="AN15" s="13" t="s">
        <v>19</v>
      </c>
    </row>
    <row r="16" spans="1:41" x14ac:dyDescent="0.25">
      <c r="A16" s="1" t="s">
        <v>79</v>
      </c>
      <c r="B16" s="19">
        <f>B58</f>
        <v>270000</v>
      </c>
      <c r="C16" s="19">
        <f>C58</f>
        <v>-614147.36842105258</v>
      </c>
      <c r="D16" s="19">
        <f t="shared" ref="D16:D17" si="3">B16+C16</f>
        <v>-344147.36842105258</v>
      </c>
      <c r="V16" s="1" t="s">
        <v>83</v>
      </c>
      <c r="W16" s="19">
        <f t="shared" ref="W16" si="4">W61</f>
        <v>285000</v>
      </c>
      <c r="X16" s="19">
        <f t="shared" si="2"/>
        <v>-77040</v>
      </c>
      <c r="Y16" s="19">
        <f t="shared" ref="Y16:Y17" si="5">W16+X16</f>
        <v>207960</v>
      </c>
      <c r="AK16" s="1" t="s">
        <v>2</v>
      </c>
      <c r="AL16" s="19">
        <f>AL57</f>
        <v>65000</v>
      </c>
      <c r="AM16" s="19">
        <f t="shared" ref="AM16:AM17" si="6">AM57</f>
        <v>-155533.33333333334</v>
      </c>
      <c r="AN16" s="19">
        <f t="shared" ref="AN16:AN17" si="7">AL16+AM16</f>
        <v>-90533.333333333343</v>
      </c>
    </row>
    <row r="17" spans="1:59" x14ac:dyDescent="0.25">
      <c r="A17" s="1" t="s">
        <v>80</v>
      </c>
      <c r="B17" s="19">
        <f>B59</f>
        <v>12450000</v>
      </c>
      <c r="C17" s="19">
        <f>C59</f>
        <v>-10440505.263157895</v>
      </c>
      <c r="D17" s="19">
        <f t="shared" si="3"/>
        <v>2009494.7368421052</v>
      </c>
      <c r="V17" s="1" t="s">
        <v>3</v>
      </c>
      <c r="W17" s="19">
        <f t="shared" ref="W17" si="8">W62</f>
        <v>775000</v>
      </c>
      <c r="X17" s="19">
        <f t="shared" si="2"/>
        <v>-241550</v>
      </c>
      <c r="Y17" s="19">
        <f t="shared" si="5"/>
        <v>533450</v>
      </c>
      <c r="AK17" s="1" t="s">
        <v>3</v>
      </c>
      <c r="AL17" s="19">
        <f t="shared" ref="AL17" si="9">AL58</f>
        <v>210000</v>
      </c>
      <c r="AM17" s="19">
        <f t="shared" si="6"/>
        <v>-334750</v>
      </c>
      <c r="AN17" s="19">
        <f t="shared" si="7"/>
        <v>-124750</v>
      </c>
    </row>
    <row r="18" spans="1:59" x14ac:dyDescent="0.25">
      <c r="A18" s="41" t="s">
        <v>5</v>
      </c>
      <c r="B18" s="25">
        <f>C10</f>
        <v>180000</v>
      </c>
      <c r="C18" s="25"/>
      <c r="D18" s="25">
        <f>B18+C18</f>
        <v>180000</v>
      </c>
      <c r="V18" s="6" t="s">
        <v>5</v>
      </c>
      <c r="W18" s="26">
        <f>X10</f>
        <v>132000</v>
      </c>
      <c r="X18" s="26"/>
      <c r="Y18" s="26">
        <f>W18+X18</f>
        <v>132000</v>
      </c>
      <c r="AK18" s="81" t="s">
        <v>4</v>
      </c>
      <c r="AL18" s="25">
        <f>AM9</f>
        <v>1245</v>
      </c>
      <c r="AM18" s="25">
        <f>-AM9</f>
        <v>-1245</v>
      </c>
      <c r="AN18" s="25">
        <f>AL18+AM18</f>
        <v>0</v>
      </c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</row>
    <row r="19" spans="1:59" x14ac:dyDescent="0.25">
      <c r="A19" s="6" t="s">
        <v>6</v>
      </c>
      <c r="B19" s="26">
        <f>C11</f>
        <v>695000</v>
      </c>
      <c r="C19" s="26">
        <f>-SUM(T6:T8)</f>
        <v>-665000</v>
      </c>
      <c r="D19" s="26">
        <f>B19+C19</f>
        <v>30000</v>
      </c>
      <c r="V19" s="8" t="s">
        <v>20</v>
      </c>
      <c r="Y19" s="13">
        <f>SUM(Y15:Y18)+X4</f>
        <v>11989890</v>
      </c>
      <c r="AK19" s="41" t="s">
        <v>5</v>
      </c>
      <c r="AL19" s="25">
        <f>AM10</f>
        <v>52000</v>
      </c>
      <c r="AM19" s="25">
        <f>-AM10</f>
        <v>-52000</v>
      </c>
      <c r="AN19" s="25">
        <f>AL19+AM19</f>
        <v>0</v>
      </c>
    </row>
    <row r="20" spans="1:59" x14ac:dyDescent="0.25">
      <c r="A20" s="8" t="s">
        <v>20</v>
      </c>
      <c r="D20" s="13">
        <f>SUM(D15:D19)+C4</f>
        <v>14388924.868421052</v>
      </c>
      <c r="Y20" s="13"/>
      <c r="AK20" s="6" t="s">
        <v>6</v>
      </c>
      <c r="AL20" s="26">
        <f>AM11</f>
        <v>25645</v>
      </c>
      <c r="AM20" s="26"/>
      <c r="AN20" s="26"/>
    </row>
    <row r="21" spans="1:59" x14ac:dyDescent="0.25">
      <c r="D21" s="13"/>
      <c r="V21" s="8" t="s">
        <v>21</v>
      </c>
      <c r="Y21" s="13"/>
      <c r="AK21" s="8" t="s">
        <v>20</v>
      </c>
      <c r="AN21" s="13">
        <f>SUM(AN15:AN19)+AM4</f>
        <v>4884716.666666667</v>
      </c>
    </row>
    <row r="22" spans="1:59" x14ac:dyDescent="0.25">
      <c r="A22" s="8" t="s">
        <v>21</v>
      </c>
      <c r="D22" s="13"/>
      <c r="V22" s="6"/>
      <c r="W22" s="6"/>
      <c r="X22" s="7"/>
      <c r="Y22" s="15"/>
      <c r="AN22" s="13"/>
    </row>
    <row r="23" spans="1:59" x14ac:dyDescent="0.25">
      <c r="A23" s="6"/>
      <c r="B23" s="6"/>
      <c r="C23" s="7"/>
      <c r="D23" s="15">
        <f>-C7</f>
        <v>0</v>
      </c>
      <c r="V23" s="8" t="s">
        <v>22</v>
      </c>
      <c r="Y23" s="13">
        <f>Y19+Y22</f>
        <v>11989890</v>
      </c>
      <c r="AK23" s="8" t="s">
        <v>21</v>
      </c>
      <c r="AN23" s="13"/>
    </row>
    <row r="24" spans="1:59" x14ac:dyDescent="0.25">
      <c r="A24" s="8" t="s">
        <v>22</v>
      </c>
      <c r="D24" s="13">
        <f>D20+D23</f>
        <v>14388924.868421052</v>
      </c>
      <c r="Y24" s="13"/>
      <c r="AK24" s="6"/>
      <c r="AL24" s="6"/>
      <c r="AM24" s="32"/>
      <c r="AN24" s="15">
        <f>-AM11</f>
        <v>-25645</v>
      </c>
    </row>
    <row r="25" spans="1:59" x14ac:dyDescent="0.25">
      <c r="D25" s="13"/>
      <c r="V25" s="8" t="s">
        <v>31</v>
      </c>
      <c r="Y25" s="13">
        <v>11989000</v>
      </c>
      <c r="AK25" s="8" t="s">
        <v>22</v>
      </c>
      <c r="AN25" s="13">
        <f>AN21+AN24</f>
        <v>4859071.666666667</v>
      </c>
    </row>
    <row r="26" spans="1:59" x14ac:dyDescent="0.25">
      <c r="A26" s="8" t="s">
        <v>31</v>
      </c>
      <c r="D26" s="13">
        <v>14388000</v>
      </c>
      <c r="Y26" s="13"/>
      <c r="AN26" s="13"/>
    </row>
    <row r="27" spans="1:59" x14ac:dyDescent="0.25">
      <c r="D27" s="13"/>
      <c r="V27" s="8" t="s">
        <v>23</v>
      </c>
      <c r="Y27" s="16">
        <f>Y25*0.19</f>
        <v>2277910</v>
      </c>
      <c r="AK27" s="8" t="s">
        <v>31</v>
      </c>
      <c r="AN27" s="13">
        <v>4859000</v>
      </c>
    </row>
    <row r="28" spans="1:59" x14ac:dyDescent="0.25">
      <c r="A28" s="8" t="s">
        <v>23</v>
      </c>
      <c r="D28" s="16">
        <f>D26*0.19</f>
        <v>2733720</v>
      </c>
      <c r="AN28" s="13"/>
    </row>
    <row r="29" spans="1:59" x14ac:dyDescent="0.25">
      <c r="AK29" s="8" t="s">
        <v>23</v>
      </c>
      <c r="AN29" s="16">
        <f>AN27*0.19</f>
        <v>923210</v>
      </c>
    </row>
    <row r="32" spans="1:59" x14ac:dyDescent="0.25">
      <c r="A32" s="35" t="s">
        <v>57</v>
      </c>
      <c r="D32" s="13"/>
      <c r="V32" s="35" t="s">
        <v>57</v>
      </c>
      <c r="Y32" s="13"/>
    </row>
    <row r="33" spans="1:50" x14ac:dyDescent="0.25">
      <c r="A33" s="35"/>
      <c r="D33" s="13"/>
      <c r="V33" s="35"/>
      <c r="Y33" s="13"/>
    </row>
    <row r="34" spans="1:50" x14ac:dyDescent="0.25">
      <c r="A34" s="35" t="s">
        <v>72</v>
      </c>
      <c r="D34" s="13"/>
      <c r="H34" s="35" t="s">
        <v>73</v>
      </c>
      <c r="V34" s="35" t="s">
        <v>95</v>
      </c>
      <c r="Y34" s="13"/>
      <c r="AC34" s="35" t="s">
        <v>94</v>
      </c>
      <c r="AK34" s="35" t="s">
        <v>57</v>
      </c>
      <c r="AN34" s="13"/>
    </row>
    <row r="35" spans="1:50" ht="18.600000000000001" customHeight="1" x14ac:dyDescent="0.25">
      <c r="A35" t="s">
        <v>54</v>
      </c>
      <c r="B35" s="30" t="s">
        <v>55</v>
      </c>
      <c r="D35" s="13"/>
      <c r="H35" t="s">
        <v>54</v>
      </c>
      <c r="I35" s="30" t="s">
        <v>68</v>
      </c>
      <c r="K35" s="13"/>
      <c r="V35" t="s">
        <v>54</v>
      </c>
      <c r="W35" s="30" t="s">
        <v>82</v>
      </c>
      <c r="Y35" s="13"/>
      <c r="AC35" t="s">
        <v>54</v>
      </c>
      <c r="AD35" s="30" t="s">
        <v>55</v>
      </c>
      <c r="AF35" s="13"/>
      <c r="AK35" s="35"/>
      <c r="AN35" s="13"/>
    </row>
    <row r="36" spans="1:50" x14ac:dyDescent="0.25">
      <c r="A36" t="s">
        <v>49</v>
      </c>
      <c r="B36">
        <v>2</v>
      </c>
      <c r="C36" s="3" t="s">
        <v>40</v>
      </c>
      <c r="D36" s="13" t="s">
        <v>60</v>
      </c>
      <c r="E36" s="5">
        <v>0.11</v>
      </c>
      <c r="F36" s="31">
        <v>0.2225</v>
      </c>
      <c r="H36" t="s">
        <v>49</v>
      </c>
      <c r="I36">
        <v>4</v>
      </c>
      <c r="J36" s="3" t="s">
        <v>40</v>
      </c>
      <c r="K36" s="13" t="s">
        <v>69</v>
      </c>
      <c r="L36" s="13">
        <v>20</v>
      </c>
      <c r="M36" s="13">
        <v>21</v>
      </c>
      <c r="N36" s="13">
        <v>20</v>
      </c>
      <c r="O36" s="13"/>
      <c r="P36" s="13"/>
      <c r="Q36" s="13"/>
      <c r="R36" s="13"/>
      <c r="S36" s="13"/>
      <c r="T36" s="13"/>
      <c r="U36" s="13"/>
      <c r="V36" t="s">
        <v>49</v>
      </c>
      <c r="W36">
        <v>2</v>
      </c>
      <c r="X36" s="3" t="s">
        <v>40</v>
      </c>
      <c r="Y36" s="13" t="s">
        <v>69</v>
      </c>
      <c r="Z36">
        <v>5</v>
      </c>
      <c r="AA36">
        <v>6</v>
      </c>
      <c r="AC36" t="s">
        <v>49</v>
      </c>
      <c r="AD36">
        <v>4</v>
      </c>
      <c r="AE36" s="3" t="s">
        <v>40</v>
      </c>
      <c r="AF36" s="13" t="s">
        <v>60</v>
      </c>
      <c r="AG36" s="5">
        <v>2.1499999999999998E-2</v>
      </c>
      <c r="AH36" s="5">
        <v>5.1499999999999997E-2</v>
      </c>
      <c r="AI36" s="5">
        <v>0.05</v>
      </c>
      <c r="AK36" s="35" t="s">
        <v>88</v>
      </c>
      <c r="AN36" s="13"/>
      <c r="AR36" s="35" t="s">
        <v>73</v>
      </c>
    </row>
    <row r="37" spans="1:50" x14ac:dyDescent="0.25">
      <c r="A37" t="s">
        <v>52</v>
      </c>
      <c r="B37">
        <v>5</v>
      </c>
      <c r="C37" t="s">
        <v>53</v>
      </c>
      <c r="D37" s="13"/>
      <c r="H37" t="s">
        <v>52</v>
      </c>
      <c r="I37">
        <v>20</v>
      </c>
      <c r="J37" t="s">
        <v>53</v>
      </c>
      <c r="K37" s="13"/>
      <c r="V37" t="s">
        <v>52</v>
      </c>
      <c r="W37">
        <v>5</v>
      </c>
      <c r="X37" t="s">
        <v>53</v>
      </c>
      <c r="Y37" s="13"/>
      <c r="AC37" t="s">
        <v>52</v>
      </c>
      <c r="AD37">
        <v>20</v>
      </c>
      <c r="AE37" t="s">
        <v>53</v>
      </c>
      <c r="AF37" s="13"/>
      <c r="AK37" t="s">
        <v>54</v>
      </c>
      <c r="AL37" s="30" t="s">
        <v>89</v>
      </c>
      <c r="AN37" s="13"/>
      <c r="AR37" t="s">
        <v>54</v>
      </c>
      <c r="AS37" s="30" t="s">
        <v>55</v>
      </c>
      <c r="AU37" s="13"/>
    </row>
    <row r="38" spans="1:50" x14ac:dyDescent="0.25">
      <c r="A38" t="s">
        <v>50</v>
      </c>
      <c r="B38" s="2">
        <v>321000</v>
      </c>
      <c r="D38" s="13"/>
      <c r="H38" t="s">
        <v>50</v>
      </c>
      <c r="I38" s="2">
        <v>17000000</v>
      </c>
      <c r="K38" s="13"/>
      <c r="V38" t="s">
        <v>50</v>
      </c>
      <c r="W38" s="2">
        <v>321000</v>
      </c>
      <c r="Y38" s="13"/>
      <c r="AC38" t="s">
        <v>50</v>
      </c>
      <c r="AD38" s="2">
        <v>4280000</v>
      </c>
      <c r="AF38" s="13"/>
      <c r="AK38" t="s">
        <v>52</v>
      </c>
      <c r="AL38">
        <v>36</v>
      </c>
      <c r="AM38" t="s">
        <v>41</v>
      </c>
      <c r="AN38" s="13"/>
      <c r="AR38" t="s">
        <v>49</v>
      </c>
      <c r="AS38">
        <v>4</v>
      </c>
      <c r="AT38" s="3" t="s">
        <v>40</v>
      </c>
      <c r="AU38" s="13" t="s">
        <v>60</v>
      </c>
      <c r="AV38" s="5">
        <v>2.1499999999999998E-2</v>
      </c>
      <c r="AW38" s="5">
        <v>5.1499999999999997E-2</v>
      </c>
      <c r="AX38" s="5">
        <v>0.05</v>
      </c>
    </row>
    <row r="39" spans="1:50" x14ac:dyDescent="0.25">
      <c r="A39" t="s">
        <v>51</v>
      </c>
      <c r="B39" s="21">
        <v>42430</v>
      </c>
      <c r="D39" s="13"/>
      <c r="H39" t="s">
        <v>51</v>
      </c>
      <c r="I39" s="21">
        <v>41395</v>
      </c>
      <c r="K39" s="13"/>
      <c r="V39" t="s">
        <v>51</v>
      </c>
      <c r="W39" s="21">
        <v>42064</v>
      </c>
      <c r="Y39" s="13"/>
      <c r="AC39" t="s">
        <v>51</v>
      </c>
      <c r="AD39" s="21">
        <v>40664</v>
      </c>
      <c r="AF39" s="13"/>
      <c r="AK39" t="s">
        <v>50</v>
      </c>
      <c r="AL39" s="2">
        <v>466600</v>
      </c>
      <c r="AN39" s="13"/>
      <c r="AR39" t="s">
        <v>52</v>
      </c>
      <c r="AS39">
        <v>20</v>
      </c>
      <c r="AT39" t="s">
        <v>53</v>
      </c>
      <c r="AU39" s="13"/>
    </row>
    <row r="40" spans="1:50" x14ac:dyDescent="0.25">
      <c r="D40" s="13"/>
      <c r="H40" t="s">
        <v>74</v>
      </c>
      <c r="I40" s="2">
        <v>12450000</v>
      </c>
      <c r="J40" s="56">
        <v>2017</v>
      </c>
      <c r="K40" s="13"/>
      <c r="V40" t="s">
        <v>74</v>
      </c>
      <c r="W40" s="2">
        <v>285000</v>
      </c>
      <c r="X40" t="s">
        <v>76</v>
      </c>
      <c r="Y40" s="21">
        <v>42948</v>
      </c>
      <c r="AC40" t="s">
        <v>75</v>
      </c>
      <c r="AD40" s="2">
        <v>0</v>
      </c>
      <c r="AE40" t="s">
        <v>76</v>
      </c>
      <c r="AF40" s="21">
        <v>41395</v>
      </c>
      <c r="AK40" t="s">
        <v>51</v>
      </c>
      <c r="AL40" s="21">
        <v>42370</v>
      </c>
      <c r="AN40" s="13"/>
      <c r="AR40" t="s">
        <v>50</v>
      </c>
      <c r="AS40" s="2">
        <v>5320000</v>
      </c>
      <c r="AU40" s="13"/>
    </row>
    <row r="41" spans="1:50" x14ac:dyDescent="0.25">
      <c r="A41" t="s">
        <v>56</v>
      </c>
      <c r="B41" t="s">
        <v>70</v>
      </c>
      <c r="D41" s="13"/>
      <c r="H41" t="s">
        <v>75</v>
      </c>
      <c r="I41" s="2">
        <f>136000+221000</f>
        <v>357000</v>
      </c>
      <c r="J41" t="s">
        <v>76</v>
      </c>
      <c r="K41" s="21">
        <v>42583</v>
      </c>
      <c r="L41" t="s">
        <v>78</v>
      </c>
      <c r="AD41" s="2">
        <f>336000+215000</f>
        <v>551000</v>
      </c>
      <c r="AE41" t="s">
        <v>76</v>
      </c>
      <c r="AF41" s="21">
        <v>42217</v>
      </c>
      <c r="AG41" t="s">
        <v>86</v>
      </c>
      <c r="AN41" s="13"/>
      <c r="AR41" t="s">
        <v>51</v>
      </c>
      <c r="AS41" s="21">
        <v>41913</v>
      </c>
      <c r="AU41" s="13"/>
    </row>
    <row r="42" spans="1:50" x14ac:dyDescent="0.25">
      <c r="D42" s="13"/>
      <c r="K42" s="13"/>
      <c r="Y42" s="13"/>
      <c r="AK42" t="s">
        <v>56</v>
      </c>
      <c r="AL42" t="s">
        <v>70</v>
      </c>
      <c r="AN42" s="13"/>
      <c r="AR42" t="s">
        <v>75</v>
      </c>
      <c r="AS42" s="2">
        <v>0</v>
      </c>
      <c r="AT42" t="s">
        <v>76</v>
      </c>
      <c r="AU42" s="21" t="s">
        <v>90</v>
      </c>
    </row>
    <row r="43" spans="1:50" x14ac:dyDescent="0.25">
      <c r="A43" t="s">
        <v>62</v>
      </c>
      <c r="B43" s="18">
        <f>B38*E36</f>
        <v>35310</v>
      </c>
      <c r="C43" t="s">
        <v>61</v>
      </c>
      <c r="D43" s="13">
        <f>B38*F36</f>
        <v>71422.5</v>
      </c>
      <c r="H43" t="s">
        <v>56</v>
      </c>
      <c r="I43" t="s">
        <v>77</v>
      </c>
      <c r="K43" s="13"/>
      <c r="V43" t="s">
        <v>56</v>
      </c>
      <c r="W43" t="s">
        <v>58</v>
      </c>
      <c r="Y43" s="13"/>
      <c r="AC43" t="s">
        <v>56</v>
      </c>
      <c r="AD43" t="s">
        <v>85</v>
      </c>
      <c r="AF43" s="13"/>
      <c r="AN43" s="13"/>
      <c r="AS43" s="2">
        <f>(150000*2)+(215000*5)</f>
        <v>1375000</v>
      </c>
      <c r="AT43" t="s">
        <v>76</v>
      </c>
      <c r="AU43" s="21" t="s">
        <v>91</v>
      </c>
      <c r="AV43" t="s">
        <v>92</v>
      </c>
    </row>
    <row r="44" spans="1:50" x14ac:dyDescent="0.25">
      <c r="D44" s="13"/>
      <c r="K44" s="13"/>
      <c r="Y44" s="13"/>
      <c r="AF44" s="13"/>
      <c r="AK44" t="s">
        <v>62</v>
      </c>
      <c r="AL44" s="57">
        <f>AL39/AL38</f>
        <v>12961.111111111111</v>
      </c>
      <c r="AN44" s="13"/>
    </row>
    <row r="45" spans="1:50" x14ac:dyDescent="0.25">
      <c r="A45" t="s">
        <v>59</v>
      </c>
      <c r="B45" t="s">
        <v>63</v>
      </c>
      <c r="D45" s="13"/>
      <c r="H45" t="s">
        <v>62</v>
      </c>
      <c r="I45" s="18">
        <f>I38/L36</f>
        <v>850000</v>
      </c>
      <c r="J45" t="s">
        <v>61</v>
      </c>
      <c r="K45" s="13">
        <f>(2*(I38-I45))/(M36-1)</f>
        <v>1615000</v>
      </c>
      <c r="V45" t="s">
        <v>62</v>
      </c>
      <c r="W45" s="18">
        <f>W38/Z36</f>
        <v>64200</v>
      </c>
      <c r="X45" t="s">
        <v>61</v>
      </c>
      <c r="Y45" s="13">
        <f>(2*(W38-W45))/(AA36-1)</f>
        <v>102720</v>
      </c>
      <c r="AC45" t="s">
        <v>62</v>
      </c>
      <c r="AD45" s="57">
        <f>AD38*AG36</f>
        <v>92019.999999999985</v>
      </c>
      <c r="AE45" t="s">
        <v>61</v>
      </c>
      <c r="AF45" s="58">
        <f>AD38*5.15%</f>
        <v>220420.00000000003</v>
      </c>
      <c r="AN45" s="13"/>
      <c r="AR45" t="s">
        <v>56</v>
      </c>
      <c r="AS45" t="s">
        <v>93</v>
      </c>
      <c r="AU45" s="13"/>
    </row>
    <row r="46" spans="1:50" x14ac:dyDescent="0.25">
      <c r="A46">
        <v>1</v>
      </c>
      <c r="B46" s="18">
        <f>B43</f>
        <v>35310</v>
      </c>
      <c r="D46" s="13"/>
      <c r="K46" s="13"/>
      <c r="Y46" s="13"/>
      <c r="AF46" s="13"/>
      <c r="AK46" t="s">
        <v>59</v>
      </c>
      <c r="AL46" t="s">
        <v>63</v>
      </c>
      <c r="AM46" t="s">
        <v>64</v>
      </c>
      <c r="AN46" s="13"/>
      <c r="AU46" s="13"/>
    </row>
    <row r="47" spans="1:50" x14ac:dyDescent="0.25">
      <c r="A47" s="35">
        <v>2</v>
      </c>
      <c r="B47" s="36">
        <f>$D$43</f>
        <v>71422.5</v>
      </c>
      <c r="D47" s="13"/>
      <c r="H47" t="s">
        <v>59</v>
      </c>
      <c r="I47" t="s">
        <v>63</v>
      </c>
      <c r="J47" t="s">
        <v>64</v>
      </c>
      <c r="K47" s="13"/>
      <c r="V47" t="s">
        <v>59</v>
      </c>
      <c r="W47" t="s">
        <v>63</v>
      </c>
      <c r="X47" t="s">
        <v>64</v>
      </c>
      <c r="Y47" s="13"/>
      <c r="AC47" t="s">
        <v>59</v>
      </c>
      <c r="AD47" t="s">
        <v>63</v>
      </c>
      <c r="AE47" t="s">
        <v>64</v>
      </c>
      <c r="AF47" s="13"/>
      <c r="AK47">
        <v>1</v>
      </c>
      <c r="AL47" s="18">
        <f>AL44*9</f>
        <v>116650</v>
      </c>
      <c r="AM47" s="18">
        <f>AL39-AL47</f>
        <v>349950</v>
      </c>
      <c r="AN47" s="13"/>
      <c r="AR47" t="s">
        <v>62</v>
      </c>
      <c r="AS47" s="57">
        <f>AS40*AV38</f>
        <v>114379.99999999999</v>
      </c>
      <c r="AT47" t="s">
        <v>61</v>
      </c>
      <c r="AU47" s="58">
        <f>(AS40)*AW38</f>
        <v>273980</v>
      </c>
    </row>
    <row r="48" spans="1:50" x14ac:dyDescent="0.25">
      <c r="A48" s="37">
        <v>3</v>
      </c>
      <c r="B48" s="43">
        <f t="shared" ref="B48:B50" si="10">$D$43</f>
        <v>71422.5</v>
      </c>
      <c r="C48" s="18">
        <f>B38-(B46+B47*2)</f>
        <v>142845</v>
      </c>
      <c r="D48" s="13"/>
      <c r="H48" s="42">
        <v>1</v>
      </c>
      <c r="I48" s="47">
        <f>I45</f>
        <v>850000</v>
      </c>
      <c r="J48" s="18">
        <f>I38-I48</f>
        <v>16150000</v>
      </c>
      <c r="K48" s="13"/>
      <c r="V48">
        <v>1</v>
      </c>
      <c r="W48" s="18">
        <f>W45</f>
        <v>64200</v>
      </c>
      <c r="X48" s="18">
        <f>W38-W48</f>
        <v>256800</v>
      </c>
      <c r="Y48" s="13"/>
      <c r="AC48" s="42">
        <v>1</v>
      </c>
      <c r="AD48" s="47">
        <f>AD45</f>
        <v>92019.999999999985</v>
      </c>
      <c r="AE48" s="18">
        <f>AD38-AD48</f>
        <v>4187980</v>
      </c>
      <c r="AF48" s="13"/>
      <c r="AK48" s="60">
        <v>2</v>
      </c>
      <c r="AL48" s="61">
        <f>AL44*12</f>
        <v>155533.33333333334</v>
      </c>
      <c r="AM48" s="18">
        <f>AM47-AL48</f>
        <v>194416.66666666666</v>
      </c>
      <c r="AN48" s="13"/>
      <c r="AU48" s="13"/>
    </row>
    <row r="49" spans="1:59" x14ac:dyDescent="0.25">
      <c r="A49">
        <v>4</v>
      </c>
      <c r="B49" s="43">
        <f t="shared" si="10"/>
        <v>71422.5</v>
      </c>
      <c r="D49" s="13"/>
      <c r="H49" s="46">
        <v>2</v>
      </c>
      <c r="I49" s="43">
        <f>2*J48/($M$36-1)</f>
        <v>1615000</v>
      </c>
      <c r="J49" s="18">
        <f t="shared" ref="J49:J62" si="11">J48-I49</f>
        <v>14535000</v>
      </c>
      <c r="K49" s="13"/>
      <c r="V49" s="37">
        <v>2</v>
      </c>
      <c r="W49" s="40">
        <f>(2*X48)/(AA36-1)</f>
        <v>102720</v>
      </c>
      <c r="X49" s="18">
        <f>X48-W49</f>
        <v>154080</v>
      </c>
      <c r="Y49" s="13"/>
      <c r="AC49" s="46">
        <v>2</v>
      </c>
      <c r="AD49" s="43">
        <f>$AD$38*$AH$36</f>
        <v>220420</v>
      </c>
      <c r="AE49" s="18">
        <f>AE48-AD49</f>
        <v>3967560</v>
      </c>
      <c r="AF49" s="13"/>
      <c r="AK49" s="63">
        <v>3</v>
      </c>
      <c r="AL49" s="43">
        <f>AL44*12</f>
        <v>155533.33333333334</v>
      </c>
      <c r="AM49" s="47">
        <f t="shared" ref="AM49" si="12">AM48-AL49</f>
        <v>38883.333333333314</v>
      </c>
      <c r="AN49" s="64"/>
      <c r="AO49" s="42"/>
      <c r="AR49" t="s">
        <v>59</v>
      </c>
      <c r="AS49" t="s">
        <v>63</v>
      </c>
      <c r="AT49" t="s">
        <v>64</v>
      </c>
      <c r="AU49" s="13"/>
    </row>
    <row r="50" spans="1:59" x14ac:dyDescent="0.25">
      <c r="A50" s="7">
        <v>5</v>
      </c>
      <c r="B50" s="44">
        <f t="shared" si="10"/>
        <v>71422.5</v>
      </c>
      <c r="D50" s="13"/>
      <c r="H50" s="46">
        <v>3</v>
      </c>
      <c r="I50" s="43">
        <f>2*J49/($M$36-2)</f>
        <v>1530000</v>
      </c>
      <c r="J50" s="18">
        <f t="shared" si="11"/>
        <v>13005000</v>
      </c>
      <c r="K50" s="13"/>
      <c r="V50" s="35">
        <v>3</v>
      </c>
      <c r="W50" s="40">
        <f>(2*X49)/($AA$36-2)</f>
        <v>77040</v>
      </c>
      <c r="X50" s="18">
        <f t="shared" ref="X50:X52" si="13">X49-W50</f>
        <v>77040</v>
      </c>
      <c r="Y50" s="13"/>
      <c r="AC50" s="46">
        <v>3</v>
      </c>
      <c r="AD50" s="43">
        <f t="shared" ref="AD50" si="14">$AD$38*$AH$36</f>
        <v>220420</v>
      </c>
      <c r="AE50" s="18">
        <f t="shared" ref="AE50:AE64" si="15">AE49-AD50</f>
        <v>3747140</v>
      </c>
      <c r="AF50" s="13"/>
      <c r="AK50" s="7">
        <v>4</v>
      </c>
      <c r="AL50" s="44">
        <f>AL44*3</f>
        <v>38883.333333333336</v>
      </c>
      <c r="AM50" s="32">
        <f>AM49-AL50</f>
        <v>0</v>
      </c>
      <c r="AN50" s="7"/>
      <c r="AO50" s="7"/>
      <c r="AR50" s="42">
        <v>1</v>
      </c>
      <c r="AS50" s="47">
        <f>AS47</f>
        <v>114379.99999999999</v>
      </c>
      <c r="AT50" s="18">
        <f>AS40-AS50</f>
        <v>5205620</v>
      </c>
      <c r="AU50" s="13"/>
    </row>
    <row r="51" spans="1:59" x14ac:dyDescent="0.25">
      <c r="A51" t="s">
        <v>65</v>
      </c>
      <c r="B51" s="18">
        <f>SUM(B46:B50)</f>
        <v>321000</v>
      </c>
      <c r="D51" s="13"/>
      <c r="H51" s="45">
        <v>4</v>
      </c>
      <c r="I51" s="48">
        <f>2*(J50+I41)/$N$36</f>
        <v>1336200</v>
      </c>
      <c r="J51" s="36">
        <f t="shared" si="11"/>
        <v>11668800</v>
      </c>
      <c r="K51" s="13"/>
      <c r="V51">
        <v>4</v>
      </c>
      <c r="W51" s="40">
        <f>(2*X50)/($AA$36-3)</f>
        <v>51360</v>
      </c>
      <c r="X51" s="18">
        <f t="shared" si="13"/>
        <v>25680</v>
      </c>
      <c r="Y51" s="13"/>
      <c r="AC51" s="46">
        <v>4</v>
      </c>
      <c r="AD51" s="43">
        <f>$AD$38*$AH$36</f>
        <v>220420</v>
      </c>
      <c r="AE51" s="40">
        <f t="shared" si="15"/>
        <v>3526720</v>
      </c>
      <c r="AF51" s="13"/>
      <c r="AK51" t="s">
        <v>65</v>
      </c>
      <c r="AL51" s="18">
        <f>SUM(AL47:AL50)</f>
        <v>466600.00000000006</v>
      </c>
      <c r="AN51" s="13"/>
      <c r="AR51" s="46">
        <v>2</v>
      </c>
      <c r="AS51" s="43">
        <f>$AS$40*$AW$38</f>
        <v>273980</v>
      </c>
      <c r="AT51" s="18">
        <f>AT50-AS51</f>
        <v>4931640</v>
      </c>
      <c r="AU51" s="13"/>
    </row>
    <row r="52" spans="1:59" x14ac:dyDescent="0.25">
      <c r="A52" s="33" t="s">
        <v>66</v>
      </c>
      <c r="B52" s="34">
        <f>B38-B51</f>
        <v>0</v>
      </c>
      <c r="D52" s="13"/>
      <c r="H52" s="45">
        <v>5</v>
      </c>
      <c r="I52" s="48">
        <f>(2*J51)/($N$36-1)</f>
        <v>1228294.7368421052</v>
      </c>
      <c r="J52" s="36">
        <f t="shared" si="11"/>
        <v>10440505.263157895</v>
      </c>
      <c r="K52" s="13"/>
      <c r="V52" s="7">
        <v>5</v>
      </c>
      <c r="W52" s="44">
        <f>(2*X51)/($AA$36-4)</f>
        <v>25680</v>
      </c>
      <c r="X52" s="32">
        <f t="shared" si="13"/>
        <v>0</v>
      </c>
      <c r="Y52" s="13"/>
      <c r="AC52" s="45">
        <v>5</v>
      </c>
      <c r="AD52" s="73">
        <f>($AD$38+$AD$41)*$AI$36</f>
        <v>241550</v>
      </c>
      <c r="AE52" s="65">
        <f>AE51-AD52+AD41</f>
        <v>3836170</v>
      </c>
      <c r="AF52" s="13"/>
      <c r="AK52" s="33" t="s">
        <v>66</v>
      </c>
      <c r="AL52" s="34">
        <f>AL39-AL51</f>
        <v>0</v>
      </c>
      <c r="AN52" s="13"/>
      <c r="AR52" s="45">
        <v>3</v>
      </c>
      <c r="AS52" s="75">
        <f>(AS40+AS43)*$AX$38</f>
        <v>334750</v>
      </c>
      <c r="AT52" s="65">
        <f>AT51-AS52+AS43</f>
        <v>5971890</v>
      </c>
      <c r="AU52" s="13"/>
    </row>
    <row r="53" spans="1:59" x14ac:dyDescent="0.25">
      <c r="D53" s="13"/>
      <c r="H53" s="46">
        <v>6</v>
      </c>
      <c r="I53" s="49">
        <f>(2*J52)/($N$36-2)</f>
        <v>1160056.1403508773</v>
      </c>
      <c r="J53" s="18">
        <f t="shared" si="11"/>
        <v>9280449.1228070185</v>
      </c>
      <c r="K53" s="13"/>
      <c r="V53" t="s">
        <v>65</v>
      </c>
      <c r="W53" s="18">
        <f>SUM(W48:W52)</f>
        <v>321000</v>
      </c>
      <c r="Y53" s="13"/>
      <c r="AC53" s="46">
        <v>6</v>
      </c>
      <c r="AD53" s="59">
        <f t="shared" ref="AD53:AD64" si="16">($AD$38+$AD$41)*$AI$36</f>
        <v>241550</v>
      </c>
      <c r="AE53" s="18">
        <f>AE52-AD53</f>
        <v>3594620</v>
      </c>
      <c r="AF53" s="13"/>
      <c r="AN53" s="13"/>
      <c r="AR53" s="45">
        <v>4</v>
      </c>
      <c r="AS53" s="62">
        <f>$AS$52</f>
        <v>334750</v>
      </c>
      <c r="AT53" s="36">
        <f t="shared" ref="AT53:AT70" si="17">AT52-AS53</f>
        <v>5637140</v>
      </c>
      <c r="AU53" s="13"/>
    </row>
    <row r="54" spans="1:59" x14ac:dyDescent="0.25">
      <c r="D54" s="13"/>
      <c r="H54" s="46">
        <v>7</v>
      </c>
      <c r="I54" s="49">
        <f>(2*J53)/($N$36-3)</f>
        <v>1091817.5438596492</v>
      </c>
      <c r="J54" s="18">
        <f t="shared" si="11"/>
        <v>8188631.578947369</v>
      </c>
      <c r="K54" s="13"/>
      <c r="V54" s="33" t="s">
        <v>66</v>
      </c>
      <c r="W54" s="34">
        <f>W38-W53</f>
        <v>0</v>
      </c>
      <c r="Y54" s="13"/>
      <c r="AC54" s="45">
        <v>7</v>
      </c>
      <c r="AD54" s="59">
        <f t="shared" si="16"/>
        <v>241550</v>
      </c>
      <c r="AE54" s="36">
        <f>AE53-AD54</f>
        <v>3353070</v>
      </c>
      <c r="AF54" s="13"/>
      <c r="AI54" s="42"/>
      <c r="AR54" s="46">
        <v>5</v>
      </c>
      <c r="AS54" s="59">
        <f t="shared" ref="AS54:AS69" si="18">$AS$52</f>
        <v>334750</v>
      </c>
      <c r="AT54" s="40">
        <f>AT53-AS54</f>
        <v>5302390</v>
      </c>
      <c r="AU54" s="13"/>
    </row>
    <row r="55" spans="1:59" x14ac:dyDescent="0.25">
      <c r="A55" t="s">
        <v>67</v>
      </c>
      <c r="D55" s="13"/>
      <c r="H55" s="46">
        <v>8</v>
      </c>
      <c r="I55" s="49">
        <f>(2*J54)/($N$36-4)</f>
        <v>1023578.9473684211</v>
      </c>
      <c r="J55" s="18">
        <f t="shared" si="11"/>
        <v>7165052.6315789483</v>
      </c>
      <c r="Y55" s="13"/>
      <c r="AC55" s="46">
        <v>8</v>
      </c>
      <c r="AD55" s="59">
        <f t="shared" si="16"/>
        <v>241550</v>
      </c>
      <c r="AE55" s="18">
        <f>AE54-AD55</f>
        <v>3111520</v>
      </c>
      <c r="AI55" s="42"/>
      <c r="AK55" t="s">
        <v>67</v>
      </c>
      <c r="AN55" s="13"/>
      <c r="AR55" s="46">
        <v>6</v>
      </c>
      <c r="AS55" s="59">
        <f t="shared" si="18"/>
        <v>334750</v>
      </c>
      <c r="AT55" s="40">
        <f t="shared" si="17"/>
        <v>4967640</v>
      </c>
      <c r="AU55" s="13"/>
    </row>
    <row r="56" spans="1:59" x14ac:dyDescent="0.25">
      <c r="B56" s="10" t="s">
        <v>17</v>
      </c>
      <c r="C56" s="9" t="s">
        <v>18</v>
      </c>
      <c r="D56" s="13" t="s">
        <v>19</v>
      </c>
      <c r="H56" s="46">
        <v>9</v>
      </c>
      <c r="I56" s="49">
        <f>(2*J55)/($N$36-5)</f>
        <v>955340.35087719315</v>
      </c>
      <c r="J56" s="18">
        <f t="shared" si="11"/>
        <v>6209712.2807017555</v>
      </c>
      <c r="Y56" s="13"/>
      <c r="AC56" s="46">
        <v>9</v>
      </c>
      <c r="AD56" s="59">
        <f t="shared" si="16"/>
        <v>241550</v>
      </c>
      <c r="AE56" s="18">
        <f t="shared" si="15"/>
        <v>2869970</v>
      </c>
      <c r="AG56" s="42"/>
      <c r="AH56" s="42"/>
      <c r="AI56" s="42"/>
      <c r="AL56" s="10" t="s">
        <v>17</v>
      </c>
      <c r="AM56" s="9" t="s">
        <v>18</v>
      </c>
      <c r="AN56" s="13" t="s">
        <v>19</v>
      </c>
      <c r="AR56" s="46">
        <v>7</v>
      </c>
      <c r="AS56" s="59">
        <f t="shared" si="18"/>
        <v>334750</v>
      </c>
      <c r="AT56" s="40">
        <f t="shared" si="17"/>
        <v>4632890</v>
      </c>
      <c r="AU56" s="13"/>
      <c r="AX56" s="42"/>
    </row>
    <row r="57" spans="1:59" s="42" customFormat="1" x14ac:dyDescent="0.25">
      <c r="A57" s="41" t="s">
        <v>2</v>
      </c>
      <c r="B57" s="19">
        <v>85000</v>
      </c>
      <c r="C57" s="19">
        <f>-B47</f>
        <v>-71422.5</v>
      </c>
      <c r="D57" s="19">
        <f>B57+C57</f>
        <v>13577.5</v>
      </c>
      <c r="H57" s="46">
        <v>10</v>
      </c>
      <c r="I57" s="49">
        <f>(2*J56)/($N$36-6)</f>
        <v>887101.75438596506</v>
      </c>
      <c r="J57" s="18">
        <f t="shared" si="11"/>
        <v>5322610.5263157906</v>
      </c>
      <c r="K57"/>
      <c r="L57"/>
      <c r="M57"/>
      <c r="V57"/>
      <c r="W57"/>
      <c r="X57"/>
      <c r="Y57"/>
      <c r="Z57"/>
      <c r="AC57" s="46">
        <v>10</v>
      </c>
      <c r="AD57" s="59">
        <f t="shared" si="16"/>
        <v>241550</v>
      </c>
      <c r="AE57" s="18">
        <f>AE56-AD57</f>
        <v>2628420</v>
      </c>
      <c r="AF57"/>
      <c r="AK57" s="41" t="s">
        <v>2</v>
      </c>
      <c r="AL57" s="19">
        <v>65000</v>
      </c>
      <c r="AM57" s="19">
        <f>-AL48</f>
        <v>-155533.33333333334</v>
      </c>
      <c r="AN57" s="19">
        <f>AL57+AM57</f>
        <v>-90533.333333333343</v>
      </c>
      <c r="AP57"/>
      <c r="AQ57"/>
      <c r="AR57" s="46">
        <v>8</v>
      </c>
      <c r="AS57" s="59">
        <f t="shared" si="18"/>
        <v>334750</v>
      </c>
      <c r="AT57" s="40">
        <f t="shared" si="17"/>
        <v>4298140</v>
      </c>
      <c r="AU57"/>
      <c r="AV57"/>
      <c r="AW57"/>
      <c r="AY57"/>
      <c r="AZ57"/>
      <c r="BA57"/>
      <c r="BB57"/>
      <c r="BC57"/>
      <c r="BD57"/>
      <c r="BE57"/>
      <c r="BF57"/>
      <c r="BG57"/>
    </row>
    <row r="58" spans="1:59" s="42" customFormat="1" x14ac:dyDescent="0.25">
      <c r="A58" s="41" t="s">
        <v>79</v>
      </c>
      <c r="B58" s="19">
        <f>270000</f>
        <v>270000</v>
      </c>
      <c r="C58" s="19">
        <f>-I52/2</f>
        <v>-614147.36842105258</v>
      </c>
      <c r="D58" s="19">
        <f>B58+C58</f>
        <v>-344147.36842105258</v>
      </c>
      <c r="H58" s="46">
        <v>11</v>
      </c>
      <c r="I58" s="49">
        <f>(2*J57)/($N$36-7)</f>
        <v>818863.15789473697</v>
      </c>
      <c r="J58" s="18">
        <f t="shared" si="11"/>
        <v>4503747.3684210535</v>
      </c>
      <c r="K58"/>
      <c r="L58"/>
      <c r="M58"/>
      <c r="V58" t="s">
        <v>67</v>
      </c>
      <c r="W58"/>
      <c r="X58"/>
      <c r="Y58" s="13"/>
      <c r="Z58"/>
      <c r="AC58" s="46">
        <v>11</v>
      </c>
      <c r="AD58" s="59">
        <f t="shared" si="16"/>
        <v>241550</v>
      </c>
      <c r="AE58" s="18">
        <f t="shared" si="15"/>
        <v>2386870</v>
      </c>
      <c r="AF58"/>
      <c r="AK58" s="6" t="s">
        <v>3</v>
      </c>
      <c r="AL58" s="20">
        <f>210000</f>
        <v>210000</v>
      </c>
      <c r="AM58" s="20">
        <f>-AS53</f>
        <v>-334750</v>
      </c>
      <c r="AN58" s="20">
        <f>AL58+AM58</f>
        <v>-124750</v>
      </c>
      <c r="AQ58"/>
      <c r="AR58" s="46">
        <v>9</v>
      </c>
      <c r="AS58" s="59">
        <f t="shared" si="18"/>
        <v>334750</v>
      </c>
      <c r="AT58" s="40">
        <f t="shared" si="17"/>
        <v>3963390</v>
      </c>
      <c r="AU58"/>
      <c r="AY58"/>
      <c r="AZ58"/>
      <c r="BA58"/>
      <c r="BB58"/>
      <c r="BC58"/>
      <c r="BD58"/>
      <c r="BE58"/>
      <c r="BF58"/>
      <c r="BG58"/>
    </row>
    <row r="59" spans="1:59" s="42" customFormat="1" x14ac:dyDescent="0.25">
      <c r="A59" s="6" t="s">
        <v>80</v>
      </c>
      <c r="B59" s="20">
        <f>I40</f>
        <v>12450000</v>
      </c>
      <c r="C59" s="20">
        <f>-J52</f>
        <v>-10440505.263157895</v>
      </c>
      <c r="D59" s="20">
        <f>B59+C59</f>
        <v>2009494.7368421052</v>
      </c>
      <c r="H59" s="46">
        <v>12</v>
      </c>
      <c r="I59" s="49">
        <f>(2*J58)/($N$36-8)</f>
        <v>750624.56140350888</v>
      </c>
      <c r="J59" s="18">
        <f t="shared" si="11"/>
        <v>3753122.8070175448</v>
      </c>
      <c r="V59"/>
      <c r="W59" s="10" t="s">
        <v>17</v>
      </c>
      <c r="X59" s="9" t="s">
        <v>18</v>
      </c>
      <c r="Y59" s="13" t="s">
        <v>19</v>
      </c>
      <c r="Z59"/>
      <c r="AC59" s="46">
        <v>12</v>
      </c>
      <c r="AD59" s="59">
        <f t="shared" si="16"/>
        <v>241550</v>
      </c>
      <c r="AE59" s="18">
        <f t="shared" si="15"/>
        <v>2145320</v>
      </c>
      <c r="AK59" s="8"/>
      <c r="AL59" s="25"/>
      <c r="AM59" s="25"/>
      <c r="AN59" s="25">
        <f>SUM(AN57:AN58)</f>
        <v>-215283.33333333334</v>
      </c>
      <c r="AR59" s="46">
        <v>10</v>
      </c>
      <c r="AS59" s="59">
        <f t="shared" si="18"/>
        <v>334750</v>
      </c>
      <c r="AT59" s="40">
        <f t="shared" si="17"/>
        <v>3628640</v>
      </c>
      <c r="AU59"/>
    </row>
    <row r="60" spans="1:59" s="42" customFormat="1" x14ac:dyDescent="0.25">
      <c r="D60" s="47">
        <f>SUM(D57:D59)</f>
        <v>1678924.8684210526</v>
      </c>
      <c r="H60" s="46">
        <v>13</v>
      </c>
      <c r="I60" s="49">
        <f>(2*J59)/($N$36-9)</f>
        <v>682385.96491228091</v>
      </c>
      <c r="J60" s="18">
        <f t="shared" si="11"/>
        <v>3070736.8421052638</v>
      </c>
      <c r="V60" s="41" t="s">
        <v>84</v>
      </c>
      <c r="W60" s="19">
        <v>30000</v>
      </c>
      <c r="X60" s="19">
        <f>-W50/2</f>
        <v>-38520</v>
      </c>
      <c r="Y60" s="19">
        <f>W60+X60</f>
        <v>-8520</v>
      </c>
      <c r="AC60" s="46">
        <v>13</v>
      </c>
      <c r="AD60" s="59">
        <f t="shared" si="16"/>
        <v>241550</v>
      </c>
      <c r="AE60" s="18">
        <f t="shared" si="15"/>
        <v>1903770</v>
      </c>
      <c r="AG60"/>
      <c r="AH60"/>
      <c r="AI60"/>
      <c r="AN60" s="47"/>
      <c r="AR60" s="46">
        <v>11</v>
      </c>
      <c r="AS60" s="59">
        <f t="shared" si="18"/>
        <v>334750</v>
      </c>
      <c r="AT60" s="40">
        <f t="shared" si="17"/>
        <v>3293890</v>
      </c>
      <c r="AU60"/>
    </row>
    <row r="61" spans="1:59" s="42" customFormat="1" x14ac:dyDescent="0.25">
      <c r="H61" s="46">
        <v>14</v>
      </c>
      <c r="I61" s="49">
        <f>(2*J60)/($N$36-10)</f>
        <v>614147.36842105282</v>
      </c>
      <c r="J61" s="18">
        <f t="shared" si="11"/>
        <v>2456589.4736842113</v>
      </c>
      <c r="V61" s="41" t="s">
        <v>83</v>
      </c>
      <c r="W61" s="19">
        <f>W40</f>
        <v>285000</v>
      </c>
      <c r="X61" s="19">
        <f>-X50</f>
        <v>-77040</v>
      </c>
      <c r="Y61" s="19">
        <f>W61+X61</f>
        <v>207960</v>
      </c>
      <c r="AC61" s="46">
        <v>14</v>
      </c>
      <c r="AD61" s="59">
        <f t="shared" si="16"/>
        <v>241550</v>
      </c>
      <c r="AE61" s="18">
        <f>AE60-AD61</f>
        <v>1662220</v>
      </c>
      <c r="AG61"/>
      <c r="AH61"/>
      <c r="AI61"/>
      <c r="AR61" s="46">
        <v>12</v>
      </c>
      <c r="AS61" s="59">
        <f t="shared" si="18"/>
        <v>334750</v>
      </c>
      <c r="AT61" s="18">
        <f t="shared" si="17"/>
        <v>2959140</v>
      </c>
    </row>
    <row r="62" spans="1:59" s="42" customFormat="1" x14ac:dyDescent="0.25">
      <c r="H62" s="46">
        <v>15</v>
      </c>
      <c r="I62" s="49">
        <f>(2*J61)/($N$36-11)</f>
        <v>545908.77192982472</v>
      </c>
      <c r="J62" s="18">
        <f t="shared" si="11"/>
        <v>1910680.7017543865</v>
      </c>
      <c r="V62" s="6" t="s">
        <v>3</v>
      </c>
      <c r="W62" s="20">
        <f>775000</f>
        <v>775000</v>
      </c>
      <c r="X62" s="20">
        <f>-AD54</f>
        <v>-241550</v>
      </c>
      <c r="Y62" s="20">
        <f>W62+X62</f>
        <v>533450</v>
      </c>
      <c r="AC62" s="46">
        <v>15</v>
      </c>
      <c r="AD62" s="59">
        <f t="shared" si="16"/>
        <v>241550</v>
      </c>
      <c r="AE62" s="18">
        <f t="shared" si="15"/>
        <v>1420670</v>
      </c>
      <c r="AG62"/>
      <c r="AH62"/>
      <c r="AI62"/>
      <c r="AR62" s="46">
        <v>13</v>
      </c>
      <c r="AS62" s="59">
        <f t="shared" si="18"/>
        <v>334750</v>
      </c>
      <c r="AT62" s="18">
        <f t="shared" si="17"/>
        <v>2624390</v>
      </c>
      <c r="AV62"/>
      <c r="AW62"/>
      <c r="AX62"/>
    </row>
    <row r="63" spans="1:59" x14ac:dyDescent="0.25">
      <c r="H63" s="46">
        <v>16</v>
      </c>
      <c r="I63" s="49">
        <f>(2*J62)/($N$36-12)</f>
        <v>477670.17543859663</v>
      </c>
      <c r="J63" s="18">
        <f t="shared" ref="J63:J66" si="19">J62-I63</f>
        <v>1433010.5263157899</v>
      </c>
      <c r="V63" s="42"/>
      <c r="W63" s="42"/>
      <c r="X63" s="42"/>
      <c r="Y63" s="47">
        <f>SUM(Y60:Y62)</f>
        <v>732890</v>
      </c>
      <c r="Z63" s="42"/>
      <c r="AC63" s="46">
        <v>16</v>
      </c>
      <c r="AD63" s="59">
        <f t="shared" si="16"/>
        <v>241550</v>
      </c>
      <c r="AE63" s="18">
        <f t="shared" si="15"/>
        <v>1179120</v>
      </c>
      <c r="AP63" s="42"/>
      <c r="AQ63" s="42"/>
      <c r="AR63" s="46">
        <v>14</v>
      </c>
      <c r="AS63" s="59">
        <f t="shared" si="18"/>
        <v>334750</v>
      </c>
      <c r="AT63" s="18">
        <f t="shared" si="17"/>
        <v>2289640</v>
      </c>
      <c r="AU63" s="42"/>
      <c r="AY63" s="42"/>
      <c r="AZ63" s="42"/>
      <c r="BA63" s="42"/>
      <c r="BB63" s="42"/>
      <c r="BC63" s="42"/>
      <c r="BD63" s="42"/>
      <c r="BE63" s="42"/>
      <c r="BF63" s="42"/>
      <c r="BG63" s="42"/>
    </row>
    <row r="64" spans="1:59" x14ac:dyDescent="0.25">
      <c r="H64" s="46">
        <v>17</v>
      </c>
      <c r="I64" s="49">
        <f>(2*J63)/($N$36-13)</f>
        <v>409431.57894736854</v>
      </c>
      <c r="J64" s="18">
        <f t="shared" si="19"/>
        <v>1023578.9473684214</v>
      </c>
      <c r="V64" s="42"/>
      <c r="W64" s="42"/>
      <c r="X64" s="42"/>
      <c r="Y64" s="42"/>
      <c r="Z64" s="42"/>
      <c r="AC64" s="46">
        <v>17</v>
      </c>
      <c r="AD64" s="59">
        <f t="shared" si="16"/>
        <v>241550</v>
      </c>
      <c r="AE64" s="18">
        <f t="shared" si="15"/>
        <v>937570</v>
      </c>
      <c r="AQ64" s="42"/>
      <c r="AR64" s="46">
        <v>15</v>
      </c>
      <c r="AS64" s="59">
        <f t="shared" si="18"/>
        <v>334750</v>
      </c>
      <c r="AT64" s="18">
        <f t="shared" si="17"/>
        <v>1954890</v>
      </c>
      <c r="AU64" s="42"/>
      <c r="AY64" s="42"/>
      <c r="AZ64" s="42"/>
      <c r="BA64" s="42"/>
      <c r="BB64" s="42"/>
      <c r="BC64" s="42"/>
      <c r="BD64" s="42"/>
      <c r="BE64" s="42"/>
      <c r="BF64" s="42"/>
      <c r="BG64" s="42"/>
    </row>
    <row r="65" spans="8:46" x14ac:dyDescent="0.25">
      <c r="H65" s="46">
        <v>18</v>
      </c>
      <c r="I65" s="49">
        <f>(2*J64)/($N$36-14)</f>
        <v>341192.98245614045</v>
      </c>
      <c r="J65" s="18">
        <f t="shared" si="19"/>
        <v>682385.96491228091</v>
      </c>
      <c r="V65" s="42"/>
      <c r="W65" s="42"/>
      <c r="X65" s="42"/>
      <c r="Y65" s="42"/>
      <c r="Z65" s="42"/>
      <c r="AC65" s="46">
        <v>18</v>
      </c>
      <c r="AD65" s="59">
        <f>($AD$38+$AD$41)*$AI$36</f>
        <v>241550</v>
      </c>
      <c r="AE65" s="18">
        <f>AE64-AD65</f>
        <v>696020</v>
      </c>
      <c r="AR65" s="46">
        <v>16</v>
      </c>
      <c r="AS65" s="59">
        <f t="shared" si="18"/>
        <v>334750</v>
      </c>
      <c r="AT65" s="18">
        <f t="shared" si="17"/>
        <v>1620140</v>
      </c>
    </row>
    <row r="66" spans="8:46" x14ac:dyDescent="0.25">
      <c r="H66" s="42">
        <v>19</v>
      </c>
      <c r="I66" s="49">
        <f>(2*J65)/($N$36-15)</f>
        <v>272954.38596491236</v>
      </c>
      <c r="J66" s="18">
        <f t="shared" si="19"/>
        <v>409431.57894736854</v>
      </c>
      <c r="AC66" s="42">
        <v>19</v>
      </c>
      <c r="AD66" s="59">
        <f>($AD$38+$AD$41)*$AI$36</f>
        <v>241550</v>
      </c>
      <c r="AE66" s="18">
        <f t="shared" ref="AE66:AE68" si="20">AE65-AD66</f>
        <v>454470</v>
      </c>
      <c r="AR66" s="76">
        <v>17</v>
      </c>
      <c r="AS66" s="66">
        <f t="shared" si="18"/>
        <v>334750</v>
      </c>
      <c r="AT66" s="77">
        <f t="shared" si="17"/>
        <v>1285390</v>
      </c>
    </row>
    <row r="67" spans="8:46" x14ac:dyDescent="0.25">
      <c r="H67" s="42">
        <v>20</v>
      </c>
      <c r="I67" s="49">
        <f>(2*J66)/($N$36-16)</f>
        <v>204715.78947368427</v>
      </c>
      <c r="J67" s="47">
        <f>J66-I67</f>
        <v>204715.78947368427</v>
      </c>
      <c r="AC67" s="67">
        <v>20</v>
      </c>
      <c r="AD67" s="66">
        <f>($AD$38+$AD$41)*$AI$36</f>
        <v>241550</v>
      </c>
      <c r="AE67" s="68">
        <f t="shared" si="20"/>
        <v>212920</v>
      </c>
      <c r="AR67" s="76">
        <v>18</v>
      </c>
      <c r="AS67" s="66">
        <f t="shared" si="18"/>
        <v>334750</v>
      </c>
      <c r="AT67" s="77">
        <f t="shared" si="17"/>
        <v>950640</v>
      </c>
    </row>
    <row r="68" spans="8:46" x14ac:dyDescent="0.25">
      <c r="H68" s="50">
        <v>21</v>
      </c>
      <c r="I68" s="51">
        <f>(2*J67)/($N$36-17)</f>
        <v>136477.19298245618</v>
      </c>
      <c r="J68" s="52">
        <f t="shared" ref="J68:J69" si="21">J67-I68</f>
        <v>68238.596491228091</v>
      </c>
      <c r="AC68" s="69">
        <v>21</v>
      </c>
      <c r="AD68" s="70">
        <f>AE67</f>
        <v>212920</v>
      </c>
      <c r="AE68" s="71">
        <f t="shared" si="20"/>
        <v>0</v>
      </c>
      <c r="AR68" s="67">
        <v>19</v>
      </c>
      <c r="AS68" s="66">
        <f t="shared" si="18"/>
        <v>334750</v>
      </c>
      <c r="AT68" s="77">
        <f t="shared" si="17"/>
        <v>615890</v>
      </c>
    </row>
    <row r="69" spans="8:46" x14ac:dyDescent="0.25">
      <c r="H69" s="53">
        <v>22</v>
      </c>
      <c r="I69" s="54">
        <f>(2*J68)/($N$36-18)</f>
        <v>68238.596491228091</v>
      </c>
      <c r="J69" s="55">
        <f t="shared" si="21"/>
        <v>0</v>
      </c>
      <c r="AC69" s="72" t="s">
        <v>65</v>
      </c>
      <c r="AD69" s="73">
        <f>SUM(AD48:AD68)</f>
        <v>4831000</v>
      </c>
      <c r="AE69" s="72"/>
      <c r="AR69" s="67">
        <v>20</v>
      </c>
      <c r="AS69" s="66">
        <f t="shared" si="18"/>
        <v>334750</v>
      </c>
      <c r="AT69" s="68">
        <f t="shared" si="17"/>
        <v>281140</v>
      </c>
    </row>
    <row r="70" spans="8:46" x14ac:dyDescent="0.25">
      <c r="H70" t="s">
        <v>65</v>
      </c>
      <c r="I70" s="18">
        <f>SUM(I48:I69)</f>
        <v>17000000</v>
      </c>
      <c r="J70" s="47"/>
      <c r="AC70" s="74" t="s">
        <v>66</v>
      </c>
      <c r="AD70" s="73">
        <f>AD38+AD41-AD69</f>
        <v>0</v>
      </c>
      <c r="AE70" s="72"/>
      <c r="AR70" s="69">
        <v>21</v>
      </c>
      <c r="AS70" s="71">
        <f>AT69</f>
        <v>281140</v>
      </c>
      <c r="AT70" s="71">
        <f t="shared" si="17"/>
        <v>0</v>
      </c>
    </row>
    <row r="71" spans="8:46" x14ac:dyDescent="0.25">
      <c r="H71" s="33" t="s">
        <v>66</v>
      </c>
      <c r="I71" s="34">
        <f>I38-I70</f>
        <v>0</v>
      </c>
      <c r="AR71" s="72" t="s">
        <v>65</v>
      </c>
      <c r="AS71" s="73">
        <f>SUM(AS50:AS70)</f>
        <v>6695000</v>
      </c>
      <c r="AT71" s="72"/>
    </row>
    <row r="72" spans="8:46" x14ac:dyDescent="0.25">
      <c r="AR72" s="74" t="s">
        <v>66</v>
      </c>
      <c r="AS72" s="73">
        <f>AS40+AS43-AS71</f>
        <v>0</v>
      </c>
      <c r="AT72" s="72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8"/>
  <sheetViews>
    <sheetView topLeftCell="N1" zoomScale="130" zoomScaleNormal="130" workbookViewId="0">
      <selection activeCell="J17" sqref="J17"/>
    </sheetView>
  </sheetViews>
  <sheetFormatPr defaultRowHeight="15" x14ac:dyDescent="0.25"/>
  <cols>
    <col min="2" max="2" width="26.140625" customWidth="1"/>
    <col min="3" max="3" width="14.5703125" customWidth="1"/>
    <col min="4" max="4" width="14.140625" customWidth="1"/>
    <col min="10" max="10" width="23.42578125" customWidth="1"/>
    <col min="11" max="11" width="14.140625" customWidth="1"/>
    <col min="12" max="12" width="16.42578125" customWidth="1"/>
    <col min="18" max="18" width="25.85546875" customWidth="1"/>
    <col min="19" max="19" width="17.42578125" customWidth="1"/>
    <col min="20" max="20" width="11.85546875" customWidth="1"/>
    <col min="26" max="26" width="23.140625" customWidth="1"/>
    <col min="27" max="27" width="15.28515625" customWidth="1"/>
    <col min="28" max="28" width="13.7109375" customWidth="1"/>
  </cols>
  <sheetData>
    <row r="2" spans="1:29" x14ac:dyDescent="0.25">
      <c r="A2" s="35" t="s">
        <v>104</v>
      </c>
      <c r="I2" s="35" t="s">
        <v>105</v>
      </c>
      <c r="Q2" s="35" t="s">
        <v>106</v>
      </c>
      <c r="Y2" s="35" t="s">
        <v>109</v>
      </c>
    </row>
    <row r="3" spans="1:29" x14ac:dyDescent="0.25">
      <c r="A3" s="35"/>
      <c r="I3" s="35"/>
      <c r="Q3" s="35"/>
      <c r="Y3" s="35"/>
    </row>
    <row r="4" spans="1:29" x14ac:dyDescent="0.25">
      <c r="B4" t="s">
        <v>1</v>
      </c>
      <c r="C4" s="2">
        <v>17805000</v>
      </c>
      <c r="D4" s="13"/>
      <c r="J4" t="s">
        <v>1</v>
      </c>
      <c r="K4" s="2">
        <v>9115000</v>
      </c>
      <c r="L4" s="13"/>
      <c r="R4" t="s">
        <v>1</v>
      </c>
      <c r="S4" s="2">
        <v>5614000</v>
      </c>
      <c r="T4" s="13"/>
      <c r="Z4" t="s">
        <v>1</v>
      </c>
      <c r="AA4" s="2">
        <v>2115000</v>
      </c>
      <c r="AB4" s="13"/>
    </row>
    <row r="5" spans="1:29" x14ac:dyDescent="0.25">
      <c r="D5" s="13"/>
      <c r="L5" s="13"/>
      <c r="T5" s="13"/>
      <c r="AB5" s="13"/>
    </row>
    <row r="6" spans="1:29" x14ac:dyDescent="0.25">
      <c r="A6" t="s">
        <v>12</v>
      </c>
      <c r="C6" t="s">
        <v>13</v>
      </c>
      <c r="D6" s="13"/>
      <c r="I6" t="s">
        <v>12</v>
      </c>
      <c r="K6" t="s">
        <v>13</v>
      </c>
      <c r="L6" s="13"/>
      <c r="Q6" t="s">
        <v>12</v>
      </c>
      <c r="S6" t="s">
        <v>13</v>
      </c>
      <c r="T6" s="13"/>
      <c r="Y6" t="s">
        <v>12</v>
      </c>
      <c r="AA6" t="s">
        <v>13</v>
      </c>
      <c r="AB6" s="13"/>
    </row>
    <row r="7" spans="1:29" x14ac:dyDescent="0.25">
      <c r="A7" s="1" t="s">
        <v>2</v>
      </c>
      <c r="B7" s="1" t="s">
        <v>24</v>
      </c>
      <c r="C7" s="85" t="s">
        <v>107</v>
      </c>
      <c r="D7" s="14"/>
      <c r="I7" s="1" t="s">
        <v>2</v>
      </c>
      <c r="J7" s="1" t="s">
        <v>24</v>
      </c>
      <c r="K7" s="85" t="s">
        <v>107</v>
      </c>
      <c r="L7" s="14"/>
      <c r="Q7" s="1" t="s">
        <v>2</v>
      </c>
      <c r="R7" s="1" t="s">
        <v>24</v>
      </c>
      <c r="S7" s="85" t="s">
        <v>107</v>
      </c>
      <c r="T7" s="14"/>
      <c r="Y7" s="1" t="s">
        <v>2</v>
      </c>
      <c r="Z7" s="1" t="s">
        <v>24</v>
      </c>
      <c r="AA7" s="85" t="s">
        <v>107</v>
      </c>
      <c r="AB7" s="14"/>
    </row>
    <row r="8" spans="1:29" x14ac:dyDescent="0.25">
      <c r="A8" s="1" t="s">
        <v>3</v>
      </c>
      <c r="B8" s="1" t="s">
        <v>24</v>
      </c>
      <c r="C8" s="86">
        <f>50*200</f>
        <v>10000</v>
      </c>
      <c r="D8" s="14"/>
      <c r="I8" s="1" t="s">
        <v>3</v>
      </c>
      <c r="J8" s="1" t="s">
        <v>24</v>
      </c>
      <c r="K8" s="86">
        <f>50*(200-50)</f>
        <v>7500</v>
      </c>
      <c r="L8" s="14"/>
      <c r="Q8" s="1" t="s">
        <v>3</v>
      </c>
      <c r="R8" s="1" t="s">
        <v>24</v>
      </c>
      <c r="S8" s="86">
        <f>18*5*(1500+700)</f>
        <v>198000</v>
      </c>
      <c r="T8" s="14"/>
      <c r="Y8" s="1" t="s">
        <v>3</v>
      </c>
      <c r="Z8" s="1" t="s">
        <v>24</v>
      </c>
      <c r="AA8" s="86">
        <f>50*1*200</f>
        <v>10000</v>
      </c>
      <c r="AB8" s="14"/>
    </row>
    <row r="9" spans="1:29" x14ac:dyDescent="0.25">
      <c r="A9" s="1" t="s">
        <v>4</v>
      </c>
      <c r="B9" s="1" t="s">
        <v>24</v>
      </c>
      <c r="C9" s="77">
        <f>5*15*(1625+650)</f>
        <v>170625</v>
      </c>
      <c r="D9" s="14"/>
      <c r="E9" s="2"/>
      <c r="I9" s="1" t="s">
        <v>4</v>
      </c>
      <c r="J9" s="1" t="s">
        <v>24</v>
      </c>
      <c r="K9" s="77">
        <f>1500*52</f>
        <v>78000</v>
      </c>
      <c r="L9" s="14"/>
      <c r="M9" s="2"/>
      <c r="Q9" s="1" t="s">
        <v>4</v>
      </c>
      <c r="R9" s="81" t="s">
        <v>103</v>
      </c>
      <c r="S9" s="83">
        <v>15500</v>
      </c>
      <c r="T9" s="14" t="s">
        <v>7</v>
      </c>
      <c r="U9" t="s">
        <v>102</v>
      </c>
      <c r="Y9" s="1" t="s">
        <v>4</v>
      </c>
      <c r="Z9" s="1" t="s">
        <v>24</v>
      </c>
      <c r="AA9" s="77">
        <f>5*15*(1625+650)</f>
        <v>170625</v>
      </c>
      <c r="AB9" s="14"/>
      <c r="AC9" s="2"/>
    </row>
    <row r="10" spans="1:29" x14ac:dyDescent="0.25">
      <c r="A10" s="1" t="s">
        <v>5</v>
      </c>
      <c r="B10" s="1" t="s">
        <v>24</v>
      </c>
      <c r="C10" s="77">
        <f>2000*52</f>
        <v>104000</v>
      </c>
      <c r="D10" s="14"/>
      <c r="E10" s="2"/>
      <c r="I10" s="1" t="s">
        <v>5</v>
      </c>
      <c r="J10" s="81" t="s">
        <v>103</v>
      </c>
      <c r="K10" s="83">
        <v>1800</v>
      </c>
      <c r="L10" s="14" t="s">
        <v>7</v>
      </c>
      <c r="M10" t="s">
        <v>108</v>
      </c>
      <c r="Q10" s="81"/>
      <c r="R10" s="81"/>
      <c r="S10" s="83"/>
      <c r="T10" s="14"/>
      <c r="Y10" s="1" t="s">
        <v>5</v>
      </c>
      <c r="Z10" s="1" t="s">
        <v>24</v>
      </c>
      <c r="AA10" s="77">
        <f>5300*52</f>
        <v>275600</v>
      </c>
      <c r="AB10" s="14"/>
      <c r="AC10" s="2"/>
    </row>
    <row r="11" spans="1:29" x14ac:dyDescent="0.25">
      <c r="A11" s="1" t="s">
        <v>6</v>
      </c>
      <c r="B11" s="81" t="s">
        <v>103</v>
      </c>
      <c r="C11" s="83">
        <v>75120</v>
      </c>
      <c r="D11" s="14" t="s">
        <v>7</v>
      </c>
      <c r="E11" t="s">
        <v>102</v>
      </c>
      <c r="L11" s="13"/>
      <c r="T11" s="13"/>
      <c r="Y11" s="1" t="s">
        <v>6</v>
      </c>
      <c r="Z11" s="81" t="s">
        <v>103</v>
      </c>
      <c r="AA11" s="83">
        <v>75120</v>
      </c>
      <c r="AB11" s="14" t="s">
        <v>7</v>
      </c>
      <c r="AC11" t="s">
        <v>102</v>
      </c>
    </row>
    <row r="12" spans="1:29" x14ac:dyDescent="0.25">
      <c r="I12" s="1" t="s">
        <v>15</v>
      </c>
      <c r="L12" s="13"/>
      <c r="Q12" s="1" t="s">
        <v>15</v>
      </c>
      <c r="T12" s="13"/>
      <c r="AB12" s="13"/>
    </row>
    <row r="13" spans="1:29" x14ac:dyDescent="0.25">
      <c r="A13" s="1" t="s">
        <v>15</v>
      </c>
      <c r="D13" s="13"/>
      <c r="I13" s="1"/>
      <c r="J13" s="10" t="s">
        <v>17</v>
      </c>
      <c r="K13" s="9" t="s">
        <v>18</v>
      </c>
      <c r="L13" s="13" t="s">
        <v>19</v>
      </c>
      <c r="Q13" s="1"/>
      <c r="R13" s="10"/>
      <c r="S13" s="9"/>
      <c r="T13" s="13"/>
      <c r="Y13" s="1" t="s">
        <v>15</v>
      </c>
      <c r="Z13" s="10"/>
      <c r="AA13" s="9"/>
      <c r="AB13" s="13"/>
    </row>
    <row r="14" spans="1:29" x14ac:dyDescent="0.25">
      <c r="A14" s="1"/>
      <c r="B14" s="10" t="s">
        <v>17</v>
      </c>
      <c r="C14" s="9" t="s">
        <v>18</v>
      </c>
      <c r="D14" s="13" t="s">
        <v>19</v>
      </c>
      <c r="I14" s="1" t="s">
        <v>2</v>
      </c>
      <c r="J14" s="19"/>
      <c r="K14" s="19"/>
      <c r="L14" s="19"/>
      <c r="Q14" s="1"/>
      <c r="R14" s="10" t="s">
        <v>17</v>
      </c>
      <c r="S14" s="9" t="s">
        <v>18</v>
      </c>
      <c r="T14" s="13" t="s">
        <v>19</v>
      </c>
      <c r="Y14" s="1"/>
      <c r="Z14" s="10" t="s">
        <v>17</v>
      </c>
      <c r="AA14" s="9" t="s">
        <v>18</v>
      </c>
      <c r="AB14" s="13" t="s">
        <v>19</v>
      </c>
    </row>
    <row r="15" spans="1:29" x14ac:dyDescent="0.25">
      <c r="A15" s="1" t="s">
        <v>2</v>
      </c>
      <c r="B15" s="19"/>
      <c r="C15" s="19"/>
      <c r="D15" s="19"/>
      <c r="I15" s="1" t="s">
        <v>3</v>
      </c>
      <c r="J15" s="25">
        <f>K8</f>
        <v>7500</v>
      </c>
      <c r="K15" s="25">
        <f>-K8</f>
        <v>-7500</v>
      </c>
      <c r="L15" s="25">
        <f>SUM(J15:K15)</f>
        <v>0</v>
      </c>
      <c r="Q15" s="1" t="s">
        <v>2</v>
      </c>
      <c r="R15" s="19"/>
      <c r="S15" s="19"/>
      <c r="T15" s="19"/>
      <c r="Y15" s="1" t="s">
        <v>2</v>
      </c>
      <c r="Z15" s="19"/>
      <c r="AA15" s="19"/>
      <c r="AB15" s="19"/>
    </row>
    <row r="16" spans="1:29" x14ac:dyDescent="0.25">
      <c r="A16" s="1" t="s">
        <v>3</v>
      </c>
      <c r="B16" s="25">
        <f>C8</f>
        <v>10000</v>
      </c>
      <c r="C16" s="25">
        <f>-C8</f>
        <v>-10000</v>
      </c>
      <c r="D16" s="25">
        <f t="shared" ref="D16:D17" si="0">B16+C16</f>
        <v>0</v>
      </c>
      <c r="I16" s="1" t="s">
        <v>4</v>
      </c>
      <c r="J16" s="25">
        <f>K9</f>
        <v>78000</v>
      </c>
      <c r="K16" s="25">
        <f>-K9</f>
        <v>-78000</v>
      </c>
      <c r="L16" s="25">
        <f t="shared" ref="L16:L17" si="1">SUM(J16:K16)</f>
        <v>0</v>
      </c>
      <c r="Q16" s="1" t="s">
        <v>3</v>
      </c>
      <c r="R16" s="25">
        <f>S8</f>
        <v>198000</v>
      </c>
      <c r="S16" s="25">
        <f>-S8</f>
        <v>-198000</v>
      </c>
      <c r="T16" s="25">
        <f t="shared" ref="T16" si="2">R16+S16</f>
        <v>0</v>
      </c>
      <c r="Y16" s="1" t="s">
        <v>3</v>
      </c>
      <c r="Z16" s="25">
        <f>AA8</f>
        <v>10000</v>
      </c>
      <c r="AA16" s="25">
        <f>-AA8</f>
        <v>-10000</v>
      </c>
      <c r="AB16" s="25">
        <f t="shared" ref="AB16:AB19" si="3">Z16+AA16</f>
        <v>0</v>
      </c>
    </row>
    <row r="17" spans="1:30" x14ac:dyDescent="0.25">
      <c r="A17" s="1" t="s">
        <v>4</v>
      </c>
      <c r="B17" s="25">
        <f>C9</f>
        <v>170625</v>
      </c>
      <c r="C17" s="25">
        <f>-C9</f>
        <v>-170625</v>
      </c>
      <c r="D17" s="25">
        <f t="shared" si="0"/>
        <v>0</v>
      </c>
      <c r="I17" s="1" t="s">
        <v>5</v>
      </c>
      <c r="J17" s="26">
        <f>K10</f>
        <v>1800</v>
      </c>
      <c r="K17" s="26"/>
      <c r="L17" s="26">
        <f t="shared" si="1"/>
        <v>1800</v>
      </c>
      <c r="Q17" s="87" t="s">
        <v>4</v>
      </c>
      <c r="R17" s="26">
        <f>S9</f>
        <v>15500</v>
      </c>
      <c r="S17" s="26"/>
      <c r="T17" s="26">
        <f>R17+S17</f>
        <v>15500</v>
      </c>
      <c r="U17" s="84"/>
      <c r="V17" s="84"/>
      <c r="W17" s="84"/>
      <c r="X17" s="84"/>
      <c r="Y17" s="8" t="s">
        <v>4</v>
      </c>
      <c r="Z17" s="25">
        <f>AA9</f>
        <v>170625</v>
      </c>
      <c r="AA17" s="25">
        <f>-AA9</f>
        <v>-170625</v>
      </c>
      <c r="AB17" s="25">
        <f t="shared" si="3"/>
        <v>0</v>
      </c>
      <c r="AC17" s="84"/>
      <c r="AD17" s="84"/>
    </row>
    <row r="18" spans="1:30" x14ac:dyDescent="0.25">
      <c r="A18" s="1" t="s">
        <v>5</v>
      </c>
      <c r="B18" s="25">
        <f>C10</f>
        <v>104000</v>
      </c>
      <c r="C18" s="25">
        <f>-C10</f>
        <v>-104000</v>
      </c>
      <c r="D18" s="25">
        <f>B18+C18</f>
        <v>0</v>
      </c>
      <c r="I18" s="8" t="s">
        <v>20</v>
      </c>
      <c r="L18" s="13">
        <f>SUM(L14:L17)+K4</f>
        <v>9116800</v>
      </c>
      <c r="Q18" s="8" t="s">
        <v>20</v>
      </c>
      <c r="T18" s="13">
        <f>SUM(T14:T17)+S4</f>
        <v>5629500</v>
      </c>
      <c r="Y18" s="8" t="s">
        <v>5</v>
      </c>
      <c r="Z18" s="25">
        <f>AA10</f>
        <v>275600</v>
      </c>
      <c r="AA18" s="25">
        <f>-AA10</f>
        <v>-275600</v>
      </c>
      <c r="AB18" s="25">
        <f t="shared" si="3"/>
        <v>0</v>
      </c>
      <c r="AC18" s="84"/>
      <c r="AD18" s="84"/>
    </row>
    <row r="19" spans="1:30" x14ac:dyDescent="0.25">
      <c r="A19" s="6" t="s">
        <v>6</v>
      </c>
      <c r="B19" s="26">
        <f>C11</f>
        <v>75120</v>
      </c>
      <c r="C19" s="26"/>
      <c r="D19" s="26">
        <f>B19+C19</f>
        <v>75120</v>
      </c>
      <c r="L19" s="13"/>
      <c r="T19" s="13"/>
      <c r="Y19" s="87" t="s">
        <v>6</v>
      </c>
      <c r="Z19" s="26">
        <f>AA11</f>
        <v>75120</v>
      </c>
      <c r="AA19" s="26"/>
      <c r="AB19" s="26">
        <f t="shared" si="3"/>
        <v>75120</v>
      </c>
      <c r="AC19" s="84"/>
      <c r="AD19" s="84"/>
    </row>
    <row r="20" spans="1:30" x14ac:dyDescent="0.25">
      <c r="A20" s="8" t="s">
        <v>20</v>
      </c>
      <c r="D20" s="13">
        <f>SUM(D15:D19)+C4</f>
        <v>17880120</v>
      </c>
      <c r="I20" s="8" t="s">
        <v>21</v>
      </c>
      <c r="L20" s="13"/>
      <c r="Q20" s="8" t="s">
        <v>21</v>
      </c>
      <c r="T20" s="13"/>
      <c r="Y20" s="8" t="s">
        <v>20</v>
      </c>
      <c r="AB20" s="13">
        <f>SUM(AB14:AB17)+AA4</f>
        <v>2115000</v>
      </c>
    </row>
    <row r="21" spans="1:30" x14ac:dyDescent="0.25">
      <c r="D21" s="13"/>
      <c r="I21" s="6"/>
      <c r="J21" s="6"/>
      <c r="K21" s="7"/>
      <c r="L21" s="15"/>
      <c r="Q21" s="6"/>
      <c r="R21" s="6"/>
      <c r="S21" s="32"/>
      <c r="T21" s="15">
        <f>-S9</f>
        <v>-15500</v>
      </c>
      <c r="AB21" s="13"/>
    </row>
    <row r="22" spans="1:30" x14ac:dyDescent="0.25">
      <c r="A22" s="8" t="s">
        <v>21</v>
      </c>
      <c r="D22" s="13"/>
      <c r="I22" s="8" t="s">
        <v>22</v>
      </c>
      <c r="L22" s="13">
        <f>L18+L21</f>
        <v>9116800</v>
      </c>
      <c r="Q22" s="8" t="s">
        <v>22</v>
      </c>
      <c r="T22" s="13">
        <f>T18+T21</f>
        <v>5614000</v>
      </c>
      <c r="Y22" s="8" t="s">
        <v>21</v>
      </c>
      <c r="AB22" s="13"/>
    </row>
    <row r="23" spans="1:30" x14ac:dyDescent="0.25">
      <c r="A23" s="6"/>
      <c r="B23" s="6"/>
      <c r="C23" s="7"/>
      <c r="D23" s="15">
        <f>-C11</f>
        <v>-75120</v>
      </c>
      <c r="L23" s="13"/>
      <c r="T23" s="13"/>
      <c r="Y23" s="6"/>
      <c r="Z23" s="6"/>
      <c r="AA23" s="32"/>
      <c r="AB23" s="15">
        <f>-AA11</f>
        <v>-75120</v>
      </c>
    </row>
    <row r="24" spans="1:30" x14ac:dyDescent="0.25">
      <c r="A24" s="8" t="s">
        <v>22</v>
      </c>
      <c r="D24" s="13">
        <f>D20+D23</f>
        <v>17805000</v>
      </c>
      <c r="I24" s="8" t="s">
        <v>31</v>
      </c>
      <c r="L24" s="13">
        <v>9116000</v>
      </c>
      <c r="Q24" s="8" t="s">
        <v>31</v>
      </c>
      <c r="T24" s="13">
        <v>5614000</v>
      </c>
      <c r="Y24" s="8" t="s">
        <v>22</v>
      </c>
      <c r="AB24" s="13">
        <f>AB20+AB23</f>
        <v>2039880</v>
      </c>
    </row>
    <row r="25" spans="1:30" x14ac:dyDescent="0.25">
      <c r="D25" s="13"/>
      <c r="L25" s="13"/>
      <c r="T25" s="13"/>
      <c r="AB25" s="13"/>
    </row>
    <row r="26" spans="1:30" x14ac:dyDescent="0.25">
      <c r="A26" s="8" t="s">
        <v>31</v>
      </c>
      <c r="D26" s="13">
        <v>17805000</v>
      </c>
      <c r="I26" s="8" t="s">
        <v>23</v>
      </c>
      <c r="L26" s="16">
        <f>L24*0.19</f>
        <v>1732040</v>
      </c>
      <c r="Q26" s="8" t="s">
        <v>23</v>
      </c>
      <c r="T26" s="16">
        <f>T24*0.19</f>
        <v>1066660</v>
      </c>
      <c r="Y26" s="8" t="s">
        <v>31</v>
      </c>
      <c r="AB26" s="13">
        <v>2039000</v>
      </c>
    </row>
    <row r="27" spans="1:30" x14ac:dyDescent="0.25">
      <c r="D27" s="13"/>
      <c r="AB27" s="13"/>
    </row>
    <row r="28" spans="1:30" x14ac:dyDescent="0.25">
      <c r="A28" s="8" t="s">
        <v>23</v>
      </c>
      <c r="D28" s="16">
        <f>D26*0.19</f>
        <v>3382950</v>
      </c>
      <c r="Y28" s="8" t="s">
        <v>23</v>
      </c>
      <c r="AB28" s="16">
        <f>AB26*0.19</f>
        <v>387410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Ex.1-3 (full examples)</vt:lpstr>
      <vt:lpstr>Ex.4-6 (full examples)</vt:lpstr>
      <vt:lpstr>Ex. 7-10 (without depreciation)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CIKT</cp:lastModifiedBy>
  <dcterms:created xsi:type="dcterms:W3CDTF">2019-04-10T17:17:24Z</dcterms:created>
  <dcterms:modified xsi:type="dcterms:W3CDTF">2019-04-23T17:13:11Z</dcterms:modified>
</cp:coreProperties>
</file>