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axation\"/>
    </mc:Choice>
  </mc:AlternateContent>
  <bookViews>
    <workbookView xWindow="0" yWindow="0" windowWidth="19200" windowHeight="69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7" i="1" l="1"/>
  <c r="AE46" i="1"/>
  <c r="AD42" i="1"/>
  <c r="AC38" i="1"/>
  <c r="AC36" i="1"/>
  <c r="AC34" i="1"/>
  <c r="AC32" i="1"/>
  <c r="AC30" i="1"/>
  <c r="AG28" i="1"/>
  <c r="AE28" i="1"/>
  <c r="AC28" i="1"/>
  <c r="U27" i="1"/>
  <c r="AC23" i="1"/>
  <c r="AC22" i="1"/>
  <c r="AC21" i="1"/>
  <c r="AC20" i="1"/>
  <c r="AC18" i="1"/>
  <c r="AG18" i="1" s="1"/>
  <c r="AE18" i="1"/>
  <c r="AC15" i="1"/>
  <c r="AC2" i="1"/>
  <c r="AC8" i="1" s="1"/>
  <c r="W45" i="1"/>
  <c r="W46" i="1" s="1"/>
  <c r="U37" i="1"/>
  <c r="U26" i="1"/>
  <c r="U25" i="1"/>
  <c r="U24" i="1"/>
  <c r="W22" i="1"/>
  <c r="V6" i="1"/>
  <c r="C21" i="1"/>
  <c r="D9" i="1"/>
  <c r="AC11" i="1" l="1"/>
  <c r="AC13" i="1" s="1"/>
  <c r="AC10" i="1"/>
  <c r="AE22" i="1" l="1"/>
  <c r="AG22" i="1"/>
  <c r="U28" i="1"/>
  <c r="U22" i="1"/>
  <c r="U5" i="1"/>
  <c r="U2" i="1"/>
  <c r="U19" i="1"/>
  <c r="P25" i="1"/>
  <c r="P19" i="1"/>
  <c r="P9" i="1"/>
  <c r="P2" i="1"/>
  <c r="L5" i="1"/>
  <c r="L2" i="1"/>
  <c r="H9" i="1"/>
  <c r="H6" i="1"/>
  <c r="H2" i="1"/>
  <c r="C2" i="1"/>
  <c r="C8" i="1"/>
  <c r="C7" i="1"/>
  <c r="H12" i="1" l="1"/>
  <c r="H15" i="1" s="1"/>
  <c r="H17" i="1" s="1"/>
  <c r="H19" i="1" s="1"/>
  <c r="H23" i="1" s="1"/>
  <c r="C12" i="1"/>
  <c r="C15" i="1" s="1"/>
  <c r="C17" i="1" s="1"/>
  <c r="C19" i="1" s="1"/>
  <c r="L12" i="1"/>
  <c r="L14" i="1" s="1"/>
  <c r="W29" i="1"/>
  <c r="U12" i="1"/>
  <c r="U14" i="1" s="1"/>
  <c r="P12" i="1"/>
  <c r="P15" i="1" s="1"/>
  <c r="P17" i="1" s="1"/>
  <c r="U29" i="1"/>
  <c r="Y29" i="1" s="1"/>
  <c r="U31" i="1" s="1"/>
  <c r="V43" i="1" s="1"/>
  <c r="Y22" i="1"/>
  <c r="L15" i="1"/>
  <c r="L17" i="1" s="1"/>
  <c r="L19" i="1" s="1"/>
  <c r="L23" i="1" s="1"/>
  <c r="P14" i="1"/>
  <c r="H14" i="1" l="1"/>
  <c r="U15" i="1"/>
  <c r="U17" i="1" s="1"/>
  <c r="U33" i="1" s="1"/>
  <c r="U35" i="1" s="1"/>
  <c r="U39" i="1" s="1"/>
  <c r="C14" i="1"/>
  <c r="C23" i="1"/>
  <c r="P21" i="1"/>
  <c r="P23" i="1" s="1"/>
  <c r="P27" i="1" s="1"/>
</calcChain>
</file>

<file path=xl/comments1.xml><?xml version="1.0" encoding="utf-8"?>
<comments xmlns="http://schemas.openxmlformats.org/spreadsheetml/2006/main">
  <authors>
    <author>Oleksandra</author>
    <author>CIKT</author>
  </authors>
  <commentList>
    <comment ref="U2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because  during 01.11.-31.12 Filip was travelling and had unpaid leave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assuming that contribution was tax deductable cost for Siemens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assuming that it was tax nondeductable cost for EXE</t>
        </r>
      </text>
    </comment>
    <comment ref="C17" authorId="1" shapeId="0">
      <text>
        <r>
          <rPr>
            <b/>
            <sz val="9"/>
            <color indexed="81"/>
            <rFont val="Tahoma"/>
            <charset val="1"/>
          </rPr>
          <t>CIKT:</t>
        </r>
        <r>
          <rPr>
            <sz val="9"/>
            <color indexed="81"/>
            <rFont val="Tahoma"/>
            <charset val="1"/>
          </rPr>
          <t xml:space="preserve">
because TB annual is below 1,438,992 =&gt; no solidarity tax is paid</t>
        </r>
      </text>
    </comment>
    <comment ref="AC32" authorId="1" shapeId="0">
      <text>
        <r>
          <rPr>
            <b/>
            <sz val="9"/>
            <color indexed="81"/>
            <rFont val="Tahoma"/>
            <charset val="1"/>
          </rPr>
          <t>CIKT:</t>
        </r>
        <r>
          <rPr>
            <sz val="9"/>
            <color indexed="81"/>
            <rFont val="Tahoma"/>
            <charset val="1"/>
          </rPr>
          <t xml:space="preserve">
it is below solidarity tax limit =&gt; no solidarity tax</t>
        </r>
      </text>
    </comment>
  </commentList>
</comments>
</file>

<file path=xl/sharedStrings.xml><?xml version="1.0" encoding="utf-8"?>
<sst xmlns="http://schemas.openxmlformats.org/spreadsheetml/2006/main" count="121" uniqueCount="50">
  <si>
    <t>Ex. 2</t>
  </si>
  <si>
    <t>Gross wage</t>
  </si>
  <si>
    <t>Taxable employment income:</t>
  </si>
  <si>
    <t>1</t>
  </si>
  <si>
    <t>TOTAL</t>
  </si>
  <si>
    <t>SHI by Pavel</t>
  </si>
  <si>
    <t>SHI by Siemens</t>
  </si>
  <si>
    <t xml:space="preserve">Tax base </t>
  </si>
  <si>
    <t>Tax liability</t>
  </si>
  <si>
    <t>Tax liability deduction</t>
  </si>
  <si>
    <t>Tax liability final</t>
  </si>
  <si>
    <t>Ex. 3</t>
  </si>
  <si>
    <t>Ex. 4</t>
  </si>
  <si>
    <t>Ex. 5</t>
  </si>
  <si>
    <t>7</t>
  </si>
  <si>
    <t>Tax base deduction</t>
  </si>
  <si>
    <t>Tax base after deduction</t>
  </si>
  <si>
    <t>Ex. 6</t>
  </si>
  <si>
    <t xml:space="preserve">Partial tax base (employment) </t>
  </si>
  <si>
    <t>Self-employed taxable income</t>
  </si>
  <si>
    <t>5</t>
  </si>
  <si>
    <t>6</t>
  </si>
  <si>
    <t>Documentary costs (deductable):</t>
  </si>
  <si>
    <t>vs</t>
  </si>
  <si>
    <t>=&gt;</t>
  </si>
  <si>
    <t xml:space="preserve">Partial tax base (self-employment) </t>
  </si>
  <si>
    <t>Total tax base</t>
  </si>
  <si>
    <t>Ex. 7</t>
  </si>
  <si>
    <t>SHI by Jakub</t>
  </si>
  <si>
    <t>SHI by Zetor</t>
  </si>
  <si>
    <t>SHI by Jan</t>
  </si>
  <si>
    <t>SHI by ABB</t>
  </si>
  <si>
    <t>SHI by Libor</t>
  </si>
  <si>
    <t>SHI by EXE</t>
  </si>
  <si>
    <t>SHI by Filip</t>
  </si>
  <si>
    <t>SHI by Zdas</t>
  </si>
  <si>
    <t>SHI by Michal</t>
  </si>
  <si>
    <t>SHI by Skoda</t>
  </si>
  <si>
    <t>SI is paid</t>
  </si>
  <si>
    <t>CAB</t>
  </si>
  <si>
    <t>CAB actual</t>
  </si>
  <si>
    <t>CAB min</t>
  </si>
  <si>
    <t>annual</t>
  </si>
  <si>
    <t>HI are not paid for SE Filip</t>
  </si>
  <si>
    <t>SI as SE Filip</t>
  </si>
  <si>
    <t>8</t>
  </si>
  <si>
    <t>9</t>
  </si>
  <si>
    <t>HI are not paid for SE Michal</t>
  </si>
  <si>
    <t>CAB max</t>
  </si>
  <si>
    <t>SI as SE Michal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</si>
</sst>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65" fontId="0" fillId="0" borderId="0" xfId="1" applyNumberFormat="1" applyFont="1"/>
    <xf numFmtId="0" fontId="0" fillId="0" borderId="0" xfId="0" quotePrefix="1"/>
    <xf numFmtId="49" fontId="0" fillId="0" borderId="0" xfId="0" quotePrefix="1" applyNumberFormat="1"/>
    <xf numFmtId="49" fontId="0" fillId="0" borderId="1" xfId="0" quotePrefix="1" applyNumberFormat="1" applyBorder="1"/>
    <xf numFmtId="165" fontId="0" fillId="0" borderId="1" xfId="1" applyNumberFormat="1" applyFont="1" applyBorder="1"/>
    <xf numFmtId="165" fontId="0" fillId="0" borderId="0" xfId="0" applyNumberFormat="1"/>
    <xf numFmtId="165" fontId="0" fillId="0" borderId="0" xfId="1" applyNumberFormat="1" applyFont="1" applyBorder="1"/>
    <xf numFmtId="0" fontId="0" fillId="2" borderId="0" xfId="0" applyFill="1"/>
    <xf numFmtId="166" fontId="0" fillId="0" borderId="0" xfId="0" applyNumberFormat="1"/>
    <xf numFmtId="0" fontId="0" fillId="0" borderId="0" xfId="0" applyFill="1"/>
    <xf numFmtId="165" fontId="0" fillId="0" borderId="0" xfId="1" applyNumberFormat="1" applyFont="1" applyFill="1"/>
    <xf numFmtId="165" fontId="0" fillId="2" borderId="0" xfId="1" applyNumberFormat="1" applyFont="1" applyFill="1"/>
    <xf numFmtId="165" fontId="0" fillId="2" borderId="0" xfId="0" applyNumberFormat="1" applyFill="1"/>
    <xf numFmtId="49" fontId="0" fillId="0" borderId="0" xfId="0" quotePrefix="1" applyNumberFormat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256443</xdr:colOff>
      <xdr:row>9</xdr:row>
      <xdr:rowOff>38753</xdr:rowOff>
    </xdr:from>
    <xdr:to>
      <xdr:col>40</xdr:col>
      <xdr:colOff>520212</xdr:colOff>
      <xdr:row>17</xdr:row>
      <xdr:rowOff>15093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14366" y="1753253"/>
          <a:ext cx="6630865" cy="1500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7"/>
  <sheetViews>
    <sheetView tabSelected="1" topLeftCell="U32" zoomScale="115" zoomScaleNormal="115" workbookViewId="0">
      <selection activeCell="AD48" sqref="AD48"/>
    </sheetView>
  </sheetViews>
  <sheetFormatPr defaultRowHeight="15" x14ac:dyDescent="0.25"/>
  <cols>
    <col min="2" max="2" width="16.5703125" customWidth="1"/>
    <col min="3" max="3" width="11.140625" style="1" bestFit="1" customWidth="1"/>
    <col min="7" max="7" width="21.140625" customWidth="1"/>
    <col min="8" max="8" width="11.85546875" customWidth="1"/>
    <col min="11" max="11" width="20.5703125" customWidth="1"/>
    <col min="12" max="12" width="12" customWidth="1"/>
    <col min="15" max="15" width="21.42578125" customWidth="1"/>
    <col min="16" max="17" width="12" customWidth="1"/>
    <col min="20" max="20" width="32.140625" customWidth="1"/>
    <col min="21" max="21" width="12" customWidth="1"/>
    <col min="22" max="22" width="10.42578125" bestFit="1" customWidth="1"/>
    <col min="23" max="23" width="10.140625" bestFit="1" customWidth="1"/>
    <col min="25" max="25" width="11.85546875" customWidth="1"/>
    <col min="28" max="28" width="43.85546875" customWidth="1"/>
    <col min="29" max="29" width="14.5703125" customWidth="1"/>
    <col min="30" max="30" width="17.42578125" customWidth="1"/>
    <col min="31" max="31" width="11.28515625" bestFit="1" customWidth="1"/>
    <col min="33" max="33" width="11.28515625" bestFit="1" customWidth="1"/>
  </cols>
  <sheetData>
    <row r="1" spans="1:29" x14ac:dyDescent="0.25">
      <c r="A1" t="s">
        <v>0</v>
      </c>
      <c r="F1" t="s">
        <v>11</v>
      </c>
      <c r="J1" t="s">
        <v>12</v>
      </c>
      <c r="N1" t="s">
        <v>13</v>
      </c>
      <c r="S1" t="s">
        <v>17</v>
      </c>
      <c r="AA1" s="10" t="s">
        <v>27</v>
      </c>
    </row>
    <row r="2" spans="1:29" x14ac:dyDescent="0.25">
      <c r="B2" t="s">
        <v>1</v>
      </c>
      <c r="C2" s="1">
        <f>58000*12</f>
        <v>696000</v>
      </c>
      <c r="G2" t="s">
        <v>1</v>
      </c>
      <c r="H2" s="1">
        <f>35000*12</f>
        <v>420000</v>
      </c>
      <c r="K2" t="s">
        <v>1</v>
      </c>
      <c r="L2" s="1">
        <f>35000*12</f>
        <v>420000</v>
      </c>
      <c r="O2" t="s">
        <v>1</v>
      </c>
      <c r="P2" s="1">
        <f>89000*12</f>
        <v>1068000</v>
      </c>
      <c r="Q2" s="1"/>
      <c r="T2" t="s">
        <v>1</v>
      </c>
      <c r="U2" s="1">
        <f>43000*10</f>
        <v>430000</v>
      </c>
      <c r="AB2" t="s">
        <v>1</v>
      </c>
      <c r="AC2" s="1">
        <f>37000*12</f>
        <v>444000</v>
      </c>
    </row>
    <row r="3" spans="1:29" x14ac:dyDescent="0.25">
      <c r="H3" s="1"/>
      <c r="L3" s="1"/>
      <c r="P3" s="1"/>
      <c r="Q3" s="1"/>
      <c r="U3" s="1"/>
      <c r="AC3" s="1"/>
    </row>
    <row r="4" spans="1:29" x14ac:dyDescent="0.25">
      <c r="B4" t="s">
        <v>2</v>
      </c>
      <c r="G4" t="s">
        <v>2</v>
      </c>
      <c r="H4" s="1"/>
      <c r="K4" t="s">
        <v>2</v>
      </c>
      <c r="L4" s="1"/>
      <c r="O4" t="s">
        <v>2</v>
      </c>
      <c r="P4" s="1"/>
      <c r="Q4" s="1"/>
      <c r="T4" t="s">
        <v>2</v>
      </c>
      <c r="U4" s="1"/>
      <c r="AB4" t="s">
        <v>2</v>
      </c>
      <c r="AC4" s="1"/>
    </row>
    <row r="5" spans="1:29" x14ac:dyDescent="0.25">
      <c r="B5" s="3" t="s">
        <v>3</v>
      </c>
      <c r="C5" s="1">
        <v>27000</v>
      </c>
      <c r="G5" s="3" t="s">
        <v>3</v>
      </c>
      <c r="H5" s="1">
        <v>0</v>
      </c>
      <c r="K5" s="3" t="s">
        <v>3</v>
      </c>
      <c r="L5" s="1">
        <f>50000</f>
        <v>50000</v>
      </c>
      <c r="O5" s="3" t="s">
        <v>3</v>
      </c>
      <c r="P5" s="1">
        <v>0</v>
      </c>
      <c r="Q5" s="1"/>
      <c r="T5" s="3" t="s">
        <v>3</v>
      </c>
      <c r="U5" s="1">
        <f>270000*0.01*10</f>
        <v>27000</v>
      </c>
      <c r="AB5" s="3" t="s">
        <v>3</v>
      </c>
      <c r="AC5" s="1">
        <v>12000</v>
      </c>
    </row>
    <row r="6" spans="1:29" x14ac:dyDescent="0.25">
      <c r="B6" s="3">
        <v>2</v>
      </c>
      <c r="C6" s="1">
        <v>0</v>
      </c>
      <c r="G6" s="3">
        <v>2</v>
      </c>
      <c r="H6" s="1">
        <f>270000*0.01*12</f>
        <v>32400</v>
      </c>
      <c r="K6" s="3">
        <v>2</v>
      </c>
      <c r="L6" s="1">
        <v>0</v>
      </c>
      <c r="O6" s="3">
        <v>2</v>
      </c>
      <c r="P6" s="1">
        <v>0</v>
      </c>
      <c r="Q6" s="1"/>
      <c r="T6" s="3">
        <v>2</v>
      </c>
      <c r="U6" s="1">
        <v>0</v>
      </c>
      <c r="V6">
        <f>150</f>
        <v>150</v>
      </c>
      <c r="AB6" s="3">
        <v>2</v>
      </c>
      <c r="AC6" s="1">
        <v>0</v>
      </c>
    </row>
    <row r="7" spans="1:29" x14ac:dyDescent="0.25">
      <c r="B7" s="3">
        <v>3</v>
      </c>
      <c r="C7" s="1">
        <f>1000*4</f>
        <v>4000</v>
      </c>
      <c r="G7" s="3">
        <v>3</v>
      </c>
      <c r="H7" s="1">
        <v>0</v>
      </c>
      <c r="K7" s="3">
        <v>3</v>
      </c>
      <c r="L7" s="1">
        <v>31000</v>
      </c>
      <c r="O7" s="3">
        <v>3</v>
      </c>
      <c r="P7" s="1">
        <v>53000</v>
      </c>
      <c r="Q7" s="1"/>
      <c r="T7" s="3">
        <v>3</v>
      </c>
      <c r="U7" s="1">
        <v>0</v>
      </c>
      <c r="AB7" s="4"/>
      <c r="AC7" s="5"/>
    </row>
    <row r="8" spans="1:29" x14ac:dyDescent="0.25">
      <c r="B8" s="3">
        <v>4</v>
      </c>
      <c r="C8" s="1">
        <f>3000*8</f>
        <v>24000</v>
      </c>
      <c r="G8" s="3">
        <v>4</v>
      </c>
      <c r="H8" s="1">
        <v>0</v>
      </c>
      <c r="K8" s="3">
        <v>4</v>
      </c>
      <c r="L8" s="1">
        <v>0</v>
      </c>
      <c r="O8" s="3">
        <v>4</v>
      </c>
      <c r="P8" s="1">
        <v>0</v>
      </c>
      <c r="Q8" s="1"/>
      <c r="T8" s="3">
        <v>4</v>
      </c>
      <c r="U8" s="1">
        <v>20000</v>
      </c>
      <c r="AB8" t="s">
        <v>4</v>
      </c>
      <c r="AC8" s="1">
        <f>AC2+SUM(AC5:AC7)</f>
        <v>456000</v>
      </c>
    </row>
    <row r="9" spans="1:29" x14ac:dyDescent="0.25">
      <c r="B9" s="3">
        <v>5</v>
      </c>
      <c r="C9" s="1">
        <v>0</v>
      </c>
      <c r="D9">
        <f>140-57</f>
        <v>83</v>
      </c>
      <c r="G9" s="3">
        <v>5</v>
      </c>
      <c r="H9" s="1">
        <f>0+(650/27-(1625*0.4)/27)</f>
        <v>0</v>
      </c>
      <c r="K9" s="3">
        <v>5</v>
      </c>
      <c r="L9" s="1">
        <v>0</v>
      </c>
      <c r="O9" s="3">
        <v>5</v>
      </c>
      <c r="P9" s="1">
        <f>1500*4</f>
        <v>6000</v>
      </c>
      <c r="Q9" s="1"/>
      <c r="T9" s="3"/>
      <c r="U9" s="1"/>
      <c r="AC9" s="1"/>
    </row>
    <row r="10" spans="1:29" x14ac:dyDescent="0.25">
      <c r="B10" s="3">
        <v>6</v>
      </c>
      <c r="C10" s="1">
        <v>0</v>
      </c>
      <c r="G10" s="3">
        <v>6</v>
      </c>
      <c r="H10" s="1">
        <v>0</v>
      </c>
      <c r="K10" s="3">
        <v>6</v>
      </c>
      <c r="L10" s="1">
        <v>20000</v>
      </c>
      <c r="O10" s="3">
        <v>6</v>
      </c>
      <c r="P10" s="1">
        <v>0</v>
      </c>
      <c r="Q10" s="1"/>
      <c r="T10" s="3"/>
      <c r="U10" s="1"/>
      <c r="AB10" s="8" t="s">
        <v>36</v>
      </c>
      <c r="AC10" s="12">
        <f>AC8*0.11</f>
        <v>50160</v>
      </c>
    </row>
    <row r="11" spans="1:29" x14ac:dyDescent="0.25">
      <c r="B11" s="4">
        <v>7</v>
      </c>
      <c r="C11" s="5">
        <v>50000</v>
      </c>
      <c r="G11" s="4">
        <v>7</v>
      </c>
      <c r="H11" s="5">
        <v>0</v>
      </c>
      <c r="K11" s="4"/>
      <c r="L11" s="5"/>
      <c r="O11" s="4" t="s">
        <v>14</v>
      </c>
      <c r="P11" s="5">
        <v>0</v>
      </c>
      <c r="Q11" s="7"/>
      <c r="T11" s="4"/>
      <c r="U11" s="5"/>
      <c r="AB11" s="8" t="s">
        <v>37</v>
      </c>
      <c r="AC11" s="12">
        <f>AC8*0.34</f>
        <v>155040</v>
      </c>
    </row>
    <row r="12" spans="1:29" x14ac:dyDescent="0.25">
      <c r="A12" s="2"/>
      <c r="B12" t="s">
        <v>4</v>
      </c>
      <c r="C12" s="1">
        <f>C2+SUM(C5:C11)</f>
        <v>801000</v>
      </c>
      <c r="G12" t="s">
        <v>4</v>
      </c>
      <c r="H12" s="1">
        <f>H2+SUM(H5:H11)</f>
        <v>452400</v>
      </c>
      <c r="K12" t="s">
        <v>4</v>
      </c>
      <c r="L12" s="1">
        <f>L2+SUM(L5:L11)</f>
        <v>521000</v>
      </c>
      <c r="O12" t="s">
        <v>4</v>
      </c>
      <c r="P12" s="1">
        <f>P2+SUM(P5:P11)</f>
        <v>1127000</v>
      </c>
      <c r="Q12" s="1"/>
      <c r="T12" t="s">
        <v>4</v>
      </c>
      <c r="U12" s="1">
        <f>U2+SUM(U5:U11)</f>
        <v>477000</v>
      </c>
      <c r="AC12" s="1"/>
    </row>
    <row r="13" spans="1:29" x14ac:dyDescent="0.25">
      <c r="A13" s="2"/>
      <c r="H13" s="1"/>
      <c r="L13" s="1"/>
      <c r="P13" s="1"/>
      <c r="Q13" s="1"/>
      <c r="U13" s="1"/>
      <c r="AB13" t="s">
        <v>18</v>
      </c>
      <c r="AC13" s="1">
        <f>AC8+AC11</f>
        <v>611040</v>
      </c>
    </row>
    <row r="14" spans="1:29" s="10" customFormat="1" x14ac:dyDescent="0.25">
      <c r="B14" s="10" t="s">
        <v>5</v>
      </c>
      <c r="C14" s="11">
        <f>C12*0.11</f>
        <v>88110</v>
      </c>
      <c r="G14" s="10" t="s">
        <v>28</v>
      </c>
      <c r="H14" s="11">
        <f>H12*0.11</f>
        <v>49764</v>
      </c>
      <c r="K14" s="10" t="s">
        <v>30</v>
      </c>
      <c r="L14" s="11">
        <f>L12*0.11</f>
        <v>57310</v>
      </c>
      <c r="O14" s="10" t="s">
        <v>32</v>
      </c>
      <c r="P14" s="11">
        <f>P12*0.11</f>
        <v>123970</v>
      </c>
      <c r="Q14" s="11"/>
      <c r="T14" s="8" t="s">
        <v>34</v>
      </c>
      <c r="U14" s="12">
        <f>U12*0.11</f>
        <v>52470</v>
      </c>
      <c r="AB14"/>
      <c r="AC14" s="1"/>
    </row>
    <row r="15" spans="1:29" s="10" customFormat="1" x14ac:dyDescent="0.25">
      <c r="B15" s="10" t="s">
        <v>6</v>
      </c>
      <c r="C15" s="11">
        <f>C12*0.34</f>
        <v>272340</v>
      </c>
      <c r="G15" s="10" t="s">
        <v>29</v>
      </c>
      <c r="H15" s="11">
        <f>H12*0.34</f>
        <v>153816</v>
      </c>
      <c r="K15" s="10" t="s">
        <v>31</v>
      </c>
      <c r="L15" s="11">
        <f>L12*0.34</f>
        <v>177140</v>
      </c>
      <c r="O15" s="10" t="s">
        <v>33</v>
      </c>
      <c r="P15" s="11">
        <f>P12*0.34</f>
        <v>383180</v>
      </c>
      <c r="Q15" s="11"/>
      <c r="T15" s="8" t="s">
        <v>35</v>
      </c>
      <c r="U15" s="12">
        <f>U12*0.34</f>
        <v>162180</v>
      </c>
      <c r="AB15" t="s">
        <v>19</v>
      </c>
      <c r="AC15" s="1">
        <f>500*5*12+1040*700+56*1500+760*700+36*1000+18*2000</f>
        <v>1446000</v>
      </c>
    </row>
    <row r="16" spans="1:29" x14ac:dyDescent="0.25">
      <c r="H16" s="1"/>
      <c r="L16" s="1"/>
      <c r="P16" s="1"/>
      <c r="Q16" s="1"/>
      <c r="U16" s="1"/>
    </row>
    <row r="17" spans="2:33" x14ac:dyDescent="0.25">
      <c r="B17" t="s">
        <v>7</v>
      </c>
      <c r="C17" s="1">
        <f>C12+C15</f>
        <v>1073340</v>
      </c>
      <c r="G17" t="s">
        <v>7</v>
      </c>
      <c r="H17" s="1">
        <f>H12+H15</f>
        <v>606216</v>
      </c>
      <c r="K17" t="s">
        <v>7</v>
      </c>
      <c r="L17" s="1">
        <f>L12+L15</f>
        <v>698140</v>
      </c>
      <c r="O17" t="s">
        <v>7</v>
      </c>
      <c r="P17" s="1">
        <f>P12+P15</f>
        <v>1510180</v>
      </c>
      <c r="Q17" s="1"/>
      <c r="T17" t="s">
        <v>18</v>
      </c>
      <c r="U17" s="1">
        <f>U12+U15</f>
        <v>639180</v>
      </c>
      <c r="AB17" t="s">
        <v>22</v>
      </c>
    </row>
    <row r="18" spans="2:33" x14ac:dyDescent="0.25">
      <c r="H18" s="1"/>
      <c r="L18" s="1"/>
      <c r="P18" s="1"/>
      <c r="Q18" s="1"/>
      <c r="U18" s="1"/>
      <c r="AB18" s="3" t="s">
        <v>3</v>
      </c>
      <c r="AC18" s="1">
        <f>-27000*0.4*31</f>
        <v>-334800</v>
      </c>
      <c r="AD18" t="s">
        <v>23</v>
      </c>
      <c r="AE18" s="1">
        <f>-4000*12</f>
        <v>-48000</v>
      </c>
      <c r="AF18" s="2" t="s">
        <v>24</v>
      </c>
      <c r="AG18" s="6">
        <f>AC18</f>
        <v>-334800</v>
      </c>
    </row>
    <row r="19" spans="2:33" x14ac:dyDescent="0.25">
      <c r="B19" t="s">
        <v>8</v>
      </c>
      <c r="C19" s="1">
        <f>C17*0.15</f>
        <v>161001</v>
      </c>
      <c r="G19" t="s">
        <v>8</v>
      </c>
      <c r="H19" s="1">
        <f>H17*0.15</f>
        <v>90932.4</v>
      </c>
      <c r="K19" t="s">
        <v>8</v>
      </c>
      <c r="L19" s="1">
        <f>L17*0.15</f>
        <v>104721</v>
      </c>
      <c r="O19" t="s">
        <v>15</v>
      </c>
      <c r="P19" s="1">
        <f>-(240000-198000)</f>
        <v>-42000</v>
      </c>
      <c r="Q19" s="1"/>
      <c r="T19" t="s">
        <v>19</v>
      </c>
      <c r="U19" s="1">
        <f>10*5000+2*15000+7*7500+5*18000+2*25000</f>
        <v>272500</v>
      </c>
      <c r="AB19" s="3">
        <v>2</v>
      </c>
      <c r="AC19" s="1">
        <v>0</v>
      </c>
    </row>
    <row r="20" spans="2:33" x14ac:dyDescent="0.25">
      <c r="H20" s="1"/>
      <c r="L20" s="1"/>
      <c r="AB20" s="3">
        <v>3</v>
      </c>
      <c r="AC20" s="1">
        <f>-5500*12</f>
        <v>-66000</v>
      </c>
    </row>
    <row r="21" spans="2:33" x14ac:dyDescent="0.25">
      <c r="B21" t="s">
        <v>9</v>
      </c>
      <c r="C21" s="1">
        <f>-24849-24840-15204-19404-12200</f>
        <v>-96497</v>
      </c>
      <c r="G21" t="s">
        <v>9</v>
      </c>
      <c r="H21" s="1">
        <v>0</v>
      </c>
      <c r="K21" t="s">
        <v>9</v>
      </c>
      <c r="L21" s="1">
        <v>0</v>
      </c>
      <c r="O21" t="s">
        <v>16</v>
      </c>
      <c r="P21" s="6">
        <f>P17+P19</f>
        <v>1468180</v>
      </c>
      <c r="Q21" s="6"/>
      <c r="T21" t="s">
        <v>22</v>
      </c>
      <c r="AB21" s="3">
        <v>4</v>
      </c>
      <c r="AC21" s="1">
        <f>-300*12</f>
        <v>-3600</v>
      </c>
    </row>
    <row r="22" spans="2:33" x14ac:dyDescent="0.25">
      <c r="H22" s="1"/>
      <c r="L22" s="1"/>
      <c r="T22" s="3" t="s">
        <v>3</v>
      </c>
      <c r="U22" s="1">
        <f>-7800*0.4*31</f>
        <v>-96720</v>
      </c>
      <c r="V22" t="s">
        <v>23</v>
      </c>
      <c r="W22" s="1">
        <f>-(4000*10)</f>
        <v>-40000</v>
      </c>
      <c r="X22" s="2" t="s">
        <v>24</v>
      </c>
      <c r="Y22" s="6">
        <f>U22</f>
        <v>-96720</v>
      </c>
      <c r="AB22" s="3" t="s">
        <v>20</v>
      </c>
      <c r="AC22" s="1">
        <f>-450*12</f>
        <v>-5400</v>
      </c>
      <c r="AD22" t="s">
        <v>23</v>
      </c>
      <c r="AE22" s="1">
        <f>4000*12</f>
        <v>48000</v>
      </c>
      <c r="AF22" s="2" t="s">
        <v>24</v>
      </c>
      <c r="AG22" s="6">
        <f>AC18</f>
        <v>-334800</v>
      </c>
    </row>
    <row r="23" spans="2:33" x14ac:dyDescent="0.25">
      <c r="B23" t="s">
        <v>10</v>
      </c>
      <c r="C23" s="1">
        <f>C19+C21</f>
        <v>64504</v>
      </c>
      <c r="G23" t="s">
        <v>10</v>
      </c>
      <c r="H23" s="1">
        <f>H19+H21</f>
        <v>90932.4</v>
      </c>
      <c r="K23" t="s">
        <v>10</v>
      </c>
      <c r="L23" s="1">
        <f>L19+L21</f>
        <v>104721</v>
      </c>
      <c r="O23" t="s">
        <v>8</v>
      </c>
      <c r="P23" s="1">
        <f>P21*0.15</f>
        <v>220227</v>
      </c>
      <c r="Q23" s="1"/>
      <c r="T23" s="3">
        <v>2</v>
      </c>
      <c r="U23" s="1">
        <v>0</v>
      </c>
      <c r="AB23" s="3" t="s">
        <v>21</v>
      </c>
      <c r="AC23" s="1">
        <f>-1600</f>
        <v>-1600</v>
      </c>
    </row>
    <row r="24" spans="2:33" x14ac:dyDescent="0.25">
      <c r="P24" s="1"/>
      <c r="Q24" s="1"/>
      <c r="T24" s="3">
        <v>3</v>
      </c>
      <c r="U24" s="1">
        <f>-3500*10</f>
        <v>-35000</v>
      </c>
      <c r="AB24" s="14" t="s">
        <v>14</v>
      </c>
      <c r="AC24" s="7">
        <v>-7200</v>
      </c>
    </row>
    <row r="25" spans="2:33" x14ac:dyDescent="0.25">
      <c r="O25" t="s">
        <v>9</v>
      </c>
      <c r="P25" s="1">
        <f>-24840-24840-15204-19404</f>
        <v>-84288</v>
      </c>
      <c r="Q25" s="1"/>
      <c r="T25" s="3">
        <v>4</v>
      </c>
      <c r="U25" s="1">
        <f>-800*10</f>
        <v>-8000</v>
      </c>
      <c r="AB25" s="14" t="s">
        <v>45</v>
      </c>
      <c r="AC25" s="7">
        <v>0</v>
      </c>
    </row>
    <row r="26" spans="2:33" x14ac:dyDescent="0.25">
      <c r="P26" s="1"/>
      <c r="Q26" s="1"/>
      <c r="T26" s="3" t="s">
        <v>20</v>
      </c>
      <c r="U26" s="1">
        <f>-1000*10</f>
        <v>-10000</v>
      </c>
      <c r="AB26" s="14" t="s">
        <v>46</v>
      </c>
      <c r="AC26" s="7">
        <v>-77030</v>
      </c>
    </row>
    <row r="27" spans="2:33" x14ac:dyDescent="0.25">
      <c r="O27" t="s">
        <v>10</v>
      </c>
      <c r="P27" s="1">
        <f>P23+P25</f>
        <v>135939</v>
      </c>
      <c r="Q27" s="1"/>
      <c r="T27" s="3" t="s">
        <v>21</v>
      </c>
      <c r="U27" s="1">
        <f>-4600</f>
        <v>-4600</v>
      </c>
      <c r="AB27" s="4"/>
      <c r="AC27" s="5"/>
    </row>
    <row r="28" spans="2:33" x14ac:dyDescent="0.25">
      <c r="T28" s="4" t="s">
        <v>14</v>
      </c>
      <c r="U28" s="5">
        <f>-5200</f>
        <v>-5200</v>
      </c>
      <c r="AB28" t="s">
        <v>4</v>
      </c>
      <c r="AC28" s="1">
        <f>SUM(AC18:AC27)</f>
        <v>-495630</v>
      </c>
      <c r="AD28" t="s">
        <v>23</v>
      </c>
      <c r="AE28" s="6">
        <f>-AC15*0.8</f>
        <v>-1156800</v>
      </c>
      <c r="AF28" s="2" t="s">
        <v>24</v>
      </c>
      <c r="AG28" s="6">
        <f>AE28</f>
        <v>-1156800</v>
      </c>
    </row>
    <row r="29" spans="2:33" x14ac:dyDescent="0.25">
      <c r="T29" t="s">
        <v>4</v>
      </c>
      <c r="U29" s="1">
        <f>SUM(U22:U28)</f>
        <v>-159520</v>
      </c>
      <c r="V29" t="s">
        <v>23</v>
      </c>
      <c r="W29" s="9">
        <f>-U19*0.6</f>
        <v>-163500</v>
      </c>
      <c r="X29" s="2" t="s">
        <v>24</v>
      </c>
      <c r="Y29" s="6">
        <f>U29</f>
        <v>-159520</v>
      </c>
    </row>
    <row r="30" spans="2:33" x14ac:dyDescent="0.25">
      <c r="AB30" t="s">
        <v>25</v>
      </c>
      <c r="AC30" s="6">
        <f>AC15+AG28</f>
        <v>289200</v>
      </c>
    </row>
    <row r="31" spans="2:33" x14ac:dyDescent="0.25">
      <c r="T31" t="s">
        <v>25</v>
      </c>
      <c r="U31" s="6">
        <f>U19+Y29</f>
        <v>112980</v>
      </c>
    </row>
    <row r="32" spans="2:33" x14ac:dyDescent="0.25">
      <c r="AB32" t="s">
        <v>26</v>
      </c>
      <c r="AC32" s="6">
        <f>AC13+AC30</f>
        <v>900240</v>
      </c>
      <c r="AE32" s="9"/>
      <c r="AF32" s="2"/>
      <c r="AG32" s="6"/>
    </row>
    <row r="33" spans="20:31" x14ac:dyDescent="0.25">
      <c r="T33" t="s">
        <v>26</v>
      </c>
      <c r="U33" s="6">
        <f>U17+U31</f>
        <v>752160</v>
      </c>
    </row>
    <row r="34" spans="20:31" x14ac:dyDescent="0.25">
      <c r="AB34" t="s">
        <v>8</v>
      </c>
      <c r="AC34" s="1">
        <f>AC32*0.15</f>
        <v>135036</v>
      </c>
    </row>
    <row r="35" spans="20:31" x14ac:dyDescent="0.25">
      <c r="T35" t="s">
        <v>8</v>
      </c>
      <c r="U35" s="1">
        <f>U33*0.15</f>
        <v>112824</v>
      </c>
      <c r="AC35" s="1"/>
    </row>
    <row r="36" spans="20:31" x14ac:dyDescent="0.25">
      <c r="U36" s="1"/>
      <c r="AB36" t="s">
        <v>9</v>
      </c>
      <c r="AC36" s="1">
        <f>-24840-15204</f>
        <v>-40044</v>
      </c>
    </row>
    <row r="37" spans="20:31" x14ac:dyDescent="0.25">
      <c r="T37" t="s">
        <v>9</v>
      </c>
      <c r="U37" s="1">
        <f>-15204</f>
        <v>-15204</v>
      </c>
      <c r="AC37" s="1"/>
    </row>
    <row r="38" spans="20:31" x14ac:dyDescent="0.25">
      <c r="U38" s="1"/>
      <c r="AB38" t="s">
        <v>10</v>
      </c>
      <c r="AC38" s="1">
        <f>AC34+AC36</f>
        <v>94992</v>
      </c>
    </row>
    <row r="39" spans="20:31" x14ac:dyDescent="0.25">
      <c r="T39" t="s">
        <v>10</v>
      </c>
      <c r="U39" s="1">
        <f>U35+U37</f>
        <v>97620</v>
      </c>
    </row>
    <row r="41" spans="20:31" x14ac:dyDescent="0.25">
      <c r="AB41" s="8" t="s">
        <v>47</v>
      </c>
      <c r="AC41" s="2" t="s">
        <v>24</v>
      </c>
      <c r="AD41" s="8">
        <v>0</v>
      </c>
    </row>
    <row r="42" spans="20:31" x14ac:dyDescent="0.25">
      <c r="T42" s="8" t="s">
        <v>43</v>
      </c>
      <c r="U42" s="2" t="s">
        <v>24</v>
      </c>
      <c r="V42" s="8">
        <v>0</v>
      </c>
      <c r="AB42" t="s">
        <v>38</v>
      </c>
      <c r="AC42" t="s">
        <v>40</v>
      </c>
      <c r="AD42" s="6">
        <f>AC30/2</f>
        <v>144600</v>
      </c>
      <c r="AE42" t="s">
        <v>42</v>
      </c>
    </row>
    <row r="43" spans="20:31" x14ac:dyDescent="0.25">
      <c r="T43" t="s">
        <v>38</v>
      </c>
      <c r="U43" t="s">
        <v>40</v>
      </c>
      <c r="V43" s="6">
        <f>U31/2</f>
        <v>56490</v>
      </c>
      <c r="W43" t="s">
        <v>42</v>
      </c>
      <c r="AC43" t="s">
        <v>41</v>
      </c>
      <c r="AD43" s="6">
        <v>35976</v>
      </c>
      <c r="AE43" t="s">
        <v>42</v>
      </c>
    </row>
    <row r="44" spans="20:31" x14ac:dyDescent="0.25">
      <c r="U44" t="s">
        <v>41</v>
      </c>
      <c r="V44" s="6">
        <v>35976</v>
      </c>
      <c r="W44" t="s">
        <v>42</v>
      </c>
      <c r="AC44" t="s">
        <v>48</v>
      </c>
      <c r="AD44" s="6">
        <v>1438992</v>
      </c>
      <c r="AE44" t="s">
        <v>42</v>
      </c>
    </row>
    <row r="45" spans="20:31" x14ac:dyDescent="0.25">
      <c r="U45" s="2" t="s">
        <v>24</v>
      </c>
      <c r="V45" t="s">
        <v>39</v>
      </c>
      <c r="W45" s="6">
        <f>V44</f>
        <v>35976</v>
      </c>
    </row>
    <row r="46" spans="20:31" x14ac:dyDescent="0.25">
      <c r="V46" s="8" t="s">
        <v>44</v>
      </c>
      <c r="W46" s="13">
        <f>W45*0.292</f>
        <v>10504.992</v>
      </c>
      <c r="AC46" s="2" t="s">
        <v>24</v>
      </c>
      <c r="AD46" t="s">
        <v>39</v>
      </c>
      <c r="AE46" s="6">
        <f>AD42</f>
        <v>144600</v>
      </c>
    </row>
    <row r="47" spans="20:31" x14ac:dyDescent="0.25">
      <c r="AD47" s="8" t="s">
        <v>49</v>
      </c>
      <c r="AE47" s="13">
        <f>AE46*0.292</f>
        <v>42223.199999999997</v>
      </c>
    </row>
  </sheetData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CIKT</cp:lastModifiedBy>
  <dcterms:created xsi:type="dcterms:W3CDTF">2019-03-03T19:33:41Z</dcterms:created>
  <dcterms:modified xsi:type="dcterms:W3CDTF">2019-03-07T18:27:55Z</dcterms:modified>
</cp:coreProperties>
</file>