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emeso01\Desktop\"/>
    </mc:Choice>
  </mc:AlternateContent>
  <xr:revisionPtr revIDLastSave="0" documentId="13_ncr:1_{674F93B2-A9F4-4772-8F50-92E60B8E12E2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44" i="1" l="1"/>
  <c r="AQ34" i="1"/>
  <c r="AQ23" i="1"/>
  <c r="AQ22" i="1"/>
  <c r="AQ21" i="1"/>
  <c r="AQ20" i="1"/>
  <c r="AS18" i="1"/>
  <c r="AU18" i="1" s="1"/>
  <c r="AQ18" i="1"/>
  <c r="AQ15" i="1"/>
  <c r="AQ2" i="1"/>
  <c r="AQ38" i="1"/>
  <c r="AQ8" i="1"/>
  <c r="AI23" i="1"/>
  <c r="AI22" i="1"/>
  <c r="AI21" i="1"/>
  <c r="AI20" i="1"/>
  <c r="AK18" i="1"/>
  <c r="AI18" i="1"/>
  <c r="AM18" i="1" s="1"/>
  <c r="AI15" i="1"/>
  <c r="AK28" i="1" s="1"/>
  <c r="AI2" i="1"/>
  <c r="AI36" i="1"/>
  <c r="S23" i="1"/>
  <c r="S22" i="1"/>
  <c r="S21" i="1"/>
  <c r="S20" i="1"/>
  <c r="U18" i="1"/>
  <c r="W18" i="1" s="1"/>
  <c r="S18" i="1"/>
  <c r="S15" i="1"/>
  <c r="S5" i="1"/>
  <c r="S2" i="1"/>
  <c r="S36" i="1"/>
  <c r="S8" i="1"/>
  <c r="S28" i="1" l="1"/>
  <c r="AQ28" i="1"/>
  <c r="AI28" i="1"/>
  <c r="AM28" i="1" s="1"/>
  <c r="AI30" i="1" s="1"/>
  <c r="AJ42" i="1" s="1"/>
  <c r="AK46" i="1" s="1"/>
  <c r="AK47" i="1" s="1"/>
  <c r="U28" i="1"/>
  <c r="W28" i="1" s="1"/>
  <c r="S30" i="1" s="1"/>
  <c r="T42" i="1" s="1"/>
  <c r="U46" i="1" s="1"/>
  <c r="U47" i="1" s="1"/>
  <c r="AS28" i="1"/>
  <c r="AU28" i="1" s="1"/>
  <c r="AQ30" i="1" s="1"/>
  <c r="AS48" i="1" s="1"/>
  <c r="AS49" i="1" s="1"/>
  <c r="AQ11" i="1"/>
  <c r="AQ13" i="1" s="1"/>
  <c r="AQ10" i="1"/>
  <c r="AI8" i="1"/>
  <c r="AI11" i="1" s="1"/>
  <c r="S10" i="1"/>
  <c r="S11" i="1"/>
  <c r="S13" i="1" s="1"/>
  <c r="AE30" i="1"/>
  <c r="AA18" i="1"/>
  <c r="AA2" i="1"/>
  <c r="AA11" i="1" s="1"/>
  <c r="AA13" i="1" s="1"/>
  <c r="AA30" i="1"/>
  <c r="K36" i="1"/>
  <c r="C24" i="1"/>
  <c r="K26" i="1"/>
  <c r="K25" i="1"/>
  <c r="K24" i="1"/>
  <c r="K23" i="1"/>
  <c r="K22" i="1"/>
  <c r="K2" i="1"/>
  <c r="K8" i="1" s="1"/>
  <c r="K11" i="1" s="1"/>
  <c r="K21" i="1"/>
  <c r="K20" i="1"/>
  <c r="K18" i="1"/>
  <c r="O18" i="1" s="1"/>
  <c r="K15" i="1"/>
  <c r="M28" i="1" s="1"/>
  <c r="M18" i="1"/>
  <c r="C23" i="1"/>
  <c r="C22" i="1"/>
  <c r="C21" i="1"/>
  <c r="C20" i="1"/>
  <c r="C18" i="1"/>
  <c r="E18" i="1"/>
  <c r="C15" i="1"/>
  <c r="E28" i="1" s="1"/>
  <c r="C2" i="1"/>
  <c r="AC22" i="1" l="1"/>
  <c r="AE18" i="1"/>
  <c r="AA24" i="1"/>
  <c r="AB33" i="1" s="1"/>
  <c r="AC37" i="1" s="1"/>
  <c r="AQ36" i="1"/>
  <c r="AQ40" i="1" s="1"/>
  <c r="AI13" i="1"/>
  <c r="AI32" i="1" s="1"/>
  <c r="AI34" i="1" s="1"/>
  <c r="AI38" i="1" s="1"/>
  <c r="AI10" i="1"/>
  <c r="S32" i="1"/>
  <c r="S34" i="1" s="1"/>
  <c r="S38" i="1" s="1"/>
  <c r="AE24" i="1"/>
  <c r="K28" i="1"/>
  <c r="O28" i="1" s="1"/>
  <c r="K30" i="1" s="1"/>
  <c r="L42" i="1" s="1"/>
  <c r="M46" i="1" s="1"/>
  <c r="M47" i="1" s="1"/>
  <c r="AA22" i="1"/>
  <c r="AA14" i="1"/>
  <c r="AA16" i="1" s="1"/>
  <c r="AB26" i="1" s="1"/>
  <c r="K10" i="1"/>
  <c r="K13" i="1"/>
  <c r="G18" i="1"/>
  <c r="C8" i="1"/>
  <c r="AC38" i="1" l="1"/>
  <c r="K32" i="1"/>
  <c r="K34" i="1" s="1"/>
  <c r="K38" i="1" s="1"/>
  <c r="AE26" i="1"/>
  <c r="AE28" i="1" s="1"/>
  <c r="AE32" i="1" s="1"/>
  <c r="AA26" i="1"/>
  <c r="AA28" i="1" s="1"/>
  <c r="AA32" i="1" s="1"/>
  <c r="C28" i="1"/>
  <c r="G28" i="1" s="1"/>
  <c r="C30" i="1" s="1"/>
  <c r="C11" i="1"/>
  <c r="C13" i="1" s="1"/>
  <c r="C10" i="1"/>
  <c r="D42" i="1" l="1"/>
  <c r="E46" i="1" s="1"/>
  <c r="E47" i="1" s="1"/>
  <c r="C32" i="1"/>
  <c r="C34" i="1" s="1"/>
  <c r="C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Oleksandra Lemeshko</author>
    <author>Oleksandra</author>
  </authors>
  <commentList>
    <comment ref="S2" authorId="0" shapeId="0" xr:uid="{E20FF88D-931E-488D-941C-F6F1990E78C6}">
      <text>
        <r>
          <rPr>
            <b/>
            <sz val="9"/>
            <color indexed="81"/>
            <rFont val="Tahoma"/>
            <charset val="1"/>
          </rPr>
          <t>Oleksandra Lemeshko:</t>
        </r>
        <r>
          <rPr>
            <sz val="9"/>
            <color indexed="81"/>
            <rFont val="Tahoma"/>
            <charset val="1"/>
          </rPr>
          <t xml:space="preserve">
he was travelling 2 months in 2017.</t>
        </r>
      </text>
    </comment>
    <comment ref="AI2" authorId="0" shapeId="0" xr:uid="{E6460BEE-66B1-427E-8655-BA51088D5249}">
      <text>
        <r>
          <rPr>
            <b/>
            <sz val="9"/>
            <color indexed="81"/>
            <rFont val="Tahoma"/>
            <charset val="1"/>
          </rPr>
          <t>Oleksandra Lemeshko:</t>
        </r>
        <r>
          <rPr>
            <sz val="9"/>
            <color indexed="81"/>
            <rFont val="Tahoma"/>
            <charset val="1"/>
          </rPr>
          <t xml:space="preserve">
he was travelling 4 months in 2017.</t>
        </r>
      </text>
    </comment>
    <comment ref="AQ2" authorId="0" shapeId="0" xr:uid="{5747DC75-FCE0-4564-984B-82291865DA98}">
      <text>
        <r>
          <rPr>
            <b/>
            <sz val="9"/>
            <color indexed="81"/>
            <rFont val="Tahoma"/>
            <charset val="1"/>
          </rPr>
          <t>Oleksandra Lemeshko:</t>
        </r>
        <r>
          <rPr>
            <sz val="9"/>
            <color indexed="81"/>
            <rFont val="Tahoma"/>
            <charset val="1"/>
          </rPr>
          <t xml:space="preserve">
he was travelling 4 months in 2017.</t>
        </r>
      </text>
    </comment>
    <comment ref="AA18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if registered as self-employed
</t>
        </r>
      </text>
    </comment>
    <comment ref="AB26" authorId="0" shapeId="0" xr:uid="{F5C221F8-D43A-4B99-B700-C483FB8CCDE9}">
      <text>
        <r>
          <rPr>
            <b/>
            <sz val="9"/>
            <color indexed="81"/>
            <rFont val="Tahoma"/>
            <charset val="1"/>
          </rPr>
          <t>Oleksandra Lemeshko:</t>
        </r>
        <r>
          <rPr>
            <sz val="9"/>
            <color indexed="81"/>
            <rFont val="Tahoma"/>
            <charset val="1"/>
          </rPr>
          <t xml:space="preserve">
if not registered as self-employed</t>
        </r>
      </text>
    </comment>
    <comment ref="AQ32" authorId="0" shapeId="0" xr:uid="{E5B9E6F1-2EEF-4AF4-9FD1-D29F35A8191E}">
      <text>
        <r>
          <rPr>
            <b/>
            <sz val="9"/>
            <color indexed="81"/>
            <rFont val="Tahoma"/>
            <charset val="1"/>
          </rPr>
          <t>Oleksandra Lemeshko:</t>
        </r>
        <r>
          <rPr>
            <sz val="9"/>
            <color indexed="81"/>
            <rFont val="Tahoma"/>
            <charset val="1"/>
          </rPr>
          <t xml:space="preserve">
because it was taxed by WHT by CZ resident (AVG a.s.)</t>
        </r>
      </text>
    </comment>
  </commentList>
</comments>
</file>

<file path=xl/sharedStrings.xml><?xml version="1.0" encoding="utf-8"?>
<sst xmlns="http://schemas.openxmlformats.org/spreadsheetml/2006/main" count="207" uniqueCount="58">
  <si>
    <t>Gross wage</t>
  </si>
  <si>
    <t>Taxable employment income:</t>
  </si>
  <si>
    <t>1</t>
  </si>
  <si>
    <t>TOTAL</t>
  </si>
  <si>
    <t>SHI by Siemens</t>
  </si>
  <si>
    <t>Tax liability</t>
  </si>
  <si>
    <t>Tax liability deduction</t>
  </si>
  <si>
    <t>Tax liability final</t>
  </si>
  <si>
    <t>7</t>
  </si>
  <si>
    <t xml:space="preserve">Partial tax base (employment) </t>
  </si>
  <si>
    <t>Self-employed taxable income</t>
  </si>
  <si>
    <t>5</t>
  </si>
  <si>
    <t>6</t>
  </si>
  <si>
    <t>Documentary costs (deductable):</t>
  </si>
  <si>
    <t>vs</t>
  </si>
  <si>
    <t>=&gt;</t>
  </si>
  <si>
    <t xml:space="preserve">Partial tax base (self-employment) </t>
  </si>
  <si>
    <t>Total tax base</t>
  </si>
  <si>
    <t>SI is paid</t>
  </si>
  <si>
    <t>CAB</t>
  </si>
  <si>
    <t>CAB actual</t>
  </si>
  <si>
    <t>CAB min</t>
  </si>
  <si>
    <t>annual</t>
  </si>
  <si>
    <t>8</t>
  </si>
  <si>
    <t>9</t>
  </si>
  <si>
    <t>Ex. 8</t>
  </si>
  <si>
    <t>3</t>
  </si>
  <si>
    <t>4</t>
  </si>
  <si>
    <t>SHI by Lucie</t>
  </si>
  <si>
    <t>SHI by Knoft</t>
  </si>
  <si>
    <t>HI are not paid for SE Lucie</t>
  </si>
  <si>
    <t>Ex. 9</t>
  </si>
  <si>
    <t>SHI by Tomas</t>
  </si>
  <si>
    <t>HI are not paid for SE Tomas</t>
  </si>
  <si>
    <t>SI as SE Tomas</t>
  </si>
  <si>
    <t>SI as SE Lucie</t>
  </si>
  <si>
    <t>Ex. 11</t>
  </si>
  <si>
    <t>SHI by Marketa</t>
  </si>
  <si>
    <t>SHI by DSG</t>
  </si>
  <si>
    <t>Partial tax base (contract employment)</t>
  </si>
  <si>
    <t>Ex. 10</t>
  </si>
  <si>
    <t>SHI by Josef</t>
  </si>
  <si>
    <t>SHI by Malware</t>
  </si>
  <si>
    <t>HI are not paid for SE Josef</t>
  </si>
  <si>
    <t>HI are not paid for SE Marketa</t>
  </si>
  <si>
    <t>SI as SE Marketa</t>
  </si>
  <si>
    <t>Ex. 12</t>
  </si>
  <si>
    <t>SHI by Igor</t>
  </si>
  <si>
    <t>SHI by Erixon</t>
  </si>
  <si>
    <t>HI are not paid for SE Igor</t>
  </si>
  <si>
    <t>SI as SE Igor</t>
  </si>
  <si>
    <t>Ex. 13</t>
  </si>
  <si>
    <t>2</t>
  </si>
  <si>
    <t>SHI by Jana</t>
  </si>
  <si>
    <t>SHI by Vemos</t>
  </si>
  <si>
    <t>Capital income</t>
  </si>
  <si>
    <t>HI are not paid for SE Jana</t>
  </si>
  <si>
    <t>SI as SE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</si>
</sst>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0" fillId="0" borderId="0" xfId="0" quotePrefix="1"/>
    <xf numFmtId="49" fontId="0" fillId="0" borderId="0" xfId="0" quotePrefix="1" applyNumberFormat="1"/>
    <xf numFmtId="49" fontId="0" fillId="0" borderId="1" xfId="0" quotePrefix="1" applyNumberFormat="1" applyBorder="1"/>
    <xf numFmtId="165" fontId="0" fillId="0" borderId="1" xfId="1" applyNumberFormat="1" applyFont="1" applyBorder="1"/>
    <xf numFmtId="165" fontId="0" fillId="0" borderId="0" xfId="0" applyNumberFormat="1"/>
    <xf numFmtId="165" fontId="0" fillId="0" borderId="0" xfId="1" applyNumberFormat="1" applyFont="1" applyBorder="1"/>
    <xf numFmtId="0" fontId="0" fillId="2" borderId="0" xfId="0" applyFill="1"/>
    <xf numFmtId="166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2" borderId="0" xfId="0" applyNumberFormat="1" applyFill="1"/>
    <xf numFmtId="49" fontId="0" fillId="0" borderId="0" xfId="0" quotePrefix="1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1" applyNumberFormat="1" applyFont="1" applyBorder="1"/>
    <xf numFmtId="164" fontId="0" fillId="0" borderId="0" xfId="0" applyNumberFormat="1"/>
    <xf numFmtId="165" fontId="0" fillId="3" borderId="0" xfId="0" applyNumberFormat="1" applyFill="1"/>
    <xf numFmtId="165" fontId="0" fillId="3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9"/>
  <sheetViews>
    <sheetView tabSelected="1" topLeftCell="AC1" zoomScale="55" zoomScaleNormal="55" workbookViewId="0">
      <selection activeCell="AQ46" sqref="AQ46"/>
    </sheetView>
  </sheetViews>
  <sheetFormatPr defaultRowHeight="14.4" x14ac:dyDescent="0.3"/>
  <cols>
    <col min="2" max="2" width="43.77734375" customWidth="1"/>
    <col min="3" max="3" width="14.5546875" customWidth="1"/>
    <col min="4" max="4" width="12.33203125" style="14" customWidth="1"/>
    <col min="5" max="5" width="11.21875" bestFit="1" customWidth="1"/>
    <col min="7" max="7" width="11.21875" bestFit="1" customWidth="1"/>
    <col min="10" max="10" width="43.77734375" customWidth="1"/>
    <col min="11" max="11" width="14.5546875" customWidth="1"/>
    <col min="12" max="12" width="12.33203125" style="14" customWidth="1"/>
    <col min="13" max="13" width="11.21875" bestFit="1" customWidth="1"/>
    <col min="15" max="15" width="11.21875" bestFit="1" customWidth="1"/>
    <col min="18" max="18" width="43.77734375" customWidth="1"/>
    <col min="19" max="19" width="14.5546875" customWidth="1"/>
    <col min="20" max="20" width="12.33203125" style="14" customWidth="1"/>
    <col min="21" max="21" width="11.21875" bestFit="1" customWidth="1"/>
    <col min="23" max="23" width="11.21875" bestFit="1" customWidth="1"/>
    <col min="26" max="26" width="43.77734375" customWidth="1"/>
    <col min="27" max="27" width="14.5546875" customWidth="1"/>
    <col min="28" max="28" width="12.33203125" style="14" customWidth="1"/>
    <col min="29" max="29" width="11.21875" bestFit="1" customWidth="1"/>
    <col min="31" max="31" width="14.88671875" customWidth="1"/>
    <col min="34" max="34" width="43.77734375" customWidth="1"/>
    <col min="35" max="35" width="14.5546875" customWidth="1"/>
    <col min="36" max="36" width="12.33203125" style="14" customWidth="1"/>
    <col min="37" max="37" width="11.21875" bestFit="1" customWidth="1"/>
    <col min="39" max="39" width="11.21875" bestFit="1" customWidth="1"/>
    <col min="42" max="42" width="43.77734375" customWidth="1"/>
    <col min="43" max="43" width="14.5546875" customWidth="1"/>
    <col min="44" max="44" width="12.33203125" style="14" customWidth="1"/>
    <col min="45" max="45" width="11.21875" bestFit="1" customWidth="1"/>
    <col min="47" max="47" width="11.21875" bestFit="1" customWidth="1"/>
  </cols>
  <sheetData>
    <row r="1" spans="1:44" x14ac:dyDescent="0.3">
      <c r="A1" s="10" t="s">
        <v>25</v>
      </c>
      <c r="I1" s="10" t="s">
        <v>31</v>
      </c>
      <c r="Q1" s="10" t="s">
        <v>40</v>
      </c>
      <c r="Y1" s="10" t="s">
        <v>36</v>
      </c>
      <c r="AG1" s="10" t="s">
        <v>46</v>
      </c>
      <c r="AO1" s="10" t="s">
        <v>51</v>
      </c>
    </row>
    <row r="2" spans="1:44" x14ac:dyDescent="0.3">
      <c r="B2" t="s">
        <v>0</v>
      </c>
      <c r="C2" s="1">
        <f>25000*9</f>
        <v>225000</v>
      </c>
      <c r="J2" t="s">
        <v>0</v>
      </c>
      <c r="K2" s="1">
        <f>35000*12</f>
        <v>420000</v>
      </c>
      <c r="R2" t="s">
        <v>0</v>
      </c>
      <c r="S2" s="1">
        <f>41000*10</f>
        <v>410000</v>
      </c>
      <c r="Z2" t="s">
        <v>0</v>
      </c>
      <c r="AA2" s="1">
        <f>43000*12</f>
        <v>516000</v>
      </c>
      <c r="AH2" t="s">
        <v>0</v>
      </c>
      <c r="AI2" s="1">
        <f>45000*8</f>
        <v>360000</v>
      </c>
      <c r="AP2" t="s">
        <v>0</v>
      </c>
      <c r="AQ2" s="1">
        <f>32000*10</f>
        <v>320000</v>
      </c>
    </row>
    <row r="3" spans="1:44" x14ac:dyDescent="0.3">
      <c r="C3" s="1"/>
      <c r="K3" s="1"/>
      <c r="S3" s="1"/>
      <c r="AA3" s="1"/>
      <c r="AI3" s="1"/>
      <c r="AQ3" s="1"/>
    </row>
    <row r="4" spans="1:44" x14ac:dyDescent="0.3">
      <c r="B4" t="s">
        <v>1</v>
      </c>
      <c r="C4" s="1"/>
      <c r="J4" t="s">
        <v>1</v>
      </c>
      <c r="K4" s="1"/>
      <c r="R4" t="s">
        <v>1</v>
      </c>
      <c r="S4" s="1"/>
      <c r="Z4" t="s">
        <v>1</v>
      </c>
      <c r="AA4" s="1"/>
      <c r="AH4" t="s">
        <v>1</v>
      </c>
      <c r="AI4" s="1"/>
      <c r="AP4" t="s">
        <v>1</v>
      </c>
      <c r="AQ4" s="1"/>
    </row>
    <row r="5" spans="1:44" x14ac:dyDescent="0.3">
      <c r="B5" s="3" t="s">
        <v>2</v>
      </c>
      <c r="C5" s="1">
        <v>27000</v>
      </c>
      <c r="J5" s="3" t="s">
        <v>2</v>
      </c>
      <c r="K5" s="1">
        <v>0</v>
      </c>
      <c r="R5" s="3" t="s">
        <v>2</v>
      </c>
      <c r="S5" s="1">
        <f>270000*0.01*10</f>
        <v>27000</v>
      </c>
      <c r="Z5" s="3" t="s">
        <v>2</v>
      </c>
      <c r="AA5" s="1">
        <v>0</v>
      </c>
      <c r="AH5" s="3" t="s">
        <v>2</v>
      </c>
      <c r="AI5" s="1">
        <v>0</v>
      </c>
      <c r="AP5" s="3" t="s">
        <v>2</v>
      </c>
      <c r="AQ5" s="1">
        <v>0</v>
      </c>
    </row>
    <row r="6" spans="1:44" x14ac:dyDescent="0.3">
      <c r="B6" s="3">
        <v>2</v>
      </c>
      <c r="C6" s="1">
        <v>0</v>
      </c>
      <c r="J6" s="3">
        <v>2</v>
      </c>
      <c r="K6" s="1">
        <v>0</v>
      </c>
      <c r="R6" s="3">
        <v>2</v>
      </c>
      <c r="S6" s="1">
        <v>0</v>
      </c>
      <c r="Z6" s="3">
        <v>2</v>
      </c>
      <c r="AA6" s="1">
        <v>0</v>
      </c>
      <c r="AH6" s="3">
        <v>2</v>
      </c>
      <c r="AI6" s="1">
        <v>0</v>
      </c>
      <c r="AP6" s="3" t="s">
        <v>52</v>
      </c>
      <c r="AQ6" s="1">
        <v>0</v>
      </c>
    </row>
    <row r="7" spans="1:44" x14ac:dyDescent="0.3">
      <c r="B7" s="4" t="s">
        <v>26</v>
      </c>
      <c r="C7" s="5">
        <v>0</v>
      </c>
      <c r="J7" s="4"/>
      <c r="K7" s="5"/>
      <c r="R7" s="4"/>
      <c r="S7" s="5"/>
      <c r="Z7" s="3" t="s">
        <v>26</v>
      </c>
      <c r="AA7" s="1">
        <v>0</v>
      </c>
      <c r="AH7" s="4"/>
      <c r="AI7" s="5"/>
      <c r="AP7" s="4"/>
      <c r="AQ7" s="5"/>
    </row>
    <row r="8" spans="1:44" x14ac:dyDescent="0.3">
      <c r="B8" t="s">
        <v>3</v>
      </c>
      <c r="C8" s="1">
        <f>C2+SUM(C5:C7)</f>
        <v>252000</v>
      </c>
      <c r="J8" t="s">
        <v>3</v>
      </c>
      <c r="K8" s="1">
        <f>K2+SUM(K5:K7)</f>
        <v>420000</v>
      </c>
      <c r="R8" t="s">
        <v>3</v>
      </c>
      <c r="S8" s="1">
        <f>S2+SUM(S5:S7)</f>
        <v>437000</v>
      </c>
      <c r="Z8" s="3" t="s">
        <v>27</v>
      </c>
      <c r="AA8" s="1">
        <v>0</v>
      </c>
      <c r="AH8" t="s">
        <v>3</v>
      </c>
      <c r="AI8" s="1">
        <f>AI2+SUM(AI5:AI7)</f>
        <v>360000</v>
      </c>
      <c r="AP8" t="s">
        <v>3</v>
      </c>
      <c r="AQ8" s="1">
        <f>AQ2+SUM(AQ5:AQ7)</f>
        <v>320000</v>
      </c>
    </row>
    <row r="9" spans="1:44" x14ac:dyDescent="0.3">
      <c r="C9" s="1"/>
      <c r="K9" s="1"/>
      <c r="S9" s="1"/>
      <c r="Z9" s="3" t="s">
        <v>11</v>
      </c>
      <c r="AA9" s="1">
        <v>0</v>
      </c>
      <c r="AI9" s="1"/>
      <c r="AQ9" s="1"/>
    </row>
    <row r="10" spans="1:44" x14ac:dyDescent="0.3">
      <c r="B10" s="10" t="s">
        <v>28</v>
      </c>
      <c r="C10" s="11">
        <f>C8*0.11</f>
        <v>27720</v>
      </c>
      <c r="J10" s="10" t="s">
        <v>32</v>
      </c>
      <c r="K10" s="11">
        <f>K8*0.11</f>
        <v>46200</v>
      </c>
      <c r="R10" s="10" t="s">
        <v>41</v>
      </c>
      <c r="S10" s="11">
        <f>S8*0.11</f>
        <v>48070</v>
      </c>
      <c r="Z10" s="4"/>
      <c r="AA10" s="5"/>
      <c r="AH10" s="10" t="s">
        <v>47</v>
      </c>
      <c r="AI10" s="11">
        <f>AI8*0.11</f>
        <v>39600</v>
      </c>
      <c r="AP10" s="10" t="s">
        <v>53</v>
      </c>
      <c r="AQ10" s="11">
        <f>AQ8*0.11</f>
        <v>35200</v>
      </c>
    </row>
    <row r="11" spans="1:44" x14ac:dyDescent="0.3">
      <c r="B11" s="10" t="s">
        <v>29</v>
      </c>
      <c r="C11" s="11">
        <f>C8*0.34</f>
        <v>85680</v>
      </c>
      <c r="J11" s="10" t="s">
        <v>4</v>
      </c>
      <c r="K11" s="11">
        <f>K8*0.34</f>
        <v>142800</v>
      </c>
      <c r="R11" s="10" t="s">
        <v>42</v>
      </c>
      <c r="S11" s="11">
        <f>S8*0.34</f>
        <v>148580</v>
      </c>
      <c r="Z11" t="s">
        <v>3</v>
      </c>
      <c r="AA11" s="1">
        <f>AA2+SUM(AA5:AA10)</f>
        <v>516000</v>
      </c>
      <c r="AH11" s="10" t="s">
        <v>48</v>
      </c>
      <c r="AI11" s="11">
        <f>AI8*0.34</f>
        <v>122400.00000000001</v>
      </c>
      <c r="AP11" s="10" t="s">
        <v>54</v>
      </c>
      <c r="AQ11" s="11">
        <f>AQ8*0.34</f>
        <v>108800.00000000001</v>
      </c>
    </row>
    <row r="12" spans="1:44" x14ac:dyDescent="0.3">
      <c r="C12" s="1"/>
      <c r="K12" s="1"/>
      <c r="S12" s="1"/>
      <c r="AA12" s="1"/>
      <c r="AI12" s="1"/>
      <c r="AQ12" s="1"/>
    </row>
    <row r="13" spans="1:44" x14ac:dyDescent="0.3">
      <c r="B13" t="s">
        <v>9</v>
      </c>
      <c r="C13" s="1">
        <f>C8+C11</f>
        <v>337680</v>
      </c>
      <c r="J13" t="s">
        <v>9</v>
      </c>
      <c r="K13" s="1">
        <f>K8+K11</f>
        <v>562800</v>
      </c>
      <c r="R13" t="s">
        <v>9</v>
      </c>
      <c r="S13" s="1">
        <f>S8+S11</f>
        <v>585580</v>
      </c>
      <c r="Z13" s="10" t="s">
        <v>37</v>
      </c>
      <c r="AA13" s="11">
        <f>AA11*0.11</f>
        <v>56760</v>
      </c>
      <c r="AH13" t="s">
        <v>9</v>
      </c>
      <c r="AI13" s="1">
        <f>AI8+AI11</f>
        <v>482400</v>
      </c>
      <c r="AP13" t="s">
        <v>9</v>
      </c>
      <c r="AQ13" s="1">
        <f>AQ8+AQ11</f>
        <v>428800</v>
      </c>
    </row>
    <row r="14" spans="1:44" s="10" customFormat="1" x14ac:dyDescent="0.3">
      <c r="B14"/>
      <c r="C14" s="1"/>
      <c r="D14" s="15"/>
      <c r="J14"/>
      <c r="K14" s="1"/>
      <c r="L14" s="15"/>
      <c r="R14"/>
      <c r="S14" s="1"/>
      <c r="T14" s="15"/>
      <c r="Z14" s="10" t="s">
        <v>38</v>
      </c>
      <c r="AA14" s="11">
        <f>AA11*0.34</f>
        <v>175440</v>
      </c>
      <c r="AB14" s="15"/>
      <c r="AH14"/>
      <c r="AI14" s="1"/>
      <c r="AJ14" s="15"/>
      <c r="AP14"/>
      <c r="AQ14" s="1"/>
      <c r="AR14" s="15"/>
    </row>
    <row r="15" spans="1:44" s="10" customFormat="1" x14ac:dyDescent="0.3">
      <c r="B15" t="s">
        <v>10</v>
      </c>
      <c r="C15" s="1">
        <f>208*150+54*350+6*5000+186*800+42*350</f>
        <v>243600</v>
      </c>
      <c r="D15" s="15"/>
      <c r="J15" t="s">
        <v>10</v>
      </c>
      <c r="K15" s="1">
        <f>23*1200+260*400+104*700+15*1000+156*500</f>
        <v>297400</v>
      </c>
      <c r="L15" s="15"/>
      <c r="R15" t="s">
        <v>10</v>
      </c>
      <c r="S15" s="1">
        <f>3*20000+3000*2*10+2*18000+3*25000+3500*1*10+2*30000+4*15000</f>
        <v>386000</v>
      </c>
      <c r="T15" s="15"/>
      <c r="Z15"/>
      <c r="AA15" s="1"/>
      <c r="AB15" s="15"/>
      <c r="AH15" t="s">
        <v>10</v>
      </c>
      <c r="AI15" s="1">
        <f>10*5000+2*15000+7*7500+5*18000+2*25000</f>
        <v>272500</v>
      </c>
      <c r="AJ15" s="15"/>
      <c r="AP15" t="s">
        <v>10</v>
      </c>
      <c r="AQ15" s="1">
        <f>4*20000+3000*2*10+2*18000+25000+3500*4*10+30000*2+15000*4</f>
        <v>461000</v>
      </c>
      <c r="AR15" s="15"/>
    </row>
    <row r="16" spans="1:44" x14ac:dyDescent="0.3">
      <c r="Z16" t="s">
        <v>9</v>
      </c>
      <c r="AA16" s="1">
        <f>AA11+AA14</f>
        <v>691440</v>
      </c>
    </row>
    <row r="17" spans="2:47" x14ac:dyDescent="0.3">
      <c r="B17" t="s">
        <v>13</v>
      </c>
      <c r="J17" t="s">
        <v>13</v>
      </c>
      <c r="R17" t="s">
        <v>13</v>
      </c>
      <c r="AA17" s="1"/>
      <c r="AH17" t="s">
        <v>13</v>
      </c>
      <c r="AP17" t="s">
        <v>13</v>
      </c>
    </row>
    <row r="18" spans="2:47" x14ac:dyDescent="0.3">
      <c r="B18" s="3" t="s">
        <v>2</v>
      </c>
      <c r="C18" s="1">
        <f>-7200*0.4*31</f>
        <v>-89280</v>
      </c>
      <c r="D18" s="14" t="s">
        <v>14</v>
      </c>
      <c r="E18" s="1">
        <f>-5000*12</f>
        <v>-60000</v>
      </c>
      <c r="F18" s="2" t="s">
        <v>15</v>
      </c>
      <c r="G18" s="6">
        <f>C18</f>
        <v>-89280</v>
      </c>
      <c r="J18" s="3" t="s">
        <v>2</v>
      </c>
      <c r="K18" s="1">
        <f>-11400*0.2*31</f>
        <v>-70680</v>
      </c>
      <c r="L18" s="14" t="s">
        <v>14</v>
      </c>
      <c r="M18" s="1">
        <f>-5000*12</f>
        <v>-60000</v>
      </c>
      <c r="N18" s="2" t="s">
        <v>15</v>
      </c>
      <c r="O18" s="6">
        <f>K18</f>
        <v>-70680</v>
      </c>
      <c r="R18" s="3" t="s">
        <v>2</v>
      </c>
      <c r="S18" s="1">
        <f>-2100*0.2*31</f>
        <v>-13020</v>
      </c>
      <c r="T18" s="14" t="s">
        <v>14</v>
      </c>
      <c r="U18" s="1">
        <f>-4000*10</f>
        <v>-40000</v>
      </c>
      <c r="V18" s="2" t="s">
        <v>15</v>
      </c>
      <c r="W18" s="6">
        <f>U18</f>
        <v>-40000</v>
      </c>
      <c r="Z18" t="s">
        <v>10</v>
      </c>
      <c r="AA18" s="1">
        <f>27000+10*500*12</f>
        <v>87000</v>
      </c>
      <c r="AC18" s="1"/>
      <c r="AD18" t="s">
        <v>39</v>
      </c>
      <c r="AE18" s="6">
        <f>AA18</f>
        <v>87000</v>
      </c>
      <c r="AH18" s="3" t="s">
        <v>2</v>
      </c>
      <c r="AI18" s="1">
        <f>-7800*0.4*31</f>
        <v>-96720</v>
      </c>
      <c r="AJ18" s="14" t="s">
        <v>14</v>
      </c>
      <c r="AK18" s="1">
        <f>-4000*8</f>
        <v>-32000</v>
      </c>
      <c r="AL18" s="2" t="s">
        <v>15</v>
      </c>
      <c r="AM18" s="6">
        <f>AI18</f>
        <v>-96720</v>
      </c>
      <c r="AP18" s="3" t="s">
        <v>2</v>
      </c>
      <c r="AQ18" s="1">
        <f>-2100*0.2*31</f>
        <v>-13020</v>
      </c>
      <c r="AR18" s="14" t="s">
        <v>14</v>
      </c>
      <c r="AS18" s="1">
        <f>-4000*8</f>
        <v>-32000</v>
      </c>
      <c r="AT18" s="2" t="s">
        <v>15</v>
      </c>
      <c r="AU18" s="6">
        <f>AS18</f>
        <v>-32000</v>
      </c>
    </row>
    <row r="19" spans="2:47" x14ac:dyDescent="0.3">
      <c r="B19" s="3">
        <v>2</v>
      </c>
      <c r="C19" s="1">
        <v>0</v>
      </c>
      <c r="J19" s="3">
        <v>2</v>
      </c>
      <c r="K19" s="1">
        <v>0</v>
      </c>
      <c r="R19" s="3">
        <v>2</v>
      </c>
      <c r="S19" s="1">
        <v>0</v>
      </c>
      <c r="AH19" s="3">
        <v>2</v>
      </c>
      <c r="AI19" s="1">
        <v>0</v>
      </c>
      <c r="AP19" s="3">
        <v>2</v>
      </c>
      <c r="AQ19" s="1">
        <v>0</v>
      </c>
    </row>
    <row r="20" spans="2:47" x14ac:dyDescent="0.3">
      <c r="B20" s="3">
        <v>3</v>
      </c>
      <c r="C20" s="1">
        <f>-2300*9</f>
        <v>-20700</v>
      </c>
      <c r="J20" s="3">
        <v>3</v>
      </c>
      <c r="K20" s="1">
        <f>-4200*12</f>
        <v>-50400</v>
      </c>
      <c r="R20" s="3">
        <v>3</v>
      </c>
      <c r="S20" s="1">
        <f>-5000*10</f>
        <v>-50000</v>
      </c>
      <c r="Z20" t="s">
        <v>13</v>
      </c>
      <c r="AH20" s="3">
        <v>3</v>
      </c>
      <c r="AI20" s="1">
        <f>-3500*8</f>
        <v>-28000</v>
      </c>
      <c r="AP20" s="3">
        <v>3</v>
      </c>
      <c r="AQ20" s="1">
        <f>-5000*10</f>
        <v>-50000</v>
      </c>
    </row>
    <row r="21" spans="2:47" x14ac:dyDescent="0.3">
      <c r="B21" s="3">
        <v>4</v>
      </c>
      <c r="C21" s="1">
        <f>-350*9</f>
        <v>-3150</v>
      </c>
      <c r="J21" s="3">
        <v>4</v>
      </c>
      <c r="K21" s="1">
        <f>-500*12</f>
        <v>-6000</v>
      </c>
      <c r="R21" s="3">
        <v>4</v>
      </c>
      <c r="S21" s="1">
        <f>-800*10</f>
        <v>-8000</v>
      </c>
      <c r="Z21" s="4"/>
      <c r="AA21" s="5"/>
      <c r="AE21" s="6"/>
      <c r="AH21" s="3">
        <v>4</v>
      </c>
      <c r="AI21" s="1">
        <f>-800*8</f>
        <v>-6400</v>
      </c>
      <c r="AP21" s="3">
        <v>4</v>
      </c>
      <c r="AQ21" s="1">
        <f>-800*10</f>
        <v>-8000</v>
      </c>
    </row>
    <row r="22" spans="2:47" x14ac:dyDescent="0.3">
      <c r="B22" s="3" t="s">
        <v>11</v>
      </c>
      <c r="C22" s="1">
        <f>-4600*9/12</f>
        <v>-3450</v>
      </c>
      <c r="E22" s="1"/>
      <c r="F22" s="2"/>
      <c r="G22" s="6"/>
      <c r="J22" s="3" t="s">
        <v>11</v>
      </c>
      <c r="K22" s="1">
        <f>-600*12</f>
        <v>-7200</v>
      </c>
      <c r="M22" s="1"/>
      <c r="N22" s="2"/>
      <c r="O22" s="6"/>
      <c r="R22" s="3" t="s">
        <v>11</v>
      </c>
      <c r="S22" s="1">
        <f>-550*10</f>
        <v>-5500</v>
      </c>
      <c r="U22" s="1"/>
      <c r="V22" s="2"/>
      <c r="W22" s="6"/>
      <c r="Z22" t="s">
        <v>3</v>
      </c>
      <c r="AA22" s="1">
        <f>SUM(AA21:AA21)</f>
        <v>0</v>
      </c>
      <c r="AB22" s="14" t="s">
        <v>14</v>
      </c>
      <c r="AC22" s="9">
        <f>-AA18*0.4</f>
        <v>-34800</v>
      </c>
      <c r="AE22" s="6"/>
      <c r="AH22" s="3" t="s">
        <v>11</v>
      </c>
      <c r="AI22" s="1">
        <f>-1000*8</f>
        <v>-8000</v>
      </c>
      <c r="AK22" s="1"/>
      <c r="AL22" s="2"/>
      <c r="AM22" s="6"/>
      <c r="AP22" s="3" t="s">
        <v>11</v>
      </c>
      <c r="AQ22" s="1">
        <f>-550*10</f>
        <v>-5500</v>
      </c>
      <c r="AS22" s="1"/>
      <c r="AT22" s="2"/>
      <c r="AU22" s="6"/>
    </row>
    <row r="23" spans="2:47" x14ac:dyDescent="0.3">
      <c r="B23" s="3" t="s">
        <v>12</v>
      </c>
      <c r="C23" s="1">
        <f>-3250</f>
        <v>-3250</v>
      </c>
      <c r="J23" s="3" t="s">
        <v>12</v>
      </c>
      <c r="K23" s="1">
        <f>-2100</f>
        <v>-2100</v>
      </c>
      <c r="R23" s="3" t="s">
        <v>12</v>
      </c>
      <c r="S23" s="1">
        <f>-4600*10/12</f>
        <v>-3833.3333333333335</v>
      </c>
      <c r="AC23" s="9"/>
      <c r="AD23" s="2"/>
      <c r="AH23" s="3" t="s">
        <v>12</v>
      </c>
      <c r="AI23" s="1">
        <f>-4600*8/12</f>
        <v>-3066.6666666666665</v>
      </c>
      <c r="AP23" s="3" t="s">
        <v>12</v>
      </c>
      <c r="AQ23" s="1">
        <f>-4600*10/12</f>
        <v>-3833.3333333333335</v>
      </c>
    </row>
    <row r="24" spans="2:47" x14ac:dyDescent="0.3">
      <c r="B24" s="13" t="s">
        <v>8</v>
      </c>
      <c r="C24" s="18">
        <f>-21400</f>
        <v>-21400</v>
      </c>
      <c r="J24" s="13" t="s">
        <v>8</v>
      </c>
      <c r="K24" s="7">
        <f>-3250</f>
        <v>-3250</v>
      </c>
      <c r="R24" s="13" t="s">
        <v>8</v>
      </c>
      <c r="S24" s="7">
        <v>-5200</v>
      </c>
      <c r="Z24" t="s">
        <v>16</v>
      </c>
      <c r="AA24" s="6">
        <f>AA18+AC22</f>
        <v>52200</v>
      </c>
      <c r="AE24" s="19">
        <f>AE18*1.34</f>
        <v>116580</v>
      </c>
      <c r="AH24" s="13" t="s">
        <v>8</v>
      </c>
      <c r="AI24" s="7">
        <v>-5200</v>
      </c>
      <c r="AP24" s="13" t="s">
        <v>8</v>
      </c>
      <c r="AQ24" s="7">
        <v>-3100</v>
      </c>
    </row>
    <row r="25" spans="2:47" x14ac:dyDescent="0.3">
      <c r="B25" s="13" t="s">
        <v>23</v>
      </c>
      <c r="C25" s="7">
        <v>-15500</v>
      </c>
      <c r="J25" s="13" t="s">
        <v>23</v>
      </c>
      <c r="K25" s="7">
        <f>-4100</f>
        <v>-4100</v>
      </c>
      <c r="R25" s="13"/>
      <c r="S25" s="7"/>
      <c r="AH25" s="13"/>
      <c r="AI25" s="7"/>
      <c r="AP25" s="13"/>
      <c r="AQ25" s="7"/>
    </row>
    <row r="26" spans="2:47" x14ac:dyDescent="0.3">
      <c r="B26" s="13"/>
      <c r="C26" s="7"/>
      <c r="J26" s="13" t="s">
        <v>24</v>
      </c>
      <c r="K26" s="7">
        <f>-7500</f>
        <v>-7500</v>
      </c>
      <c r="R26" s="13"/>
      <c r="S26" s="7"/>
      <c r="Z26" t="s">
        <v>17</v>
      </c>
      <c r="AA26" s="20">
        <f>AA16+AA24</f>
        <v>743640</v>
      </c>
      <c r="AB26" s="21">
        <f>AA16+AE18</f>
        <v>778440</v>
      </c>
      <c r="AE26" s="6">
        <f>AA16+AE24</f>
        <v>808020</v>
      </c>
      <c r="AH26" s="13"/>
      <c r="AI26" s="7"/>
      <c r="AP26" s="13"/>
      <c r="AQ26" s="7"/>
    </row>
    <row r="27" spans="2:47" x14ac:dyDescent="0.3">
      <c r="B27" s="4"/>
      <c r="C27" s="5"/>
      <c r="J27" s="4"/>
      <c r="K27" s="5"/>
      <c r="R27" s="4"/>
      <c r="S27" s="5"/>
      <c r="AH27" s="4"/>
      <c r="AI27" s="5"/>
      <c r="AP27" s="4"/>
      <c r="AQ27" s="5"/>
    </row>
    <row r="28" spans="2:47" x14ac:dyDescent="0.3">
      <c r="B28" t="s">
        <v>3</v>
      </c>
      <c r="C28" s="1">
        <f>SUM(C18:C27)</f>
        <v>-156730</v>
      </c>
      <c r="D28" s="14" t="s">
        <v>14</v>
      </c>
      <c r="E28" s="12">
        <f>-C15*0.4</f>
        <v>-97440</v>
      </c>
      <c r="F28" s="2" t="s">
        <v>15</v>
      </c>
      <c r="G28" s="6">
        <f>C28</f>
        <v>-156730</v>
      </c>
      <c r="J28" t="s">
        <v>3</v>
      </c>
      <c r="K28" s="1">
        <f>SUM(K18:K27)</f>
        <v>-151230</v>
      </c>
      <c r="L28" s="14" t="s">
        <v>14</v>
      </c>
      <c r="M28" s="12">
        <f>-K15*0.4</f>
        <v>-118960</v>
      </c>
      <c r="N28" s="2" t="s">
        <v>15</v>
      </c>
      <c r="O28" s="6">
        <f>K28</f>
        <v>-151230</v>
      </c>
      <c r="R28" t="s">
        <v>3</v>
      </c>
      <c r="S28" s="1">
        <f>SUM(S19:S27)+W18</f>
        <v>-112533.33333333333</v>
      </c>
      <c r="T28" s="14" t="s">
        <v>14</v>
      </c>
      <c r="U28" s="12">
        <f>-S15*0.4</f>
        <v>-154400</v>
      </c>
      <c r="V28" s="2" t="s">
        <v>15</v>
      </c>
      <c r="W28" s="6">
        <f>U28</f>
        <v>-154400</v>
      </c>
      <c r="Z28" t="s">
        <v>5</v>
      </c>
      <c r="AA28" s="1">
        <f>AA26*0.15</f>
        <v>111546</v>
      </c>
      <c r="AE28" s="6">
        <f>AE26*0.15</f>
        <v>121203</v>
      </c>
      <c r="AH28" t="s">
        <v>3</v>
      </c>
      <c r="AI28" s="1">
        <f>SUM(AI19:AI27)+AM18</f>
        <v>-147386.66666666666</v>
      </c>
      <c r="AJ28" s="14" t="s">
        <v>14</v>
      </c>
      <c r="AK28" s="12">
        <f>-AI15*0.4</f>
        <v>-109000</v>
      </c>
      <c r="AL28" s="2" t="s">
        <v>15</v>
      </c>
      <c r="AM28" s="6">
        <f>AI28</f>
        <v>-147386.66666666666</v>
      </c>
      <c r="AP28" t="s">
        <v>3</v>
      </c>
      <c r="AQ28" s="1">
        <f>SUM(AQ19:AQ27)+AU18</f>
        <v>-102433.33333333333</v>
      </c>
      <c r="AR28" s="14" t="s">
        <v>14</v>
      </c>
      <c r="AS28" s="12">
        <f>-AQ15*0.4</f>
        <v>-184400</v>
      </c>
      <c r="AT28" s="2" t="s">
        <v>15</v>
      </c>
      <c r="AU28" s="6">
        <f>AS28</f>
        <v>-184400</v>
      </c>
    </row>
    <row r="29" spans="2:47" x14ac:dyDescent="0.3">
      <c r="AA29" s="1"/>
    </row>
    <row r="30" spans="2:47" x14ac:dyDescent="0.3">
      <c r="B30" t="s">
        <v>16</v>
      </c>
      <c r="C30" s="6">
        <f>C15+G28</f>
        <v>86870</v>
      </c>
      <c r="J30" t="s">
        <v>16</v>
      </c>
      <c r="K30" s="6">
        <f>K15+O28</f>
        <v>146170</v>
      </c>
      <c r="R30" t="s">
        <v>16</v>
      </c>
      <c r="S30" s="6">
        <f>S15+W28</f>
        <v>231600</v>
      </c>
      <c r="Z30" t="s">
        <v>6</v>
      </c>
      <c r="AA30" s="1">
        <f>-24840</f>
        <v>-24840</v>
      </c>
      <c r="AE30" s="1">
        <f>-24840</f>
        <v>-24840</v>
      </c>
      <c r="AH30" t="s">
        <v>16</v>
      </c>
      <c r="AI30" s="6">
        <f>AI15+AM28</f>
        <v>125113.33333333334</v>
      </c>
      <c r="AP30" t="s">
        <v>16</v>
      </c>
      <c r="AQ30" s="6">
        <f>AQ15+AU28</f>
        <v>276600</v>
      </c>
    </row>
    <row r="31" spans="2:47" x14ac:dyDescent="0.3">
      <c r="AA31" s="1"/>
    </row>
    <row r="32" spans="2:47" x14ac:dyDescent="0.3">
      <c r="B32" t="s">
        <v>17</v>
      </c>
      <c r="C32" s="6">
        <f>C13+C30</f>
        <v>424550</v>
      </c>
      <c r="E32" s="9"/>
      <c r="F32" s="2"/>
      <c r="G32" s="6"/>
      <c r="J32" t="s">
        <v>17</v>
      </c>
      <c r="K32" s="6">
        <f>K13+K30</f>
        <v>708970</v>
      </c>
      <c r="M32" s="9"/>
      <c r="N32" s="2"/>
      <c r="O32" s="6"/>
      <c r="R32" t="s">
        <v>17</v>
      </c>
      <c r="S32" s="6">
        <f>S13+S30</f>
        <v>817180</v>
      </c>
      <c r="U32" s="9"/>
      <c r="V32" s="2"/>
      <c r="W32" s="6"/>
      <c r="Z32" t="s">
        <v>7</v>
      </c>
      <c r="AA32" s="1">
        <f>AA28+AA30</f>
        <v>86706</v>
      </c>
      <c r="AB32" s="16">
        <v>0</v>
      </c>
      <c r="AE32" s="1">
        <f>AE28+AE30</f>
        <v>96363</v>
      </c>
      <c r="AH32" t="s">
        <v>17</v>
      </c>
      <c r="AI32" s="6">
        <f>AI13+AI30</f>
        <v>607513.33333333337</v>
      </c>
      <c r="AK32" s="9"/>
      <c r="AL32" s="2"/>
      <c r="AM32" s="6"/>
      <c r="AP32" t="s">
        <v>55</v>
      </c>
      <c r="AQ32">
        <v>0</v>
      </c>
      <c r="AT32" s="2"/>
      <c r="AU32" s="6"/>
    </row>
    <row r="33" spans="2:45" x14ac:dyDescent="0.3">
      <c r="AB33" s="17">
        <f>AA24/2</f>
        <v>26100</v>
      </c>
      <c r="AC33" t="s">
        <v>22</v>
      </c>
    </row>
    <row r="34" spans="2:45" x14ac:dyDescent="0.3">
      <c r="B34" t="s">
        <v>5</v>
      </c>
      <c r="C34" s="1">
        <f>C32*0.15</f>
        <v>63682.5</v>
      </c>
      <c r="J34" t="s">
        <v>5</v>
      </c>
      <c r="K34" s="1">
        <f>K32*0.15</f>
        <v>106345.5</v>
      </c>
      <c r="R34" t="s">
        <v>5</v>
      </c>
      <c r="S34" s="1">
        <f>S32*0.15</f>
        <v>122577</v>
      </c>
      <c r="AB34" s="17">
        <v>35976</v>
      </c>
      <c r="AC34" t="s">
        <v>22</v>
      </c>
      <c r="AH34" t="s">
        <v>5</v>
      </c>
      <c r="AI34" s="1">
        <f>AI32*0.15</f>
        <v>91127</v>
      </c>
      <c r="AP34" t="s">
        <v>17</v>
      </c>
      <c r="AQ34" s="6">
        <f>AQ13+AQ30+AQ32</f>
        <v>705400</v>
      </c>
    </row>
    <row r="35" spans="2:45" x14ac:dyDescent="0.3">
      <c r="C35" s="1"/>
      <c r="K35" s="1"/>
      <c r="S35" s="1"/>
      <c r="Z35" s="8" t="s">
        <v>44</v>
      </c>
      <c r="AA35" s="2" t="s">
        <v>15</v>
      </c>
      <c r="AB35" s="17"/>
      <c r="AI35" s="1"/>
    </row>
    <row r="36" spans="2:45" x14ac:dyDescent="0.3">
      <c r="B36" t="s">
        <v>6</v>
      </c>
      <c r="C36" s="1"/>
      <c r="J36" t="s">
        <v>6</v>
      </c>
      <c r="K36" s="1">
        <f>-24840</f>
        <v>-24840</v>
      </c>
      <c r="R36" t="s">
        <v>6</v>
      </c>
      <c r="S36" s="1">
        <f>-24840</f>
        <v>-24840</v>
      </c>
      <c r="Z36" t="s">
        <v>18</v>
      </c>
      <c r="AA36" t="s">
        <v>20</v>
      </c>
      <c r="AH36" t="s">
        <v>6</v>
      </c>
      <c r="AI36" s="1">
        <f>-24840</f>
        <v>-24840</v>
      </c>
      <c r="AP36" t="s">
        <v>5</v>
      </c>
      <c r="AQ36" s="1">
        <f>AQ34*0.15</f>
        <v>105810</v>
      </c>
    </row>
    <row r="37" spans="2:45" x14ac:dyDescent="0.3">
      <c r="C37" s="1"/>
      <c r="K37" s="1"/>
      <c r="S37" s="1"/>
      <c r="AA37" t="s">
        <v>21</v>
      </c>
      <c r="AB37" s="14" t="s">
        <v>19</v>
      </c>
      <c r="AC37" s="6">
        <f>AB33</f>
        <v>26100</v>
      </c>
      <c r="AI37" s="1"/>
      <c r="AQ37" s="1"/>
      <c r="AS37" s="9"/>
    </row>
    <row r="38" spans="2:45" x14ac:dyDescent="0.3">
      <c r="B38" t="s">
        <v>7</v>
      </c>
      <c r="C38" s="1">
        <f>C34+C36</f>
        <v>63682.5</v>
      </c>
      <c r="J38" t="s">
        <v>7</v>
      </c>
      <c r="K38" s="1">
        <f>K34+K36</f>
        <v>81505.5</v>
      </c>
      <c r="R38" t="s">
        <v>7</v>
      </c>
      <c r="S38" s="1">
        <f>S34+S36</f>
        <v>97737</v>
      </c>
      <c r="AB38" s="16" t="s">
        <v>45</v>
      </c>
      <c r="AC38" s="12">
        <f>AC37*0.292</f>
        <v>7621.2</v>
      </c>
      <c r="AH38" t="s">
        <v>7</v>
      </c>
      <c r="AI38" s="1">
        <f>AI34+AI36</f>
        <v>66287</v>
      </c>
      <c r="AP38" t="s">
        <v>6</v>
      </c>
      <c r="AQ38" s="1">
        <f>-24840</f>
        <v>-24840</v>
      </c>
    </row>
    <row r="39" spans="2:45" x14ac:dyDescent="0.3">
      <c r="AQ39" s="1"/>
    </row>
    <row r="40" spans="2:45" x14ac:dyDescent="0.3">
      <c r="AA40" s="2" t="s">
        <v>15</v>
      </c>
      <c r="AP40" t="s">
        <v>7</v>
      </c>
      <c r="AQ40" s="1">
        <f>AQ36+AQ38</f>
        <v>80970</v>
      </c>
    </row>
    <row r="41" spans="2:45" x14ac:dyDescent="0.3">
      <c r="B41" s="8" t="s">
        <v>30</v>
      </c>
      <c r="C41" s="2" t="s">
        <v>15</v>
      </c>
      <c r="D41" s="16">
        <v>0</v>
      </c>
      <c r="J41" s="8" t="s">
        <v>33</v>
      </c>
      <c r="K41" s="2" t="s">
        <v>15</v>
      </c>
      <c r="L41" s="16">
        <v>0</v>
      </c>
      <c r="R41" s="8" t="s">
        <v>43</v>
      </c>
      <c r="S41" s="2" t="s">
        <v>15</v>
      </c>
      <c r="T41" s="16">
        <v>0</v>
      </c>
      <c r="AH41" s="8" t="s">
        <v>49</v>
      </c>
      <c r="AI41" s="2" t="s">
        <v>15</v>
      </c>
      <c r="AJ41" s="16">
        <v>0</v>
      </c>
    </row>
    <row r="42" spans="2:45" x14ac:dyDescent="0.3">
      <c r="B42" t="s">
        <v>18</v>
      </c>
      <c r="C42" t="s">
        <v>20</v>
      </c>
      <c r="D42" s="17">
        <f>C30/2</f>
        <v>43435</v>
      </c>
      <c r="E42" t="s">
        <v>22</v>
      </c>
      <c r="J42" t="s">
        <v>18</v>
      </c>
      <c r="K42" t="s">
        <v>20</v>
      </c>
      <c r="L42" s="17">
        <f>K30/2</f>
        <v>73085</v>
      </c>
      <c r="M42" t="s">
        <v>22</v>
      </c>
      <c r="R42" t="s">
        <v>18</v>
      </c>
      <c r="S42" t="s">
        <v>20</v>
      </c>
      <c r="T42" s="17">
        <f>S30/2</f>
        <v>115800</v>
      </c>
      <c r="U42" t="s">
        <v>22</v>
      </c>
      <c r="AH42" t="s">
        <v>18</v>
      </c>
      <c r="AI42" t="s">
        <v>20</v>
      </c>
      <c r="AJ42" s="17">
        <f>AI30/2</f>
        <v>62556.666666666672</v>
      </c>
      <c r="AK42" t="s">
        <v>22</v>
      </c>
    </row>
    <row r="43" spans="2:45" x14ac:dyDescent="0.3">
      <c r="C43" t="s">
        <v>21</v>
      </c>
      <c r="D43" s="17">
        <v>35976</v>
      </c>
      <c r="E43" t="s">
        <v>22</v>
      </c>
      <c r="K43" t="s">
        <v>21</v>
      </c>
      <c r="L43" s="17">
        <v>35976</v>
      </c>
      <c r="M43" t="s">
        <v>22</v>
      </c>
      <c r="S43" t="s">
        <v>21</v>
      </c>
      <c r="T43" s="17">
        <v>35976</v>
      </c>
      <c r="U43" t="s">
        <v>22</v>
      </c>
      <c r="AI43" t="s">
        <v>21</v>
      </c>
      <c r="AJ43" s="17">
        <v>35976</v>
      </c>
      <c r="AK43" t="s">
        <v>22</v>
      </c>
      <c r="AP43" s="8" t="s">
        <v>56</v>
      </c>
      <c r="AQ43" s="2" t="s">
        <v>15</v>
      </c>
      <c r="AR43" s="16">
        <v>0</v>
      </c>
    </row>
    <row r="44" spans="2:45" x14ac:dyDescent="0.3">
      <c r="D44" s="17"/>
      <c r="L44" s="17"/>
      <c r="T44" s="17"/>
      <c r="AJ44" s="17"/>
      <c r="AP44" t="s">
        <v>18</v>
      </c>
      <c r="AQ44" t="s">
        <v>20</v>
      </c>
      <c r="AR44" s="17">
        <f>AQ30/2</f>
        <v>138300</v>
      </c>
      <c r="AS44" t="s">
        <v>22</v>
      </c>
    </row>
    <row r="45" spans="2:45" x14ac:dyDescent="0.3">
      <c r="AQ45" t="s">
        <v>21</v>
      </c>
      <c r="AR45" s="17">
        <v>35976</v>
      </c>
      <c r="AS45" t="s">
        <v>22</v>
      </c>
    </row>
    <row r="46" spans="2:45" x14ac:dyDescent="0.3">
      <c r="C46" s="2" t="s">
        <v>15</v>
      </c>
      <c r="D46" s="14" t="s">
        <v>19</v>
      </c>
      <c r="E46" s="6">
        <f>D42</f>
        <v>43435</v>
      </c>
      <c r="K46" s="2" t="s">
        <v>15</v>
      </c>
      <c r="L46" s="14" t="s">
        <v>19</v>
      </c>
      <c r="M46" s="6">
        <f>L42</f>
        <v>73085</v>
      </c>
      <c r="S46" s="2" t="s">
        <v>15</v>
      </c>
      <c r="T46" s="14" t="s">
        <v>19</v>
      </c>
      <c r="U46" s="6">
        <f>T42</f>
        <v>115800</v>
      </c>
      <c r="AI46" s="2" t="s">
        <v>15</v>
      </c>
      <c r="AJ46" s="14" t="s">
        <v>19</v>
      </c>
      <c r="AK46" s="6">
        <f>AJ42</f>
        <v>62556.666666666672</v>
      </c>
      <c r="AR46" s="17"/>
    </row>
    <row r="47" spans="2:45" x14ac:dyDescent="0.3">
      <c r="D47" s="16" t="s">
        <v>35</v>
      </c>
      <c r="E47" s="12">
        <f>E46*0.292</f>
        <v>12683.019999999999</v>
      </c>
      <c r="L47" s="16" t="s">
        <v>34</v>
      </c>
      <c r="M47" s="12">
        <f>M46*0.292</f>
        <v>21340.82</v>
      </c>
      <c r="T47" s="16" t="s">
        <v>34</v>
      </c>
      <c r="U47" s="12">
        <f>U46*0.292</f>
        <v>33813.599999999999</v>
      </c>
      <c r="AJ47" s="16" t="s">
        <v>50</v>
      </c>
      <c r="AK47" s="12">
        <f>AK46*0.292</f>
        <v>18266.546666666665</v>
      </c>
    </row>
    <row r="48" spans="2:45" x14ac:dyDescent="0.3">
      <c r="AQ48" s="2" t="s">
        <v>15</v>
      </c>
      <c r="AR48" s="14" t="s">
        <v>19</v>
      </c>
      <c r="AS48" s="6">
        <f>AR44</f>
        <v>138300</v>
      </c>
    </row>
    <row r="49" spans="44:45" x14ac:dyDescent="0.3">
      <c r="AR49" s="16" t="s">
        <v>57</v>
      </c>
      <c r="AS49" s="12">
        <f>AS48*0.292</f>
        <v>40383.599999999999</v>
      </c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Oleksandra</dc:creator>
  <cp:lastModifiedBy>Oleksandra Lemeshko</cp:lastModifiedBy>
  <dcterms:created xsi:type="dcterms:W3CDTF">2019-03-03T19:33:41Z</dcterms:created>
  <dcterms:modified xsi:type="dcterms:W3CDTF">2019-03-14T16:12:02Z</dcterms:modified>
</cp:coreProperties>
</file>