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lemeso01\Desktop\"/>
    </mc:Choice>
  </mc:AlternateContent>
  <xr:revisionPtr revIDLastSave="0" documentId="13_ncr:1_{A2EAF9D3-7D3F-40D3-920E-A33DA08E5B81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5" i="1" l="1"/>
  <c r="W39" i="1"/>
  <c r="W37" i="1"/>
  <c r="W35" i="1"/>
  <c r="W31" i="1"/>
  <c r="Y29" i="1"/>
  <c r="W29" i="1"/>
  <c r="W27" i="1"/>
  <c r="W25" i="1"/>
  <c r="W23" i="1"/>
  <c r="W22" i="1"/>
  <c r="W21" i="1"/>
  <c r="Y19" i="1"/>
  <c r="W19" i="1"/>
  <c r="W15" i="1"/>
  <c r="Y49" i="1" s="1"/>
  <c r="Y50" i="1" s="1"/>
  <c r="W8" i="1"/>
  <c r="W5" i="1"/>
  <c r="W2" i="1"/>
  <c r="O32" i="1"/>
  <c r="O31" i="1"/>
  <c r="O30" i="1"/>
  <c r="O29" i="1"/>
  <c r="Q27" i="1"/>
  <c r="O27" i="1"/>
  <c r="O23" i="1"/>
  <c r="O19" i="1"/>
  <c r="O18" i="1"/>
  <c r="O2" i="1"/>
  <c r="O35" i="1" l="1"/>
  <c r="W10" i="1"/>
  <c r="W11" i="1"/>
  <c r="W13" i="1" s="1"/>
  <c r="W41" i="1" s="1"/>
  <c r="O37" i="1"/>
  <c r="Q35" i="1"/>
  <c r="Q19" i="1"/>
  <c r="S19" i="1" s="1"/>
  <c r="O21" i="1" s="1"/>
  <c r="O11" i="1"/>
  <c r="I40" i="1"/>
  <c r="I28" i="1"/>
  <c r="I27" i="1"/>
  <c r="I26" i="1"/>
  <c r="I25" i="1"/>
  <c r="I24" i="1"/>
  <c r="K22" i="1"/>
  <c r="I22" i="1"/>
  <c r="I18" i="1"/>
  <c r="K30" i="1" s="1"/>
  <c r="I2" i="1"/>
  <c r="I11" i="1" s="1"/>
  <c r="I13" i="1" s="1"/>
  <c r="C28" i="1"/>
  <c r="C27" i="1"/>
  <c r="C26" i="1"/>
  <c r="C25" i="1"/>
  <c r="C24" i="1"/>
  <c r="E22" i="1"/>
  <c r="C22" i="1"/>
  <c r="C18" i="1"/>
  <c r="E30" i="1" s="1"/>
  <c r="C2" i="1"/>
  <c r="C11" i="1" s="1"/>
  <c r="C38" i="1"/>
  <c r="O13" i="1" l="1"/>
  <c r="O14" i="1"/>
  <c r="C30" i="1"/>
  <c r="I30" i="1"/>
  <c r="I32" i="1"/>
  <c r="J46" i="1" s="1"/>
  <c r="K50" i="1" s="1"/>
  <c r="K51" i="1" s="1"/>
  <c r="I14" i="1"/>
  <c r="I16" i="1" s="1"/>
  <c r="I36" i="1" s="1"/>
  <c r="C14" i="1"/>
  <c r="C16" i="1" s="1"/>
  <c r="C13" i="1"/>
  <c r="C32" i="1"/>
  <c r="O16" i="1" l="1"/>
  <c r="O40" i="1" s="1"/>
  <c r="O42" i="1" s="1"/>
  <c r="O46" i="1" s="1"/>
  <c r="I38" i="1"/>
  <c r="I42" i="1" s="1"/>
  <c r="D44" i="1"/>
  <c r="E48" i="1" s="1"/>
  <c r="E49" i="1" s="1"/>
  <c r="C34" i="1"/>
  <c r="C36" i="1" s="1"/>
  <c r="C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Oleksandra</author>
    <author>Oleksandra Lemeshko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inckuding services delivered under perfromance agreement</t>
        </r>
      </text>
    </comment>
    <comment ref="O40" authorId="1" shapeId="0" xr:uid="{47A9E9D5-2A5A-482A-8578-EF95B40D2565}">
      <text>
        <r>
          <rPr>
            <b/>
            <sz val="9"/>
            <color indexed="81"/>
            <rFont val="Tahoma"/>
            <charset val="1"/>
          </rPr>
          <t>Oleksandra Lemeshko:</t>
        </r>
        <r>
          <rPr>
            <sz val="9"/>
            <color indexed="81"/>
            <rFont val="Tahoma"/>
            <charset val="1"/>
          </rPr>
          <t xml:space="preserve">
tax loss can be used only for decrease of tax liability from self-employement income</t>
        </r>
      </text>
    </comment>
  </commentList>
</comments>
</file>

<file path=xl/sharedStrings.xml><?xml version="1.0" encoding="utf-8"?>
<sst xmlns="http://schemas.openxmlformats.org/spreadsheetml/2006/main" count="128" uniqueCount="46">
  <si>
    <t>Gross wage</t>
  </si>
  <si>
    <t>Taxable employment income:</t>
  </si>
  <si>
    <t>1</t>
  </si>
  <si>
    <t>TOTAL</t>
  </si>
  <si>
    <t>Tax liability</t>
  </si>
  <si>
    <t>Tax liability deduction</t>
  </si>
  <si>
    <t>Tax liability final</t>
  </si>
  <si>
    <t>7</t>
  </si>
  <si>
    <t xml:space="preserve">Partial tax base (employment) </t>
  </si>
  <si>
    <t>Self-employed taxable income</t>
  </si>
  <si>
    <t>5</t>
  </si>
  <si>
    <t>6</t>
  </si>
  <si>
    <t>Documentary costs (deductable):</t>
  </si>
  <si>
    <t>vs</t>
  </si>
  <si>
    <t>=&gt;</t>
  </si>
  <si>
    <t xml:space="preserve">Partial tax base (self-employment) </t>
  </si>
  <si>
    <t>Total tax base</t>
  </si>
  <si>
    <t>SI is paid</t>
  </si>
  <si>
    <t>CAB</t>
  </si>
  <si>
    <t>CAB actual</t>
  </si>
  <si>
    <t>CAB min</t>
  </si>
  <si>
    <t>annual</t>
  </si>
  <si>
    <t>Ex. 12</t>
  </si>
  <si>
    <t>SHI by Igor</t>
  </si>
  <si>
    <t>SHI by Erixon</t>
  </si>
  <si>
    <t>HI are not paid for SE Igor</t>
  </si>
  <si>
    <t>SI as SE Igor</t>
  </si>
  <si>
    <t>Ex. 13</t>
  </si>
  <si>
    <t>SHI by Jana</t>
  </si>
  <si>
    <t>SHI by Vemos</t>
  </si>
  <si>
    <t>Partial tax base capital income</t>
  </si>
  <si>
    <t>HI are not paid for SE Jana</t>
  </si>
  <si>
    <t>SI as SE Jana</t>
  </si>
  <si>
    <t>Ex. 14</t>
  </si>
  <si>
    <t>SHI by Martina</t>
  </si>
  <si>
    <t>SHI by ABB</t>
  </si>
  <si>
    <t>Rental taxable income</t>
  </si>
  <si>
    <t>Documentary costs (deductable)</t>
  </si>
  <si>
    <t xml:space="preserve">Partial tax base (rental income) </t>
  </si>
  <si>
    <t>8.</t>
  </si>
  <si>
    <t>Ex. 15</t>
  </si>
  <si>
    <t>SHI by Lukas</t>
  </si>
  <si>
    <t>8</t>
  </si>
  <si>
    <t>9</t>
  </si>
  <si>
    <t>HI are not paid for SE Lukas</t>
  </si>
  <si>
    <t>SI as SE Lukas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</si>
</sst>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1" applyNumberFormat="1" applyFont="1"/>
    <xf numFmtId="0" fontId="0" fillId="0" borderId="0" xfId="0" quotePrefix="1"/>
    <xf numFmtId="49" fontId="0" fillId="0" borderId="0" xfId="0" quotePrefix="1" applyNumberFormat="1"/>
    <xf numFmtId="49" fontId="0" fillId="0" borderId="1" xfId="0" quotePrefix="1" applyNumberFormat="1" applyBorder="1"/>
    <xf numFmtId="165" fontId="0" fillId="0" borderId="1" xfId="1" applyNumberFormat="1" applyFont="1" applyBorder="1"/>
    <xf numFmtId="0" fontId="0" fillId="2" borderId="0" xfId="0" applyFill="1"/>
    <xf numFmtId="0" fontId="0" fillId="0" borderId="0" xfId="0" applyFill="1"/>
    <xf numFmtId="165" fontId="0" fillId="0" borderId="0" xfId="1" applyNumberFormat="1" applyFont="1" applyFill="1"/>
    <xf numFmtId="49" fontId="0" fillId="0" borderId="0" xfId="0" quotePrefix="1" applyNumberFormat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1" quotePrefix="1" applyNumberFormat="1" applyFont="1"/>
    <xf numFmtId="165" fontId="0" fillId="2" borderId="0" xfId="1" applyNumberFormat="1" applyFont="1" applyFill="1"/>
    <xf numFmtId="0" fontId="0" fillId="0" borderId="1" xfId="0" applyBorder="1"/>
    <xf numFmtId="165" fontId="0" fillId="0" borderId="0" xfId="0" applyNumberFormat="1"/>
    <xf numFmtId="165" fontId="0" fillId="0" borderId="0" xfId="1" quotePrefix="1" applyNumberFormat="1" applyFont="1" applyFill="1"/>
    <xf numFmtId="165" fontId="0" fillId="0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"/>
  <sheetViews>
    <sheetView tabSelected="1" topLeftCell="C2" zoomScale="70" zoomScaleNormal="70" workbookViewId="0">
      <selection activeCell="X51" sqref="X51"/>
    </sheetView>
  </sheetViews>
  <sheetFormatPr defaultRowHeight="15" x14ac:dyDescent="0.25"/>
  <cols>
    <col min="2" max="2" width="43.85546875" customWidth="1"/>
    <col min="3" max="3" width="14.5703125" style="1" customWidth="1"/>
    <col min="4" max="4" width="12.42578125" style="10" customWidth="1"/>
    <col min="5" max="5" width="11.85546875" style="1" bestFit="1" customWidth="1"/>
    <col min="8" max="8" width="43.85546875" customWidth="1"/>
    <col min="9" max="9" width="14.5703125" style="1" customWidth="1"/>
    <col min="10" max="10" width="12.42578125" style="10" customWidth="1"/>
    <col min="11" max="11" width="11.85546875" style="1" bestFit="1" customWidth="1"/>
    <col min="14" max="14" width="43.85546875" customWidth="1"/>
    <col min="15" max="15" width="14.5703125" style="1" customWidth="1"/>
    <col min="16" max="16" width="12.42578125" style="10" customWidth="1"/>
    <col min="17" max="17" width="11.85546875" style="1" bestFit="1" customWidth="1"/>
    <col min="22" max="22" width="43.85546875" customWidth="1"/>
    <col min="23" max="23" width="14.5703125" style="1" customWidth="1"/>
    <col min="24" max="24" width="12.42578125" style="10" customWidth="1"/>
    <col min="25" max="25" width="11.85546875" style="1" bestFit="1" customWidth="1"/>
  </cols>
  <sheetData>
    <row r="1" spans="1:25" x14ac:dyDescent="0.25">
      <c r="A1" s="7" t="s">
        <v>22</v>
      </c>
      <c r="G1" s="7" t="s">
        <v>27</v>
      </c>
      <c r="M1" s="7" t="s">
        <v>33</v>
      </c>
      <c r="U1" s="7" t="s">
        <v>40</v>
      </c>
    </row>
    <row r="2" spans="1:25" x14ac:dyDescent="0.25">
      <c r="B2" t="s">
        <v>0</v>
      </c>
      <c r="C2" s="1">
        <f>45000*8</f>
        <v>360000</v>
      </c>
      <c r="H2" t="s">
        <v>0</v>
      </c>
      <c r="I2" s="1">
        <f>32000*10</f>
        <v>320000</v>
      </c>
      <c r="N2" t="s">
        <v>0</v>
      </c>
      <c r="O2" s="1">
        <f>29000*12</f>
        <v>348000</v>
      </c>
      <c r="V2" t="s">
        <v>0</v>
      </c>
      <c r="W2" s="1">
        <f>33000*12</f>
        <v>396000</v>
      </c>
    </row>
    <row r="4" spans="1:25" x14ac:dyDescent="0.25">
      <c r="B4" t="s">
        <v>1</v>
      </c>
      <c r="H4" t="s">
        <v>1</v>
      </c>
      <c r="N4" t="s">
        <v>1</v>
      </c>
      <c r="V4" t="s">
        <v>1</v>
      </c>
    </row>
    <row r="5" spans="1:25" x14ac:dyDescent="0.25">
      <c r="B5" s="3" t="s">
        <v>2</v>
      </c>
      <c r="C5" s="1">
        <v>0</v>
      </c>
      <c r="H5" s="3" t="s">
        <v>2</v>
      </c>
      <c r="I5" s="1">
        <v>0</v>
      </c>
      <c r="N5" s="3" t="s">
        <v>2</v>
      </c>
      <c r="O5" s="1">
        <v>0</v>
      </c>
      <c r="V5" s="3" t="s">
        <v>2</v>
      </c>
      <c r="W5" s="1">
        <f>((1500/27-45)*5)*27+((700/27-45*0.4)*5)*27</f>
        <v>2495</v>
      </c>
    </row>
    <row r="6" spans="1:25" x14ac:dyDescent="0.25">
      <c r="B6" s="3">
        <v>2</v>
      </c>
      <c r="C6" s="1">
        <v>0</v>
      </c>
      <c r="H6" s="3">
        <v>2</v>
      </c>
      <c r="I6" s="1">
        <v>0</v>
      </c>
      <c r="N6" s="3">
        <v>2</v>
      </c>
      <c r="O6" s="1">
        <v>0</v>
      </c>
      <c r="V6" s="3"/>
    </row>
    <row r="7" spans="1:25" x14ac:dyDescent="0.25">
      <c r="B7" s="3"/>
      <c r="H7" s="3"/>
      <c r="N7" s="3"/>
      <c r="V7" s="4"/>
      <c r="W7" s="5"/>
    </row>
    <row r="8" spans="1:25" x14ac:dyDescent="0.25">
      <c r="B8" s="3"/>
      <c r="H8" s="3"/>
      <c r="N8" s="3"/>
      <c r="V8" t="s">
        <v>3</v>
      </c>
      <c r="W8" s="1">
        <f>W2+SUM(W5:W7)</f>
        <v>398495</v>
      </c>
    </row>
    <row r="9" spans="1:25" x14ac:dyDescent="0.25">
      <c r="B9" s="3"/>
      <c r="H9" s="3"/>
      <c r="N9" s="3"/>
    </row>
    <row r="10" spans="1:25" x14ac:dyDescent="0.25">
      <c r="B10" s="4"/>
      <c r="C10" s="5"/>
      <c r="H10" s="4"/>
      <c r="I10" s="5"/>
      <c r="N10" s="4"/>
      <c r="O10" s="5"/>
      <c r="V10" s="7" t="s">
        <v>41</v>
      </c>
      <c r="W10" s="8">
        <f>W8*0.11</f>
        <v>43834.45</v>
      </c>
    </row>
    <row r="11" spans="1:25" x14ac:dyDescent="0.25">
      <c r="B11" t="s">
        <v>3</v>
      </c>
      <c r="C11" s="1">
        <f>C2+SUM(C5:C10)</f>
        <v>360000</v>
      </c>
      <c r="H11" t="s">
        <v>3</v>
      </c>
      <c r="I11" s="1">
        <f>I2+SUM(I5:I10)</f>
        <v>320000</v>
      </c>
      <c r="N11" t="s">
        <v>3</v>
      </c>
      <c r="O11" s="1">
        <f>O2+SUM(O5:O10)</f>
        <v>348000</v>
      </c>
      <c r="V11" s="7" t="s">
        <v>35</v>
      </c>
      <c r="W11" s="8">
        <f>W8*0.34</f>
        <v>135488.30000000002</v>
      </c>
    </row>
    <row r="13" spans="1:25" x14ac:dyDescent="0.25">
      <c r="B13" s="7" t="s">
        <v>23</v>
      </c>
      <c r="C13" s="8">
        <f>C11*0.11</f>
        <v>39600</v>
      </c>
      <c r="H13" s="7" t="s">
        <v>28</v>
      </c>
      <c r="I13" s="8">
        <f>I11*0.11</f>
        <v>35200</v>
      </c>
      <c r="N13" s="7" t="s">
        <v>34</v>
      </c>
      <c r="O13" s="8">
        <f>O11*0.11</f>
        <v>38280</v>
      </c>
      <c r="V13" t="s">
        <v>8</v>
      </c>
      <c r="W13" s="1">
        <f>W8+W11</f>
        <v>533983.30000000005</v>
      </c>
    </row>
    <row r="14" spans="1:25" s="7" customFormat="1" x14ac:dyDescent="0.25">
      <c r="B14" s="7" t="s">
        <v>24</v>
      </c>
      <c r="C14" s="8">
        <f>C11*0.34</f>
        <v>122400.00000000001</v>
      </c>
      <c r="D14" s="11"/>
      <c r="E14" s="8"/>
      <c r="H14" s="7" t="s">
        <v>29</v>
      </c>
      <c r="I14" s="8">
        <f>I11*0.34</f>
        <v>108800.00000000001</v>
      </c>
      <c r="J14" s="11"/>
      <c r="K14" s="8"/>
      <c r="N14" s="7" t="s">
        <v>35</v>
      </c>
      <c r="O14" s="8">
        <f>O11*0.34</f>
        <v>118320.00000000001</v>
      </c>
      <c r="P14" s="11"/>
      <c r="Q14" s="8"/>
      <c r="V14"/>
      <c r="W14" s="1"/>
      <c r="X14" s="11"/>
      <c r="Y14" s="8"/>
    </row>
    <row r="15" spans="1:25" s="7" customFormat="1" x14ac:dyDescent="0.25">
      <c r="B15"/>
      <c r="C15" s="1"/>
      <c r="D15" s="11"/>
      <c r="E15" s="8"/>
      <c r="H15"/>
      <c r="I15" s="1"/>
      <c r="J15" s="11"/>
      <c r="K15" s="8"/>
      <c r="N15"/>
      <c r="O15" s="1"/>
      <c r="P15" s="11"/>
      <c r="Q15" s="8"/>
      <c r="V15" t="s">
        <v>9</v>
      </c>
      <c r="W15" s="1">
        <f>1040*700+56*1500+760*700+36*1000+18*2000</f>
        <v>1416000</v>
      </c>
      <c r="X15" s="11"/>
      <c r="Y15" s="8"/>
    </row>
    <row r="16" spans="1:25" x14ac:dyDescent="0.25">
      <c r="B16" t="s">
        <v>8</v>
      </c>
      <c r="C16" s="1">
        <f>C11+C14</f>
        <v>482400</v>
      </c>
      <c r="H16" t="s">
        <v>8</v>
      </c>
      <c r="I16" s="1">
        <f>I11+I14</f>
        <v>428800</v>
      </c>
      <c r="N16" t="s">
        <v>8</v>
      </c>
      <c r="O16" s="1">
        <f>O11+O14</f>
        <v>466320</v>
      </c>
    </row>
    <row r="17" spans="2:25" x14ac:dyDescent="0.25">
      <c r="V17" t="s">
        <v>12</v>
      </c>
    </row>
    <row r="18" spans="2:25" x14ac:dyDescent="0.25">
      <c r="B18" t="s">
        <v>9</v>
      </c>
      <c r="C18" s="1">
        <f>27000+10*5000+2*15000+7*7500+5*18000+2*25000</f>
        <v>299500</v>
      </c>
      <c r="H18" t="s">
        <v>9</v>
      </c>
      <c r="I18" s="1">
        <f>4*20000+3000*2+2*18000+25000+3500*10*4+2*30000+4*15000</f>
        <v>407000</v>
      </c>
      <c r="N18" t="s">
        <v>36</v>
      </c>
      <c r="O18" s="1">
        <f>14000*12</f>
        <v>168000</v>
      </c>
    </row>
    <row r="19" spans="2:25" x14ac:dyDescent="0.25">
      <c r="N19" s="16" t="s">
        <v>37</v>
      </c>
      <c r="O19" s="5">
        <f>-26000-5000-2100-8000</f>
        <v>-41100</v>
      </c>
      <c r="P19" s="10" t="s">
        <v>13</v>
      </c>
      <c r="Q19" s="1">
        <f>-O18*0.3</f>
        <v>-50400</v>
      </c>
      <c r="R19" s="2" t="s">
        <v>14</v>
      </c>
      <c r="S19" s="17">
        <f>Q19</f>
        <v>-50400</v>
      </c>
      <c r="V19" s="3" t="s">
        <v>2</v>
      </c>
      <c r="W19" s="1">
        <f>-27000*0.41*31</f>
        <v>-343170</v>
      </c>
      <c r="X19" s="10" t="s">
        <v>13</v>
      </c>
      <c r="Y19" s="1">
        <f>-5000*12</f>
        <v>-60000</v>
      </c>
    </row>
    <row r="20" spans="2:25" x14ac:dyDescent="0.25">
      <c r="B20" t="s">
        <v>12</v>
      </c>
      <c r="H20" t="s">
        <v>12</v>
      </c>
      <c r="V20" s="3">
        <v>2</v>
      </c>
      <c r="W20" s="1">
        <v>0</v>
      </c>
    </row>
    <row r="21" spans="2:25" x14ac:dyDescent="0.25">
      <c r="N21" t="s">
        <v>38</v>
      </c>
      <c r="O21" s="1">
        <f>O18+S19</f>
        <v>117600</v>
      </c>
      <c r="V21" s="3">
        <v>3</v>
      </c>
      <c r="W21" s="1">
        <f>-5500*12</f>
        <v>-66000</v>
      </c>
    </row>
    <row r="22" spans="2:25" x14ac:dyDescent="0.25">
      <c r="B22" s="3" t="s">
        <v>2</v>
      </c>
      <c r="C22" s="1">
        <f>-7800*0.4*31</f>
        <v>-96720</v>
      </c>
      <c r="D22" s="10" t="s">
        <v>13</v>
      </c>
      <c r="E22" s="1">
        <f>-4000*8</f>
        <v>-32000</v>
      </c>
      <c r="H22" s="3" t="s">
        <v>2</v>
      </c>
      <c r="I22" s="1">
        <f>-2100*0.2*31</f>
        <v>-13020</v>
      </c>
      <c r="J22" s="10" t="s">
        <v>13</v>
      </c>
      <c r="K22" s="1">
        <f>-4000*10</f>
        <v>-40000</v>
      </c>
      <c r="V22" s="3">
        <v>4</v>
      </c>
      <c r="W22" s="1">
        <f>-300*12</f>
        <v>-3600</v>
      </c>
    </row>
    <row r="23" spans="2:25" x14ac:dyDescent="0.25">
      <c r="B23" s="3">
        <v>2</v>
      </c>
      <c r="C23" s="1">
        <v>0</v>
      </c>
      <c r="H23" s="3">
        <v>2</v>
      </c>
      <c r="I23" s="1">
        <v>0</v>
      </c>
      <c r="N23" t="s">
        <v>9</v>
      </c>
      <c r="O23" s="1">
        <f>210*150+34*250+2*5000+186*200+12*350</f>
        <v>91400</v>
      </c>
      <c r="V23" s="3" t="s">
        <v>10</v>
      </c>
      <c r="W23" s="1">
        <f>-450*12</f>
        <v>-5400</v>
      </c>
    </row>
    <row r="24" spans="2:25" x14ac:dyDescent="0.25">
      <c r="B24" s="3">
        <v>3</v>
      </c>
      <c r="C24" s="1">
        <f>-3500*8</f>
        <v>-28000</v>
      </c>
      <c r="H24" s="3">
        <v>3</v>
      </c>
      <c r="I24" s="1">
        <f>-5000*10</f>
        <v>-50000</v>
      </c>
      <c r="V24" s="3" t="s">
        <v>11</v>
      </c>
      <c r="W24" s="1">
        <v>-1600</v>
      </c>
    </row>
    <row r="25" spans="2:25" x14ac:dyDescent="0.25">
      <c r="B25" s="3">
        <v>4</v>
      </c>
      <c r="C25" s="1">
        <f>-800*8</f>
        <v>-6400</v>
      </c>
      <c r="H25" s="3">
        <v>4</v>
      </c>
      <c r="I25" s="1">
        <f>-800*10</f>
        <v>-8000</v>
      </c>
      <c r="N25" t="s">
        <v>12</v>
      </c>
      <c r="V25" s="9" t="s">
        <v>7</v>
      </c>
      <c r="W25" s="1">
        <f>-7200</f>
        <v>-7200</v>
      </c>
    </row>
    <row r="26" spans="2:25" x14ac:dyDescent="0.25">
      <c r="B26" s="3" t="s">
        <v>10</v>
      </c>
      <c r="C26" s="1">
        <f>-1000*8</f>
        <v>-8000</v>
      </c>
      <c r="H26" s="3" t="s">
        <v>10</v>
      </c>
      <c r="I26" s="1">
        <f>-550*10</f>
        <v>-5500</v>
      </c>
      <c r="V26" s="9" t="s">
        <v>42</v>
      </c>
    </row>
    <row r="27" spans="2:25" x14ac:dyDescent="0.25">
      <c r="B27" s="3" t="s">
        <v>11</v>
      </c>
      <c r="C27" s="1">
        <f>-4600*8/12</f>
        <v>-3066.6666666666665</v>
      </c>
      <c r="H27" s="3" t="s">
        <v>11</v>
      </c>
      <c r="I27" s="1">
        <f>-4600*10/12</f>
        <v>-3833.3333333333335</v>
      </c>
      <c r="N27" s="3" t="s">
        <v>2</v>
      </c>
      <c r="O27" s="1">
        <f>-7200*0.4*31</f>
        <v>-89280</v>
      </c>
      <c r="P27" s="10" t="s">
        <v>13</v>
      </c>
      <c r="Q27" s="1">
        <f>-5000*12</f>
        <v>-60000</v>
      </c>
      <c r="V27" s="9" t="s">
        <v>43</v>
      </c>
      <c r="W27" s="1">
        <f>-27120</f>
        <v>-27120</v>
      </c>
    </row>
    <row r="28" spans="2:25" x14ac:dyDescent="0.25">
      <c r="B28" s="9" t="s">
        <v>7</v>
      </c>
      <c r="C28" s="1">
        <f>-5200</f>
        <v>-5200</v>
      </c>
      <c r="H28" s="9" t="s">
        <v>7</v>
      </c>
      <c r="I28" s="1">
        <f>-3100</f>
        <v>-3100</v>
      </c>
      <c r="N28" s="3">
        <v>2</v>
      </c>
      <c r="O28" s="1">
        <v>0</v>
      </c>
      <c r="V28" s="4"/>
      <c r="W28" s="5"/>
    </row>
    <row r="29" spans="2:25" x14ac:dyDescent="0.25">
      <c r="B29" s="4"/>
      <c r="C29" s="5"/>
      <c r="H29" s="4"/>
      <c r="I29" s="5"/>
      <c r="N29" s="3">
        <v>3</v>
      </c>
      <c r="O29" s="1">
        <f>-2300*12</f>
        <v>-27600</v>
      </c>
      <c r="V29" t="s">
        <v>3</v>
      </c>
      <c r="W29" s="1">
        <f>SUM(W19:W28)</f>
        <v>-454090</v>
      </c>
      <c r="X29" s="10" t="s">
        <v>13</v>
      </c>
      <c r="Y29" s="1">
        <f>-W15*0.6</f>
        <v>-849600</v>
      </c>
    </row>
    <row r="30" spans="2:25" x14ac:dyDescent="0.25">
      <c r="B30" t="s">
        <v>3</v>
      </c>
      <c r="C30" s="1">
        <f>SUM(C22:C28)</f>
        <v>-147386.66666666666</v>
      </c>
      <c r="D30" s="10" t="s">
        <v>13</v>
      </c>
      <c r="E30" s="1">
        <f>-C18*0.4</f>
        <v>-119800</v>
      </c>
      <c r="H30" t="s">
        <v>3</v>
      </c>
      <c r="I30" s="1">
        <f>K22+SUM(I23:I28)</f>
        <v>-110433.33333333333</v>
      </c>
      <c r="J30" s="10" t="s">
        <v>13</v>
      </c>
      <c r="K30" s="1">
        <f>-I18*0.4</f>
        <v>-162800</v>
      </c>
      <c r="N30" s="3">
        <v>4</v>
      </c>
      <c r="O30" s="1">
        <f>-350*12</f>
        <v>-4200</v>
      </c>
    </row>
    <row r="31" spans="2:25" x14ac:dyDescent="0.25">
      <c r="F31" s="2"/>
      <c r="N31" s="3" t="s">
        <v>10</v>
      </c>
      <c r="O31" s="1">
        <f>-4600</f>
        <v>-4600</v>
      </c>
      <c r="V31" t="s">
        <v>15</v>
      </c>
      <c r="W31" s="1">
        <f>W15+Y29</f>
        <v>566400</v>
      </c>
    </row>
    <row r="32" spans="2:25" x14ac:dyDescent="0.25">
      <c r="B32" t="s">
        <v>15</v>
      </c>
      <c r="C32" s="1">
        <f>C18+E30</f>
        <v>179700</v>
      </c>
      <c r="H32" t="s">
        <v>15</v>
      </c>
      <c r="I32" s="1">
        <f>I18+K30</f>
        <v>244200</v>
      </c>
      <c r="N32" s="3" t="s">
        <v>11</v>
      </c>
      <c r="O32" s="1">
        <f>-3250</f>
        <v>-3250</v>
      </c>
    </row>
    <row r="33" spans="2:25" x14ac:dyDescent="0.25">
      <c r="N33" s="9" t="s">
        <v>7</v>
      </c>
      <c r="O33" s="1">
        <v>-21400</v>
      </c>
      <c r="V33" t="s">
        <v>30</v>
      </c>
      <c r="W33" s="1">
        <v>0</v>
      </c>
    </row>
    <row r="34" spans="2:25" x14ac:dyDescent="0.25">
      <c r="B34" t="s">
        <v>16</v>
      </c>
      <c r="C34" s="1">
        <f>C16+C32</f>
        <v>662100</v>
      </c>
      <c r="H34" t="s">
        <v>30</v>
      </c>
      <c r="I34" s="1">
        <v>0</v>
      </c>
      <c r="N34" s="4" t="s">
        <v>39</v>
      </c>
      <c r="O34" s="5">
        <v>-15500</v>
      </c>
    </row>
    <row r="35" spans="2:25" x14ac:dyDescent="0.25">
      <c r="N35" t="s">
        <v>3</v>
      </c>
      <c r="O35" s="1">
        <f>SUM(O27:O34)</f>
        <v>-165830</v>
      </c>
      <c r="P35" s="10" t="s">
        <v>13</v>
      </c>
      <c r="Q35" s="1">
        <f>-O23*0.4</f>
        <v>-36560</v>
      </c>
      <c r="V35" t="s">
        <v>16</v>
      </c>
      <c r="W35" s="1">
        <f>W13+W31+W33</f>
        <v>1100383.3</v>
      </c>
    </row>
    <row r="36" spans="2:25" x14ac:dyDescent="0.25">
      <c r="B36" t="s">
        <v>4</v>
      </c>
      <c r="C36" s="1">
        <f>C34*0.15</f>
        <v>99315</v>
      </c>
      <c r="H36" t="s">
        <v>16</v>
      </c>
      <c r="I36" s="1">
        <f>I16+I32+I34</f>
        <v>673000</v>
      </c>
    </row>
    <row r="37" spans="2:25" x14ac:dyDescent="0.25">
      <c r="N37" t="s">
        <v>15</v>
      </c>
      <c r="O37" s="1">
        <f>O23+O35</f>
        <v>-74430</v>
      </c>
      <c r="V37" t="s">
        <v>4</v>
      </c>
      <c r="W37" s="1">
        <f>W35*0.15</f>
        <v>165057.495</v>
      </c>
    </row>
    <row r="38" spans="2:25" x14ac:dyDescent="0.25">
      <c r="B38" t="s">
        <v>5</v>
      </c>
      <c r="C38" s="1">
        <f>-24840</f>
        <v>-24840</v>
      </c>
      <c r="H38" t="s">
        <v>4</v>
      </c>
      <c r="I38" s="1">
        <f>I36*0.15</f>
        <v>100950</v>
      </c>
    </row>
    <row r="39" spans="2:25" x14ac:dyDescent="0.25">
      <c r="V39" t="s">
        <v>5</v>
      </c>
      <c r="W39" s="1">
        <f>-24840-15204</f>
        <v>-40044</v>
      </c>
    </row>
    <row r="40" spans="2:25" x14ac:dyDescent="0.25">
      <c r="B40" t="s">
        <v>6</v>
      </c>
      <c r="C40" s="1">
        <f>C36+C38</f>
        <v>74475</v>
      </c>
      <c r="H40" t="s">
        <v>5</v>
      </c>
      <c r="I40" s="1">
        <f>-15204</f>
        <v>-15204</v>
      </c>
      <c r="N40" t="s">
        <v>16</v>
      </c>
      <c r="O40" s="1">
        <f>O16</f>
        <v>466320</v>
      </c>
    </row>
    <row r="41" spans="2:25" x14ac:dyDescent="0.25">
      <c r="V41" t="s">
        <v>6</v>
      </c>
      <c r="W41" s="1">
        <f>W37+W39</f>
        <v>125013.495</v>
      </c>
    </row>
    <row r="42" spans="2:25" x14ac:dyDescent="0.25">
      <c r="H42" t="s">
        <v>6</v>
      </c>
      <c r="I42" s="1">
        <f>I38+I40</f>
        <v>85746</v>
      </c>
      <c r="N42" t="s">
        <v>4</v>
      </c>
      <c r="O42" s="1">
        <f>O40*0.15</f>
        <v>69948</v>
      </c>
    </row>
    <row r="43" spans="2:25" x14ac:dyDescent="0.25">
      <c r="B43" s="6" t="s">
        <v>25</v>
      </c>
      <c r="C43" s="14" t="s">
        <v>14</v>
      </c>
      <c r="D43" s="12">
        <v>0</v>
      </c>
    </row>
    <row r="44" spans="2:25" x14ac:dyDescent="0.25">
      <c r="B44" t="s">
        <v>17</v>
      </c>
      <c r="C44" s="1" t="s">
        <v>19</v>
      </c>
      <c r="D44" s="13">
        <f>C32/2</f>
        <v>89850</v>
      </c>
      <c r="E44" s="1" t="s">
        <v>21</v>
      </c>
      <c r="N44" t="s">
        <v>5</v>
      </c>
      <c r="O44" s="1">
        <v>-24840</v>
      </c>
      <c r="P44" s="1"/>
      <c r="V44" s="6" t="s">
        <v>44</v>
      </c>
      <c r="W44" s="14" t="s">
        <v>14</v>
      </c>
      <c r="X44" s="12">
        <v>0</v>
      </c>
    </row>
    <row r="45" spans="2:25" x14ac:dyDescent="0.25">
      <c r="C45" s="1" t="s">
        <v>20</v>
      </c>
      <c r="D45" s="13">
        <v>35976</v>
      </c>
      <c r="E45" s="1" t="s">
        <v>21</v>
      </c>
      <c r="H45" s="6" t="s">
        <v>31</v>
      </c>
      <c r="I45" s="14" t="s">
        <v>14</v>
      </c>
      <c r="J45" s="12">
        <v>0</v>
      </c>
      <c r="V45" t="s">
        <v>17</v>
      </c>
      <c r="W45" s="1" t="s">
        <v>19</v>
      </c>
      <c r="X45" s="13">
        <f>W31/2</f>
        <v>283200</v>
      </c>
      <c r="Y45" s="1" t="s">
        <v>21</v>
      </c>
    </row>
    <row r="46" spans="2:25" x14ac:dyDescent="0.25">
      <c r="D46" s="13"/>
      <c r="H46" t="s">
        <v>17</v>
      </c>
      <c r="I46" s="1" t="s">
        <v>19</v>
      </c>
      <c r="J46" s="13">
        <f>I32/2</f>
        <v>122100</v>
      </c>
      <c r="K46" s="1" t="s">
        <v>21</v>
      </c>
      <c r="N46" t="s">
        <v>6</v>
      </c>
      <c r="O46" s="1">
        <f>O42+O44</f>
        <v>45108</v>
      </c>
      <c r="W46" s="1" t="s">
        <v>20</v>
      </c>
      <c r="X46" s="13">
        <v>35976</v>
      </c>
      <c r="Y46" s="1" t="s">
        <v>21</v>
      </c>
    </row>
    <row r="47" spans="2:25" x14ac:dyDescent="0.25">
      <c r="I47" s="1" t="s">
        <v>20</v>
      </c>
      <c r="J47" s="13">
        <v>35976</v>
      </c>
      <c r="K47" s="1" t="s">
        <v>21</v>
      </c>
      <c r="X47" s="13"/>
    </row>
    <row r="48" spans="2:25" x14ac:dyDescent="0.25">
      <c r="C48" s="14" t="s">
        <v>14</v>
      </c>
      <c r="D48" s="10" t="s">
        <v>18</v>
      </c>
      <c r="E48" s="1">
        <f>D44</f>
        <v>89850</v>
      </c>
      <c r="J48" s="13"/>
      <c r="N48" s="7"/>
      <c r="O48" s="8"/>
      <c r="P48" s="11"/>
      <c r="Q48" s="8"/>
    </row>
    <row r="49" spans="4:25" x14ac:dyDescent="0.25">
      <c r="D49" s="12" t="s">
        <v>26</v>
      </c>
      <c r="E49" s="15">
        <f>E48*0.292</f>
        <v>26236.199999999997</v>
      </c>
      <c r="N49" s="7"/>
      <c r="O49" s="18"/>
      <c r="P49" s="11"/>
      <c r="Q49" s="8"/>
      <c r="W49" s="14" t="s">
        <v>14</v>
      </c>
      <c r="X49" s="10" t="s">
        <v>18</v>
      </c>
      <c r="Y49" s="1">
        <f>X45</f>
        <v>283200</v>
      </c>
    </row>
    <row r="50" spans="4:25" x14ac:dyDescent="0.25">
      <c r="I50" s="14" t="s">
        <v>14</v>
      </c>
      <c r="J50" s="10" t="s">
        <v>18</v>
      </c>
      <c r="K50" s="1">
        <f>J46</f>
        <v>122100</v>
      </c>
      <c r="N50" s="7"/>
      <c r="O50" s="8"/>
      <c r="P50" s="19"/>
      <c r="Q50" s="8"/>
      <c r="X50" s="12" t="s">
        <v>45</v>
      </c>
      <c r="Y50" s="15">
        <f>Y49*0.292</f>
        <v>82694.399999999994</v>
      </c>
    </row>
    <row r="51" spans="4:25" x14ac:dyDescent="0.25">
      <c r="J51" s="12" t="s">
        <v>32</v>
      </c>
      <c r="K51" s="15">
        <f>K50*0.292</f>
        <v>35653.199999999997</v>
      </c>
      <c r="N51" s="7"/>
      <c r="O51" s="8"/>
      <c r="P51" s="19"/>
      <c r="Q51" s="8"/>
    </row>
    <row r="52" spans="4:25" x14ac:dyDescent="0.25">
      <c r="N52" s="7"/>
      <c r="O52" s="8"/>
      <c r="P52" s="11"/>
      <c r="Q52" s="8"/>
    </row>
    <row r="53" spans="4:25" x14ac:dyDescent="0.25">
      <c r="N53" s="7"/>
      <c r="O53" s="18"/>
      <c r="P53" s="11"/>
      <c r="Q53" s="8"/>
    </row>
    <row r="54" spans="4:25" x14ac:dyDescent="0.25">
      <c r="N54" s="7"/>
      <c r="O54" s="8"/>
      <c r="P54" s="11"/>
      <c r="Q54" s="8"/>
    </row>
    <row r="55" spans="4:25" x14ac:dyDescent="0.25">
      <c r="N55" s="7"/>
      <c r="O55" s="8"/>
      <c r="P55" s="11"/>
      <c r="Q55" s="8"/>
    </row>
    <row r="56" spans="4:25" x14ac:dyDescent="0.25">
      <c r="N56" s="7"/>
      <c r="O56" s="8"/>
      <c r="P56" s="11"/>
      <c r="Q56" s="8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 Lemeshko</cp:lastModifiedBy>
  <dcterms:created xsi:type="dcterms:W3CDTF">2019-03-03T19:33:41Z</dcterms:created>
  <dcterms:modified xsi:type="dcterms:W3CDTF">2019-03-21T16:31:05Z</dcterms:modified>
</cp:coreProperties>
</file>