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Taxation\"/>
    </mc:Choice>
  </mc:AlternateContent>
  <bookViews>
    <workbookView xWindow="0" yWindow="0" windowWidth="24000" windowHeight="8940" activeTab="1"/>
  </bookViews>
  <sheets>
    <sheet name="Ex. 1-3" sheetId="1" r:id="rId1"/>
    <sheet name="Ex. 4-5" sheetId="4" r:id="rId2"/>
    <sheet name="Sheet2" sheetId="2" r:id="rId3"/>
    <sheet name="Sheet3" sheetId="3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12" i="4" l="1"/>
  <c r="Y14" i="4"/>
  <c r="Y11" i="4"/>
  <c r="F14" i="4" l="1"/>
  <c r="S6" i="1"/>
  <c r="Q6" i="1"/>
  <c r="AA7" i="4" l="1"/>
  <c r="Y15" i="4"/>
  <c r="Y13" i="4"/>
  <c r="Y12" i="4"/>
  <c r="Y10" i="4"/>
  <c r="Y9" i="4"/>
  <c r="Y8" i="4" l="1"/>
  <c r="Y16" i="4" s="1"/>
  <c r="Y7" i="4"/>
  <c r="Y6" i="4"/>
  <c r="AA16" i="4"/>
  <c r="H11" i="4"/>
  <c r="H10" i="4"/>
  <c r="H9" i="4"/>
  <c r="H7" i="4"/>
  <c r="H6" i="4"/>
  <c r="F13" i="4"/>
  <c r="F12" i="4"/>
  <c r="F11" i="4"/>
  <c r="F10" i="4"/>
  <c r="F9" i="4"/>
  <c r="F8" i="4"/>
  <c r="F7" i="4"/>
  <c r="F6" i="4"/>
  <c r="AA17" i="4" l="1"/>
  <c r="H16" i="4"/>
  <c r="F16" i="4"/>
  <c r="S11" i="1"/>
  <c r="S10" i="1"/>
  <c r="S9" i="1"/>
  <c r="S8" i="1"/>
  <c r="Q12" i="1"/>
  <c r="Q11" i="1"/>
  <c r="Q10" i="1"/>
  <c r="Q9" i="1"/>
  <c r="Q8" i="1"/>
  <c r="Q7" i="1"/>
  <c r="E13" i="1"/>
  <c r="E14" i="1" s="1"/>
  <c r="E5" i="1"/>
  <c r="E6" i="1" s="1"/>
  <c r="E7" i="1" s="1"/>
  <c r="E8" i="1" s="1"/>
  <c r="E9" i="1" s="1"/>
  <c r="E10" i="1" s="1"/>
  <c r="L13" i="1"/>
  <c r="L14" i="1" s="1"/>
  <c r="L15" i="1" s="1"/>
  <c r="L16" i="1" s="1"/>
  <c r="L17" i="1" s="1"/>
  <c r="L18" i="1" s="1"/>
  <c r="L5" i="1"/>
  <c r="L6" i="1" s="1"/>
  <c r="L7" i="1" s="1"/>
  <c r="L8" i="1" s="1"/>
  <c r="L9" i="1" s="1"/>
  <c r="L10" i="1" s="1"/>
  <c r="E15" i="1" l="1"/>
  <c r="E16" i="1" s="1"/>
  <c r="E17" i="1" s="1"/>
  <c r="E18" i="1" s="1"/>
  <c r="H17" i="4"/>
  <c r="S13" i="1"/>
  <c r="Q13" i="1"/>
  <c r="S14" i="1" l="1"/>
</calcChain>
</file>

<file path=xl/comments1.xml><?xml version="1.0" encoding="utf-8"?>
<comments xmlns="http://schemas.openxmlformats.org/spreadsheetml/2006/main">
  <authors>
    <author>lemeso01</author>
    <author>CIKT</author>
  </authors>
  <commentList>
    <comment ref="L5" authorId="0" shapeId="0">
      <text>
        <r>
          <rPr>
            <b/>
            <sz val="8"/>
            <color indexed="81"/>
            <rFont val="Tahoma"/>
          </rPr>
          <t>lemeso01:</t>
        </r>
        <r>
          <rPr>
            <sz val="8"/>
            <color indexed="81"/>
            <rFont val="Tahoma"/>
          </rPr>
          <t xml:space="preserve">
&gt;326000 CZK on intercommunity purchases from VAT payers from other EU states</t>
        </r>
      </text>
    </comment>
    <comment ref="S6" authorId="1" shapeId="0">
      <text>
        <r>
          <rPr>
            <b/>
            <sz val="9"/>
            <color indexed="81"/>
            <rFont val="Tahoma"/>
            <family val="2"/>
            <charset val="238"/>
          </rPr>
          <t>CIKT:</t>
        </r>
        <r>
          <rPr>
            <sz val="9"/>
            <color indexed="81"/>
            <rFont val="Tahoma"/>
            <family val="2"/>
            <charset val="238"/>
          </rPr>
          <t xml:space="preserve">
output VAT of Stella's vendor </t>
        </r>
        <r>
          <rPr>
            <u/>
            <sz val="9"/>
            <color indexed="81"/>
            <rFont val="Tahoma"/>
            <family val="2"/>
            <charset val="238"/>
          </rPr>
          <t>with gold</t>
        </r>
        <r>
          <rPr>
            <sz val="9"/>
            <color indexed="81"/>
            <rFont val="Tahoma"/>
            <family val="2"/>
            <charset val="238"/>
          </rPr>
          <t xml:space="preserve"> is transferred on Stella via reverse charge
</t>
        </r>
      </text>
    </comment>
    <comment ref="E7" authorId="1" shapeId="0">
      <text>
        <r>
          <rPr>
            <b/>
            <sz val="9"/>
            <color indexed="81"/>
            <rFont val="Tahoma"/>
            <family val="2"/>
            <charset val="238"/>
          </rPr>
          <t>CIKT:</t>
        </r>
        <r>
          <rPr>
            <sz val="9"/>
            <color indexed="81"/>
            <rFont val="Tahoma"/>
            <family val="2"/>
            <charset val="238"/>
          </rPr>
          <t xml:space="preserve">
&gt;326000 CZK on intercommunity purchases from VAT payers from other EU states</t>
        </r>
      </text>
    </comment>
    <comment ref="S7" authorId="1" shapeId="0">
      <text>
        <r>
          <rPr>
            <b/>
            <sz val="9"/>
            <color indexed="81"/>
            <rFont val="Tahoma"/>
            <family val="2"/>
            <charset val="238"/>
          </rPr>
          <t>CIKT:</t>
        </r>
        <r>
          <rPr>
            <sz val="9"/>
            <color indexed="81"/>
            <rFont val="Tahoma"/>
            <family val="2"/>
            <charset val="238"/>
          </rPr>
          <t xml:space="preserve">
no output VAT for Stella on its </t>
        </r>
        <r>
          <rPr>
            <u/>
            <sz val="9"/>
            <color indexed="81"/>
            <rFont val="Tahoma"/>
            <family val="2"/>
            <charset val="238"/>
          </rPr>
          <t>supply of gold</t>
        </r>
        <r>
          <rPr>
            <sz val="9"/>
            <color indexed="81"/>
            <rFont val="Tahoma"/>
            <family val="2"/>
            <charset val="238"/>
          </rPr>
          <t>, but its output VAT is transferred on its clients via reverse charge</t>
        </r>
      </text>
    </comment>
    <comment ref="L17" authorId="1" shapeId="0">
      <text>
        <r>
          <rPr>
            <b/>
            <sz val="9"/>
            <color indexed="81"/>
            <rFont val="Tahoma"/>
            <family val="2"/>
            <charset val="238"/>
          </rPr>
          <t>CIKT:</t>
        </r>
        <r>
          <rPr>
            <sz val="9"/>
            <color indexed="81"/>
            <rFont val="Tahoma"/>
            <family val="2"/>
            <charset val="238"/>
          </rPr>
          <t xml:space="preserve">
&gt;1000000 CZK on supplies (turnover). Supplies include taxable supplies and exempt supplies with right to recover input VAT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CIKT:</t>
        </r>
        <r>
          <rPr>
            <sz val="9"/>
            <color indexed="81"/>
            <rFont val="Tahoma"/>
            <family val="2"/>
            <charset val="238"/>
          </rPr>
          <t xml:space="preserve">
&gt;1000000 CZK on supplies (turnover). Supplies include taxable supplies and exempt supplies with right to recover input VAT</t>
        </r>
      </text>
    </comment>
  </commentList>
</comments>
</file>

<file path=xl/comments2.xml><?xml version="1.0" encoding="utf-8"?>
<comments xmlns="http://schemas.openxmlformats.org/spreadsheetml/2006/main">
  <authors>
    <author>Oleksandra</author>
    <author>CIKT</author>
    <author>Oleksandra Lemeshko</author>
  </authors>
  <commentList>
    <comment ref="F6" authorId="0" shapeId="0">
      <text>
        <r>
          <rPr>
            <b/>
            <sz val="9"/>
            <color indexed="81"/>
            <rFont val="Tahoma"/>
            <charset val="1"/>
          </rPr>
          <t>Oleksandra:</t>
        </r>
        <r>
          <rPr>
            <sz val="9"/>
            <color indexed="81"/>
            <rFont val="Tahoma"/>
            <charset val="1"/>
          </rPr>
          <t xml:space="preserve">
taxable as IC purchase (based on destination model)</t>
        </r>
      </text>
    </comment>
    <comment ref="H6" authorId="0" shapeId="0">
      <text>
        <r>
          <rPr>
            <b/>
            <sz val="9"/>
            <color indexed="81"/>
            <rFont val="Tahoma"/>
            <charset val="1"/>
          </rPr>
          <t>Oleksandra:</t>
        </r>
        <r>
          <rPr>
            <sz val="9"/>
            <color indexed="81"/>
            <rFont val="Tahoma"/>
            <charset val="1"/>
          </rPr>
          <t xml:space="preserve">
under reverse charge applied to pucrhase of laptops and mobiles on one supply exceeding 100k CZK</t>
        </r>
      </text>
    </comment>
    <comment ref="Y6" authorId="0" shapeId="0">
      <text>
        <r>
          <rPr>
            <b/>
            <sz val="9"/>
            <color indexed="81"/>
            <rFont val="Tahoma"/>
            <charset val="1"/>
          </rPr>
          <t>Oleksandra:</t>
        </r>
        <r>
          <rPr>
            <sz val="9"/>
            <color indexed="81"/>
            <rFont val="Tahoma"/>
            <charset val="1"/>
          </rPr>
          <t xml:space="preserve">
taxable as import (based on destination model). Reverse charge is not applicable to import from non-EU countries. Differentiation into laptops/mobiles and nonlaptops/mobiles is important only for local transactions</t>
        </r>
      </text>
    </comment>
    <comment ref="H7" authorId="0" shapeId="0">
      <text>
        <r>
          <rPr>
            <b/>
            <sz val="9"/>
            <color indexed="81"/>
            <rFont val="Tahoma"/>
            <charset val="1"/>
          </rPr>
          <t>Oleksandra:</t>
        </r>
        <r>
          <rPr>
            <sz val="9"/>
            <color indexed="81"/>
            <rFont val="Tahoma"/>
            <charset val="1"/>
          </rPr>
          <t xml:space="preserve">
Assumption: customers are natural persons =&gt; supply is taxed with normal output VAT because it is supply to natural person. Although first reduced rate is used (i.e. 15%) </t>
        </r>
      </text>
    </comment>
    <comment ref="Y7" authorId="1" shapeId="0">
      <text>
        <r>
          <rPr>
            <b/>
            <sz val="9"/>
            <color indexed="81"/>
            <rFont val="Tahoma"/>
            <charset val="1"/>
          </rPr>
          <t>CIKT:</t>
        </r>
        <r>
          <rPr>
            <sz val="9"/>
            <color indexed="81"/>
            <rFont val="Tahoma"/>
            <charset val="1"/>
          </rPr>
          <t xml:space="preserve">
taxable as normal import</t>
        </r>
      </text>
    </comment>
    <comment ref="AA7" authorId="2" shapeId="0">
      <text>
        <r>
          <rPr>
            <b/>
            <sz val="9"/>
            <color indexed="81"/>
            <rFont val="Tahoma"/>
            <charset val="1"/>
          </rPr>
          <t>Oleksandra Lemeshko:</t>
        </r>
        <r>
          <rPr>
            <sz val="9"/>
            <color indexed="81"/>
            <rFont val="Tahoma"/>
            <charset val="1"/>
          </rPr>
          <t xml:space="preserve">
output VAT is recognized only on desktops</t>
        </r>
      </text>
    </comment>
    <comment ref="F8" authorId="0" shapeId="0">
      <text>
        <r>
          <rPr>
            <b/>
            <sz val="9"/>
            <color indexed="81"/>
            <rFont val="Tahoma"/>
            <charset val="1"/>
          </rPr>
          <t>Oleksandra:</t>
        </r>
        <r>
          <rPr>
            <sz val="9"/>
            <color indexed="81"/>
            <rFont val="Tahoma"/>
            <charset val="1"/>
          </rPr>
          <t xml:space="preserve">
taxable as import (based on destination model)</t>
        </r>
      </text>
    </comment>
    <comment ref="H8" authorId="0" shapeId="0">
      <text>
        <r>
          <rPr>
            <b/>
            <sz val="9"/>
            <color indexed="81"/>
            <rFont val="Tahoma"/>
            <charset val="1"/>
          </rPr>
          <t>Oleksandra: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u/>
            <sz val="9"/>
            <color indexed="81"/>
            <rFont val="Tahoma"/>
            <family val="2"/>
          </rPr>
          <t>Assumption:</t>
        </r>
        <r>
          <rPr>
            <sz val="9"/>
            <color indexed="81"/>
            <rFont val="Tahoma"/>
            <charset val="1"/>
          </rPr>
          <t xml:space="preserve"> customer is VAT payer =&gt; supply is exempt under reverse charge since it is supply of construction-related services to VAT-payer.
Otherwise (i.e. customer is non-VAT payer) such supply is taxable as normal local supply at 15%.</t>
        </r>
      </text>
    </comment>
    <comment ref="Y8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taxable as normal IC purchase</t>
        </r>
      </text>
    </comment>
    <comment ref="AA8" authorId="2" shapeId="0">
      <text>
        <r>
          <rPr>
            <b/>
            <sz val="9"/>
            <color indexed="81"/>
            <rFont val="Tahoma"/>
            <charset val="1"/>
          </rPr>
          <t>Oleksandra Lemeshko:</t>
        </r>
        <r>
          <rPr>
            <sz val="9"/>
            <color indexed="81"/>
            <rFont val="Tahoma"/>
            <charset val="1"/>
          </rPr>
          <t xml:space="preserve">
exempt as IC supply
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Assumption: customers are natural persons =&gt; local output VAT is applied. And reduced rate is applied to all components of supply (both construction-related works) and materials because they are supplied as package (in a single order). Otherwise standard rate of 21% should be applied to supply of materials as goods.</t>
        </r>
      </text>
    </comment>
    <comment ref="Y9" authorId="2" shapeId="0">
      <text>
        <r>
          <rPr>
            <b/>
            <sz val="9"/>
            <color indexed="81"/>
            <rFont val="Tahoma"/>
            <charset val="1"/>
          </rPr>
          <t>Oleksandra Lemeshko:</t>
        </r>
        <r>
          <rPr>
            <sz val="9"/>
            <color indexed="81"/>
            <rFont val="Tahoma"/>
            <charset val="1"/>
          </rPr>
          <t xml:space="preserve">
as normal IC purchase</t>
        </r>
      </text>
    </comment>
    <comment ref="AA9" authorId="2" shapeId="0">
      <text>
        <r>
          <rPr>
            <b/>
            <sz val="9"/>
            <color indexed="81"/>
            <rFont val="Tahoma"/>
            <charset val="1"/>
          </rPr>
          <t>Oleksandra Lemeshko:</t>
        </r>
        <r>
          <rPr>
            <sz val="9"/>
            <color indexed="81"/>
            <rFont val="Tahoma"/>
            <charset val="1"/>
          </rPr>
          <t xml:space="preserve">
exempt as export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as normal local supply but at first reduced rate</t>
        </r>
      </text>
    </comment>
    <comment ref="Y10" authorId="2" shapeId="0">
      <text>
        <r>
          <rPr>
            <b/>
            <sz val="9"/>
            <color indexed="81"/>
            <rFont val="Tahoma"/>
            <charset val="1"/>
          </rPr>
          <t>Oleksandra Lemeshko:</t>
        </r>
        <r>
          <rPr>
            <sz val="9"/>
            <color indexed="81"/>
            <rFont val="Tahoma"/>
            <charset val="1"/>
          </rPr>
          <t xml:space="preserve">
where customer is located because it is special type of service which is consumed online.</t>
        </r>
      </text>
    </comment>
    <comment ref="AA10" authorId="2" shapeId="0">
      <text>
        <r>
          <rPr>
            <b/>
            <sz val="9"/>
            <color indexed="81"/>
            <rFont val="Tahoma"/>
            <charset val="1"/>
          </rPr>
          <t>Oleksandra Lemeshko:</t>
        </r>
        <r>
          <rPr>
            <sz val="9"/>
            <color indexed="81"/>
            <rFont val="Tahoma"/>
            <charset val="1"/>
          </rPr>
          <t xml:space="preserve">
exempt as IC supply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architectural services are taxed with first reduced rate i.e. 15%</t>
        </r>
      </text>
    </comment>
    <comment ref="Y11" authorId="2" shapeId="0">
      <text>
        <r>
          <rPr>
            <b/>
            <sz val="9"/>
            <color indexed="81"/>
            <rFont val="Tahoma"/>
            <charset val="1"/>
          </rPr>
          <t>Oleksandra Lemeshko:</t>
        </r>
        <r>
          <rPr>
            <sz val="9"/>
            <color indexed="81"/>
            <rFont val="Tahoma"/>
            <charset val="1"/>
          </rPr>
          <t xml:space="preserve">
Russinan VAT is 20% because it is service which is taxed with VAT in place where event happens</t>
        </r>
      </text>
    </comment>
    <comment ref="AA11" authorId="2" shapeId="0">
      <text>
        <r>
          <rPr>
            <b/>
            <sz val="9"/>
            <color indexed="81"/>
            <rFont val="Tahoma"/>
            <charset val="1"/>
          </rPr>
          <t>Oleksandra Lemeshko:</t>
        </r>
        <r>
          <rPr>
            <sz val="9"/>
            <color indexed="81"/>
            <rFont val="Tahoma"/>
            <charset val="1"/>
          </rPr>
          <t xml:space="preserve">
exempt as export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>Oleksandra:</t>
        </r>
        <r>
          <rPr>
            <sz val="9"/>
            <color indexed="81"/>
            <rFont val="Tahoma"/>
            <charset val="1"/>
          </rPr>
          <t xml:space="preserve">
because inclusive VAT, so input VAT needs to be extracted using VAT coefficient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Oleksandra:</t>
        </r>
        <r>
          <rPr>
            <sz val="9"/>
            <color indexed="81"/>
            <rFont val="Tahoma"/>
            <charset val="1"/>
          </rPr>
          <t xml:space="preserve">
VAT is recognized on prepayments. In general,  moment for recognition of VAT is what happens earlier: supply and consumption of service or advance payment made for it</t>
        </r>
      </text>
    </comment>
    <comment ref="Y13" authorId="2" shapeId="0">
      <text>
        <r>
          <rPr>
            <b/>
            <sz val="9"/>
            <color indexed="81"/>
            <rFont val="Tahoma"/>
            <charset val="1"/>
          </rPr>
          <t>Oleksandra Lemeshko:</t>
        </r>
        <r>
          <rPr>
            <sz val="9"/>
            <color indexed="81"/>
            <rFont val="Tahoma"/>
            <charset val="1"/>
          </rPr>
          <t xml:space="preserve">
where customer is located, that is, CZ VAT rate</t>
        </r>
      </text>
    </comment>
    <comment ref="Y14" authorId="2" shapeId="0">
      <text>
        <r>
          <rPr>
            <b/>
            <sz val="9"/>
            <color indexed="81"/>
            <rFont val="Tahoma"/>
            <charset val="1"/>
          </rPr>
          <t>Oleksandra Lemeshko:</t>
        </r>
        <r>
          <rPr>
            <sz val="9"/>
            <color indexed="81"/>
            <rFont val="Tahoma"/>
            <charset val="1"/>
          </rPr>
          <t xml:space="preserve">
where customer is, that is, CZ VAT. We need to calclulate net amount (without VAT) of invoice and then charge CZ VAT on it and then convert it into CZK</t>
        </r>
      </text>
    </comment>
  </commentList>
</comments>
</file>

<file path=xl/sharedStrings.xml><?xml version="1.0" encoding="utf-8"?>
<sst xmlns="http://schemas.openxmlformats.org/spreadsheetml/2006/main" count="112" uniqueCount="53">
  <si>
    <t>Purchases from Italy (CZK)</t>
  </si>
  <si>
    <t>Purchases from Spain (CZK)</t>
  </si>
  <si>
    <t>Purchases from Netherlands (CZK)</t>
  </si>
  <si>
    <t>January</t>
  </si>
  <si>
    <t>February</t>
  </si>
  <si>
    <t>March</t>
  </si>
  <si>
    <t>April</t>
  </si>
  <si>
    <t>May</t>
  </si>
  <si>
    <t>June</t>
  </si>
  <si>
    <t>Collection of invoice issued (CZK)</t>
  </si>
  <si>
    <t>Sale of merchandise on invoice (CZK)</t>
  </si>
  <si>
    <t>Sale of merchandise in cash (CZK)</t>
  </si>
  <si>
    <t>TOTAL</t>
  </si>
  <si>
    <t>August</t>
  </si>
  <si>
    <t>July</t>
  </si>
  <si>
    <t>Ex. 1</t>
  </si>
  <si>
    <t>Answer:</t>
  </si>
  <si>
    <t>Ex. 2</t>
  </si>
  <si>
    <t>registration deadline is 15th of February</t>
  </si>
  <si>
    <t>first VAT return submission deadline is 25th of April</t>
  </si>
  <si>
    <t>registration deadline is 15th of April</t>
  </si>
  <si>
    <t>threshold is reached in March by input and in August by output</t>
  </si>
  <si>
    <t>VAT payer from 1st of May 2017</t>
  </si>
  <si>
    <t>VAT return will be submitted on monthly basis till January 1 2019</t>
  </si>
  <si>
    <t>VAT return will be submitted on quarterly basis from January 1 2019</t>
  </si>
  <si>
    <t>threshold is reached in January by input and in july by output</t>
  </si>
  <si>
    <t>VAT payer from 1st of March 2017</t>
  </si>
  <si>
    <t>first VAT return submission deadline is 25th of June</t>
  </si>
  <si>
    <t>VAT return will be submitted on monthly basis till January 1 2018</t>
  </si>
  <si>
    <t>VAT return will be submitted on quarterly basis from January 1 2018</t>
  </si>
  <si>
    <t>Ex.3</t>
  </si>
  <si>
    <t>VAT</t>
  </si>
  <si>
    <t>input</t>
  </si>
  <si>
    <t>output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</si>
  <si>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</si>
  <si>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</si>
  <si>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</si>
  <si>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</si>
  <si>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</si>
  <si>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</si>
  <si>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</si>
  <si>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</si>
  <si>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</si>
  <si>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</si>
  <si>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</si>
  <si>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</si>
  <si>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Ex.4</t>
  </si>
  <si>
    <t>1.</t>
  </si>
  <si>
    <t>14.</t>
  </si>
  <si>
    <t>VAT receivable</t>
  </si>
  <si>
    <t>Ex.5</t>
  </si>
  <si>
    <t>15.</t>
  </si>
  <si>
    <t>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</si>
</sst>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</font>
    <font>
      <b/>
      <sz val="8"/>
      <color indexed="81"/>
      <name val="Tahoma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2">
    <xf numFmtId="0" fontId="0" fillId="0" borderId="0" xfId="0"/>
    <xf numFmtId="3" fontId="0" fillId="0" borderId="0" xfId="0" applyNumberFormat="1"/>
    <xf numFmtId="0" fontId="1" fillId="0" borderId="0" xfId="0" applyFont="1"/>
    <xf numFmtId="3" fontId="4" fillId="0" borderId="0" xfId="0" applyNumberFormat="1" applyFont="1"/>
    <xf numFmtId="3" fontId="4" fillId="0" borderId="0" xfId="0" applyNumberFormat="1" applyFont="1" applyFill="1"/>
    <xf numFmtId="3" fontId="4" fillId="2" borderId="0" xfId="0" applyNumberFormat="1" applyFont="1" applyFill="1"/>
    <xf numFmtId="0" fontId="0" fillId="2" borderId="0" xfId="0" applyFill="1"/>
    <xf numFmtId="3" fontId="0" fillId="2" borderId="0" xfId="0" applyNumberFormat="1" applyFill="1"/>
    <xf numFmtId="0" fontId="0" fillId="3" borderId="0" xfId="0" applyFill="1"/>
    <xf numFmtId="3" fontId="0" fillId="3" borderId="0" xfId="0" applyNumberFormat="1" applyFill="1"/>
    <xf numFmtId="3" fontId="4" fillId="3" borderId="0" xfId="0" applyNumberFormat="1" applyFont="1" applyFill="1"/>
    <xf numFmtId="0" fontId="0" fillId="0" borderId="1" xfId="0" applyBorder="1"/>
    <xf numFmtId="0" fontId="0" fillId="0" borderId="0" xfId="0" applyBorder="1"/>
    <xf numFmtId="49" fontId="0" fillId="0" borderId="0" xfId="0" applyNumberFormat="1" applyBorder="1"/>
    <xf numFmtId="49" fontId="0" fillId="0" borderId="0" xfId="0" applyNumberFormat="1"/>
    <xf numFmtId="49" fontId="0" fillId="0" borderId="6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0" xfId="0" applyNumberFormat="1" applyBorder="1"/>
    <xf numFmtId="3" fontId="0" fillId="0" borderId="7" xfId="0" applyNumberFormat="1" applyBorder="1"/>
    <xf numFmtId="0" fontId="4" fillId="0" borderId="0" xfId="0" applyFont="1"/>
    <xf numFmtId="165" fontId="0" fillId="0" borderId="3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9" xfId="1" applyNumberFormat="1" applyFont="1" applyBorder="1" applyAlignment="1">
      <alignment horizontal="center"/>
    </xf>
    <xf numFmtId="165" fontId="0" fillId="0" borderId="0" xfId="1" applyNumberFormat="1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6"/>
  <sheetViews>
    <sheetView topLeftCell="F2" zoomScale="130" zoomScaleNormal="130" workbookViewId="0">
      <selection activeCell="S7" sqref="S7"/>
    </sheetView>
  </sheetViews>
  <sheetFormatPr defaultRowHeight="15" x14ac:dyDescent="0.25"/>
  <cols>
    <col min="1" max="1" width="33.140625" customWidth="1"/>
    <col min="5" max="5" width="10.28515625" customWidth="1"/>
    <col min="7" max="7" width="18" customWidth="1"/>
    <col min="12" max="12" width="11.7109375" customWidth="1"/>
    <col min="17" max="17" width="10.7109375" bestFit="1" customWidth="1"/>
    <col min="19" max="19" width="11.28515625" bestFit="1" customWidth="1"/>
  </cols>
  <sheetData>
    <row r="1" spans="1:19" x14ac:dyDescent="0.25">
      <c r="O1" s="1"/>
    </row>
    <row r="2" spans="1:19" x14ac:dyDescent="0.25">
      <c r="A2" s="2" t="s">
        <v>15</v>
      </c>
      <c r="H2" s="2" t="s">
        <v>17</v>
      </c>
      <c r="P2" s="22" t="s">
        <v>30</v>
      </c>
    </row>
    <row r="4" spans="1:19" x14ac:dyDescent="0.25">
      <c r="B4" t="s">
        <v>0</v>
      </c>
      <c r="C4" t="s">
        <v>1</v>
      </c>
      <c r="D4" t="s">
        <v>2</v>
      </c>
      <c r="E4" t="s">
        <v>12</v>
      </c>
      <c r="I4" t="s">
        <v>0</v>
      </c>
      <c r="J4" t="s">
        <v>1</v>
      </c>
      <c r="K4" t="s">
        <v>2</v>
      </c>
      <c r="L4" t="s">
        <v>12</v>
      </c>
      <c r="P4" s="11"/>
      <c r="Q4" s="28" t="s">
        <v>31</v>
      </c>
      <c r="R4" s="28"/>
      <c r="S4" s="11"/>
    </row>
    <row r="5" spans="1:19" x14ac:dyDescent="0.25">
      <c r="A5" t="s">
        <v>3</v>
      </c>
      <c r="B5" s="1">
        <v>110000</v>
      </c>
      <c r="C5" s="1">
        <v>75000</v>
      </c>
      <c r="D5" s="1">
        <v>38000</v>
      </c>
      <c r="E5" s="3">
        <f>SUM(B5:D5)</f>
        <v>223000</v>
      </c>
      <c r="H5" s="8" t="s">
        <v>3</v>
      </c>
      <c r="I5" s="9">
        <v>195000</v>
      </c>
      <c r="J5" s="9">
        <v>175000</v>
      </c>
      <c r="K5" s="9">
        <v>150000</v>
      </c>
      <c r="L5" s="10">
        <f>SUM(I5:K5)</f>
        <v>520000</v>
      </c>
      <c r="P5" s="29" t="s">
        <v>32</v>
      </c>
      <c r="Q5" s="30"/>
      <c r="R5" s="29" t="s">
        <v>33</v>
      </c>
      <c r="S5" s="29"/>
    </row>
    <row r="6" spans="1:19" x14ac:dyDescent="0.25">
      <c r="A6" t="s">
        <v>4</v>
      </c>
      <c r="B6" s="1">
        <v>24000</v>
      </c>
      <c r="C6" s="1">
        <v>18000</v>
      </c>
      <c r="D6" s="1">
        <v>15000</v>
      </c>
      <c r="E6" s="3">
        <f>E5+SUM(B6:D6)</f>
        <v>280000</v>
      </c>
      <c r="H6" t="s">
        <v>4</v>
      </c>
      <c r="I6" s="1">
        <v>110000</v>
      </c>
      <c r="J6" s="1">
        <v>97000</v>
      </c>
      <c r="K6" s="1">
        <v>89000</v>
      </c>
      <c r="L6" s="3">
        <f>L5+SUM(I6:K6)</f>
        <v>816000</v>
      </c>
      <c r="P6" s="13" t="s">
        <v>34</v>
      </c>
      <c r="Q6" s="18">
        <f>2300*31000*21/121</f>
        <v>12374380.165289257</v>
      </c>
      <c r="R6" t="s">
        <v>34</v>
      </c>
      <c r="S6" s="1">
        <f>-2300*31000*21/121</f>
        <v>-12374380.165289257</v>
      </c>
    </row>
    <row r="7" spans="1:19" x14ac:dyDescent="0.25">
      <c r="A7" s="8" t="s">
        <v>5</v>
      </c>
      <c r="B7" s="9">
        <v>30000</v>
      </c>
      <c r="C7" s="9">
        <v>34000</v>
      </c>
      <c r="D7" s="9">
        <v>21000</v>
      </c>
      <c r="E7" s="10">
        <f>E6+SUM(B7:D7)</f>
        <v>365000</v>
      </c>
      <c r="H7" t="s">
        <v>5</v>
      </c>
      <c r="I7" s="1">
        <v>91000</v>
      </c>
      <c r="J7" s="1">
        <v>134000</v>
      </c>
      <c r="K7" s="1">
        <v>100000</v>
      </c>
      <c r="L7" s="3">
        <f>L6+SUM(I7:K7)</f>
        <v>1141000</v>
      </c>
      <c r="P7" s="13" t="s">
        <v>35</v>
      </c>
      <c r="Q7" s="16">
        <f>510000*21/121</f>
        <v>88512.396694214869</v>
      </c>
      <c r="R7" s="14" t="s">
        <v>41</v>
      </c>
      <c r="S7" s="20">
        <v>0</v>
      </c>
    </row>
    <row r="8" spans="1:19" x14ac:dyDescent="0.25">
      <c r="A8" t="s">
        <v>6</v>
      </c>
      <c r="B8" s="1">
        <v>55000</v>
      </c>
      <c r="C8" s="1">
        <v>76000</v>
      </c>
      <c r="D8" s="1">
        <v>40000</v>
      </c>
      <c r="E8" s="3">
        <f>E7+SUM(B8:D8)</f>
        <v>536000</v>
      </c>
      <c r="H8" t="s">
        <v>6</v>
      </c>
      <c r="I8" s="1">
        <v>76000</v>
      </c>
      <c r="J8" s="1">
        <v>101000</v>
      </c>
      <c r="K8" s="1">
        <v>91000</v>
      </c>
      <c r="L8" s="4">
        <f>L7+SUM(I8:K8)</f>
        <v>1409000</v>
      </c>
      <c r="P8" s="13" t="s">
        <v>36</v>
      </c>
      <c r="Q8" s="16">
        <f>2030000*21/121</f>
        <v>352314.04958677688</v>
      </c>
      <c r="R8" s="14" t="s">
        <v>42</v>
      </c>
      <c r="S8" s="20">
        <f>-((1420000*21/121)+(1045000*21/121))</f>
        <v>-427809.91735537187</v>
      </c>
    </row>
    <row r="9" spans="1:19" x14ac:dyDescent="0.25">
      <c r="A9" t="s">
        <v>7</v>
      </c>
      <c r="B9" s="1">
        <v>85000</v>
      </c>
      <c r="C9" s="1">
        <v>60000</v>
      </c>
      <c r="D9" s="1">
        <v>46000</v>
      </c>
      <c r="E9" s="3">
        <f t="shared" ref="E9:E10" si="0">E8+SUM(B9:D9)</f>
        <v>727000</v>
      </c>
      <c r="H9" t="s">
        <v>7</v>
      </c>
      <c r="I9" s="1">
        <v>85000</v>
      </c>
      <c r="J9" s="1">
        <v>60000</v>
      </c>
      <c r="K9" s="1">
        <v>74000</v>
      </c>
      <c r="L9" s="3">
        <f t="shared" ref="L9:L10" si="1">L8+SUM(I9:K9)</f>
        <v>1628000</v>
      </c>
      <c r="P9" s="13" t="s">
        <v>37</v>
      </c>
      <c r="Q9" s="16">
        <f>1112000*21/121</f>
        <v>192991.73553719008</v>
      </c>
      <c r="R9" s="14" t="s">
        <v>43</v>
      </c>
      <c r="S9" s="20">
        <f>-(27*4500)*21/121</f>
        <v>-21086.776859504131</v>
      </c>
    </row>
    <row r="10" spans="1:19" x14ac:dyDescent="0.25">
      <c r="A10" t="s">
        <v>8</v>
      </c>
      <c r="B10" s="1">
        <v>68000</v>
      </c>
      <c r="C10" s="1">
        <v>41000</v>
      </c>
      <c r="D10" s="1">
        <v>55000</v>
      </c>
      <c r="E10" s="3">
        <f t="shared" si="0"/>
        <v>891000</v>
      </c>
      <c r="H10" t="s">
        <v>8</v>
      </c>
      <c r="I10" s="1">
        <v>133000</v>
      </c>
      <c r="J10" s="1">
        <v>98000</v>
      </c>
      <c r="K10" s="1">
        <v>146000</v>
      </c>
      <c r="L10" s="3">
        <f t="shared" si="1"/>
        <v>2005000</v>
      </c>
      <c r="P10" s="13" t="s">
        <v>38</v>
      </c>
      <c r="Q10" s="16">
        <f>28000*21/121</f>
        <v>4859.5041322314046</v>
      </c>
      <c r="R10" s="14" t="s">
        <v>44</v>
      </c>
      <c r="S10" s="20">
        <f>-(98*2570)*21/121</f>
        <v>-43711.239669421484</v>
      </c>
    </row>
    <row r="11" spans="1:19" x14ac:dyDescent="0.25">
      <c r="B11" s="1"/>
      <c r="C11" s="1"/>
      <c r="D11" s="1"/>
      <c r="P11" s="13" t="s">
        <v>39</v>
      </c>
      <c r="Q11" s="16">
        <f>35000*21/121</f>
        <v>6074.3801652892562</v>
      </c>
      <c r="R11" s="14" t="s">
        <v>45</v>
      </c>
      <c r="S11" s="20">
        <f>-(256*8310)*21/121</f>
        <v>-369211.23966942151</v>
      </c>
    </row>
    <row r="12" spans="1:19" x14ac:dyDescent="0.25">
      <c r="B12" t="s">
        <v>10</v>
      </c>
      <c r="C12" t="s">
        <v>9</v>
      </c>
      <c r="D12" t="s">
        <v>11</v>
      </c>
      <c r="I12" t="s">
        <v>10</v>
      </c>
      <c r="J12" t="s">
        <v>9</v>
      </c>
      <c r="K12" t="s">
        <v>11</v>
      </c>
      <c r="P12" s="13" t="s">
        <v>40</v>
      </c>
      <c r="Q12" s="19">
        <f>18000*21/121</f>
        <v>3123.9669421487602</v>
      </c>
      <c r="R12" s="14"/>
    </row>
    <row r="13" spans="1:19" ht="15.75" thickBot="1" x14ac:dyDescent="0.3">
      <c r="A13" t="s">
        <v>5</v>
      </c>
      <c r="B13" s="1">
        <v>40000</v>
      </c>
      <c r="C13">
        <v>0</v>
      </c>
      <c r="D13" s="1">
        <v>50000</v>
      </c>
      <c r="E13" s="3">
        <f>SUM(B13,D13)</f>
        <v>90000</v>
      </c>
      <c r="H13" t="s">
        <v>5</v>
      </c>
      <c r="I13" s="1">
        <v>97000</v>
      </c>
      <c r="J13">
        <v>0</v>
      </c>
      <c r="K13" s="1">
        <v>65000</v>
      </c>
      <c r="L13" s="3">
        <f>SUM(I13,K13)</f>
        <v>162000</v>
      </c>
      <c r="P13" s="15"/>
      <c r="Q13" s="21">
        <f>SUM(Q6:Q12)</f>
        <v>13022256.198347108</v>
      </c>
      <c r="R13" s="15"/>
      <c r="S13" s="17">
        <f>SUM(S6:S12)</f>
        <v>-13236199.338842975</v>
      </c>
    </row>
    <row r="14" spans="1:19" ht="15.75" thickTop="1" x14ac:dyDescent="0.25">
      <c r="A14" t="s">
        <v>6</v>
      </c>
      <c r="B14" s="1">
        <v>130000</v>
      </c>
      <c r="C14" s="1">
        <v>120000</v>
      </c>
      <c r="D14" s="1">
        <v>80000</v>
      </c>
      <c r="E14" s="3">
        <f>E13+SUM(B14,D14)</f>
        <v>300000</v>
      </c>
      <c r="H14" t="s">
        <v>6</v>
      </c>
      <c r="I14" s="1">
        <v>156000</v>
      </c>
      <c r="J14" s="1">
        <v>85000</v>
      </c>
      <c r="K14" s="1">
        <v>112000</v>
      </c>
      <c r="L14" s="3">
        <f>L13+SUM(I14,K14)</f>
        <v>430000</v>
      </c>
      <c r="P14" s="13"/>
      <c r="Q14" s="12"/>
      <c r="R14" s="12"/>
      <c r="S14" s="1">
        <f>S13+Q13</f>
        <v>-213943.14049586654</v>
      </c>
    </row>
    <row r="15" spans="1:19" x14ac:dyDescent="0.25">
      <c r="A15" t="s">
        <v>7</v>
      </c>
      <c r="B15" s="1">
        <v>150000</v>
      </c>
      <c r="C15" s="1">
        <v>100000</v>
      </c>
      <c r="D15" s="1">
        <v>70000</v>
      </c>
      <c r="E15" s="3">
        <f>E14+SUM(B15,D15)</f>
        <v>520000</v>
      </c>
      <c r="H15" t="s">
        <v>7</v>
      </c>
      <c r="I15" s="1">
        <v>201000</v>
      </c>
      <c r="J15" s="1">
        <v>115000</v>
      </c>
      <c r="K15" s="1">
        <v>95000</v>
      </c>
      <c r="L15" s="3">
        <f t="shared" ref="L15:L18" si="2">L14+SUM(I15,K15)</f>
        <v>726000</v>
      </c>
      <c r="P15" s="13"/>
      <c r="Q15" s="12"/>
      <c r="R15" s="12"/>
    </row>
    <row r="16" spans="1:19" x14ac:dyDescent="0.25">
      <c r="A16" t="s">
        <v>8</v>
      </c>
      <c r="B16" s="1">
        <v>120000</v>
      </c>
      <c r="C16" s="1">
        <v>160000</v>
      </c>
      <c r="D16" s="1">
        <v>100000</v>
      </c>
      <c r="E16" s="3">
        <f>E15+SUM(B16,D16)</f>
        <v>740000</v>
      </c>
      <c r="H16" t="s">
        <v>8</v>
      </c>
      <c r="I16" s="1">
        <v>187000</v>
      </c>
      <c r="J16" s="1">
        <v>203000</v>
      </c>
      <c r="K16" s="1">
        <v>75000</v>
      </c>
      <c r="L16" s="3">
        <f t="shared" si="2"/>
        <v>988000</v>
      </c>
      <c r="P16" s="13"/>
      <c r="Q16" s="12"/>
      <c r="R16" s="12"/>
    </row>
    <row r="17" spans="1:18" x14ac:dyDescent="0.25">
      <c r="A17" t="s">
        <v>14</v>
      </c>
      <c r="B17" s="1">
        <v>160000</v>
      </c>
      <c r="C17" s="1">
        <v>100000</v>
      </c>
      <c r="D17" s="1">
        <v>80000</v>
      </c>
      <c r="E17" s="3">
        <f t="shared" ref="E17:E18" si="3">E16+SUM(B17,D17)</f>
        <v>980000</v>
      </c>
      <c r="H17" s="6" t="s">
        <v>14</v>
      </c>
      <c r="I17" s="7">
        <v>223000</v>
      </c>
      <c r="J17" s="7">
        <v>187000</v>
      </c>
      <c r="K17" s="7">
        <v>101000</v>
      </c>
      <c r="L17" s="5">
        <f t="shared" si="2"/>
        <v>1312000</v>
      </c>
      <c r="P17" s="13"/>
      <c r="Q17" s="12"/>
      <c r="R17" s="12"/>
    </row>
    <row r="18" spans="1:18" x14ac:dyDescent="0.25">
      <c r="A18" s="6" t="s">
        <v>13</v>
      </c>
      <c r="B18" s="7">
        <v>100000</v>
      </c>
      <c r="C18" s="7">
        <v>70000</v>
      </c>
      <c r="D18" s="7">
        <v>60000</v>
      </c>
      <c r="E18" s="5">
        <f t="shared" si="3"/>
        <v>1140000</v>
      </c>
      <c r="H18" t="s">
        <v>13</v>
      </c>
      <c r="I18" s="1">
        <v>192000</v>
      </c>
      <c r="J18" s="1">
        <v>256000</v>
      </c>
      <c r="K18" s="1">
        <v>89000</v>
      </c>
      <c r="L18" s="3">
        <f t="shared" si="2"/>
        <v>1593000</v>
      </c>
      <c r="P18" s="13"/>
      <c r="Q18" s="12"/>
      <c r="R18" s="12"/>
    </row>
    <row r="19" spans="1:18" x14ac:dyDescent="0.25">
      <c r="P19" s="13"/>
      <c r="Q19" s="12"/>
      <c r="R19" s="12"/>
    </row>
    <row r="20" spans="1:18" x14ac:dyDescent="0.25">
      <c r="A20" s="2" t="s">
        <v>16</v>
      </c>
      <c r="H20" s="2" t="s">
        <v>16</v>
      </c>
      <c r="Q20" s="12"/>
      <c r="R20" s="12"/>
    </row>
    <row r="21" spans="1:18" x14ac:dyDescent="0.25">
      <c r="A21" t="s">
        <v>21</v>
      </c>
      <c r="H21" t="s">
        <v>25</v>
      </c>
    </row>
    <row r="22" spans="1:18" x14ac:dyDescent="0.25">
      <c r="A22" t="s">
        <v>20</v>
      </c>
      <c r="H22" t="s">
        <v>18</v>
      </c>
    </row>
    <row r="23" spans="1:18" x14ac:dyDescent="0.25">
      <c r="A23" t="s">
        <v>22</v>
      </c>
      <c r="H23" t="s">
        <v>26</v>
      </c>
    </row>
    <row r="24" spans="1:18" x14ac:dyDescent="0.25">
      <c r="A24" t="s">
        <v>27</v>
      </c>
      <c r="H24" t="s">
        <v>19</v>
      </c>
    </row>
    <row r="25" spans="1:18" x14ac:dyDescent="0.25">
      <c r="A25" t="s">
        <v>23</v>
      </c>
      <c r="H25" t="s">
        <v>28</v>
      </c>
    </row>
    <row r="26" spans="1:18" x14ac:dyDescent="0.25">
      <c r="A26" t="s">
        <v>24</v>
      </c>
      <c r="H26" t="s">
        <v>29</v>
      </c>
    </row>
  </sheetData>
  <mergeCells count="3">
    <mergeCell ref="Q4:R4"/>
    <mergeCell ref="P5:Q5"/>
    <mergeCell ref="R5:S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E1:AA23"/>
  <sheetViews>
    <sheetView tabSelected="1" topLeftCell="R1" zoomScale="145" zoomScaleNormal="145" workbookViewId="0">
      <selection activeCell="AA8" sqref="AA8:AA11"/>
    </sheetView>
  </sheetViews>
  <sheetFormatPr defaultRowHeight="15" x14ac:dyDescent="0.25"/>
  <cols>
    <col min="6" max="6" width="11.140625" bestFit="1" customWidth="1"/>
    <col min="8" max="8" width="12" customWidth="1"/>
    <col min="25" max="25" width="13.5703125" bestFit="1" customWidth="1"/>
    <col min="26" max="26" width="10.7109375" customWidth="1"/>
    <col min="27" max="27" width="12" customWidth="1"/>
  </cols>
  <sheetData>
    <row r="1" spans="5:27" x14ac:dyDescent="0.25">
      <c r="Y1" s="27"/>
      <c r="Z1" s="27"/>
    </row>
    <row r="2" spans="5:27" x14ac:dyDescent="0.25">
      <c r="E2" s="22" t="s">
        <v>46</v>
      </c>
      <c r="X2" s="22" t="s">
        <v>50</v>
      </c>
      <c r="Y2" s="27"/>
    </row>
    <row r="3" spans="5:27" x14ac:dyDescent="0.25">
      <c r="Y3" s="27"/>
    </row>
    <row r="4" spans="5:27" x14ac:dyDescent="0.25">
      <c r="E4" s="11"/>
      <c r="F4" s="28" t="s">
        <v>31</v>
      </c>
      <c r="G4" s="28"/>
      <c r="H4" s="11"/>
      <c r="X4" s="11"/>
      <c r="Y4" s="28" t="s">
        <v>31</v>
      </c>
      <c r="Z4" s="28"/>
      <c r="AA4" s="11"/>
    </row>
    <row r="5" spans="5:27" x14ac:dyDescent="0.25">
      <c r="E5" s="29" t="s">
        <v>32</v>
      </c>
      <c r="F5" s="30"/>
      <c r="G5" s="29" t="s">
        <v>33</v>
      </c>
      <c r="H5" s="31"/>
      <c r="X5" s="29" t="s">
        <v>32</v>
      </c>
      <c r="Y5" s="30"/>
      <c r="Z5" s="29" t="s">
        <v>33</v>
      </c>
      <c r="AA5" s="31"/>
    </row>
    <row r="6" spans="5:27" x14ac:dyDescent="0.25">
      <c r="E6" s="13" t="s">
        <v>47</v>
      </c>
      <c r="F6" s="23">
        <f>1211000*21%</f>
        <v>254310</v>
      </c>
      <c r="G6" s="14" t="s">
        <v>41</v>
      </c>
      <c r="H6" s="26">
        <f>-F14</f>
        <v>-80220</v>
      </c>
      <c r="X6" s="13" t="s">
        <v>47</v>
      </c>
      <c r="Y6" s="23">
        <f>(570*18000+1021*23000+45*9500)*21%</f>
        <v>7175805</v>
      </c>
      <c r="Z6" s="14"/>
      <c r="AA6" s="26"/>
    </row>
    <row r="7" spans="5:27" x14ac:dyDescent="0.25">
      <c r="E7" s="13" t="s">
        <v>34</v>
      </c>
      <c r="F7" s="24">
        <f>1214000*21%</f>
        <v>254940</v>
      </c>
      <c r="G7" s="14" t="s">
        <v>42</v>
      </c>
      <c r="H7" s="25">
        <f>-(135000+323000+185000+211000+315000)*15%</f>
        <v>-175350</v>
      </c>
      <c r="X7" s="13" t="s">
        <v>34</v>
      </c>
      <c r="Y7" s="24">
        <f>421000*21%</f>
        <v>88410</v>
      </c>
      <c r="Z7" s="14" t="s">
        <v>43</v>
      </c>
      <c r="AA7" s="25">
        <f>-876000/(20+7)*7*21%</f>
        <v>-47693.333333333336</v>
      </c>
    </row>
    <row r="8" spans="5:27" x14ac:dyDescent="0.25">
      <c r="E8" s="13" t="s">
        <v>35</v>
      </c>
      <c r="F8" s="24">
        <f>941000*21%</f>
        <v>197610</v>
      </c>
      <c r="G8" s="14" t="s">
        <v>43</v>
      </c>
      <c r="H8" s="25">
        <v>0</v>
      </c>
      <c r="X8" s="13" t="s">
        <v>35</v>
      </c>
      <c r="Y8" s="24">
        <f>123000*21%</f>
        <v>25830</v>
      </c>
      <c r="Z8" s="14" t="s">
        <v>44</v>
      </c>
      <c r="AA8" s="25">
        <v>0</v>
      </c>
    </row>
    <row r="9" spans="5:27" x14ac:dyDescent="0.25">
      <c r="E9" s="13" t="s">
        <v>36</v>
      </c>
      <c r="F9" s="24">
        <f>1056000*21%</f>
        <v>221760</v>
      </c>
      <c r="G9" s="14" t="s">
        <v>44</v>
      </c>
      <c r="H9" s="25">
        <f>-(98000+105000+134000)*15%</f>
        <v>-50550</v>
      </c>
      <c r="X9" s="13" t="s">
        <v>36</v>
      </c>
      <c r="Y9" s="24">
        <f>301000*21%</f>
        <v>63210</v>
      </c>
      <c r="Z9" s="14" t="s">
        <v>45</v>
      </c>
      <c r="AA9" s="25">
        <v>0</v>
      </c>
    </row>
    <row r="10" spans="5:27" x14ac:dyDescent="0.25">
      <c r="E10" s="13" t="s">
        <v>37</v>
      </c>
      <c r="F10" s="24">
        <f>218000*21%</f>
        <v>45780</v>
      </c>
      <c r="G10" s="14" t="s">
        <v>45</v>
      </c>
      <c r="H10" s="25">
        <f>-(58*7800)*15%</f>
        <v>-67860</v>
      </c>
      <c r="X10" s="13" t="s">
        <v>37</v>
      </c>
      <c r="Y10" s="24">
        <f>2575000*21%</f>
        <v>540750</v>
      </c>
      <c r="Z10" s="14" t="s">
        <v>48</v>
      </c>
      <c r="AA10" s="25">
        <v>0</v>
      </c>
    </row>
    <row r="11" spans="5:27" x14ac:dyDescent="0.25">
      <c r="E11" s="13" t="s">
        <v>38</v>
      </c>
      <c r="F11" s="24">
        <f>26*812*21%</f>
        <v>4433.5199999999995</v>
      </c>
      <c r="G11" s="14" t="s">
        <v>48</v>
      </c>
      <c r="H11" s="25">
        <f>-(51000+65000)*15%</f>
        <v>-17400</v>
      </c>
      <c r="X11" s="13" t="s">
        <v>38</v>
      </c>
      <c r="Y11" s="24">
        <f>299000*20%</f>
        <v>59800</v>
      </c>
      <c r="Z11" s="14" t="s">
        <v>51</v>
      </c>
      <c r="AA11" s="25">
        <v>0</v>
      </c>
    </row>
    <row r="12" spans="5:27" x14ac:dyDescent="0.25">
      <c r="E12" s="13" t="s">
        <v>39</v>
      </c>
      <c r="F12" s="24">
        <f>(2100*27)*20/120</f>
        <v>9450</v>
      </c>
      <c r="G12" s="14"/>
      <c r="H12" s="25"/>
      <c r="X12" s="13" t="s">
        <v>39</v>
      </c>
      <c r="Y12" s="24">
        <f>121000*17%</f>
        <v>20570</v>
      </c>
      <c r="Z12" s="14" t="s">
        <v>52</v>
      </c>
      <c r="AA12" s="25">
        <f>-56*1250*21%</f>
        <v>-14700</v>
      </c>
    </row>
    <row r="13" spans="5:27" x14ac:dyDescent="0.25">
      <c r="E13" s="13" t="s">
        <v>40</v>
      </c>
      <c r="F13" s="24">
        <f>89000*21%</f>
        <v>18690</v>
      </c>
      <c r="G13" s="14"/>
      <c r="H13" s="25"/>
      <c r="X13" s="13" t="s">
        <v>40</v>
      </c>
      <c r="Y13" s="24">
        <f>1312*40*21%</f>
        <v>11020.8</v>
      </c>
      <c r="Z13" s="14"/>
      <c r="AA13" s="25"/>
    </row>
    <row r="14" spans="5:27" x14ac:dyDescent="0.25">
      <c r="E14" s="13" t="s">
        <v>41</v>
      </c>
      <c r="F14" s="24">
        <f>(317000+65000)*21%</f>
        <v>80220</v>
      </c>
      <c r="G14" s="14"/>
      <c r="H14" s="25"/>
      <c r="X14" s="13" t="s">
        <v>41</v>
      </c>
      <c r="Y14" s="24">
        <f>((1150*24)/1.18)*21%</f>
        <v>4911.8644067796613</v>
      </c>
      <c r="Z14" s="14"/>
      <c r="AA14" s="25"/>
    </row>
    <row r="15" spans="5:27" x14ac:dyDescent="0.25">
      <c r="E15" s="13"/>
      <c r="F15" s="24"/>
      <c r="G15" s="14"/>
      <c r="H15" s="25"/>
      <c r="X15" s="13" t="s">
        <v>42</v>
      </c>
      <c r="Y15" s="24">
        <f>(715000+301000)*21%</f>
        <v>213360</v>
      </c>
      <c r="Z15" s="14"/>
      <c r="AA15" s="25"/>
    </row>
    <row r="16" spans="5:27" ht="15.75" thickBot="1" x14ac:dyDescent="0.3">
      <c r="E16" s="15"/>
      <c r="F16" s="21">
        <f>SUM(F7:F13)</f>
        <v>752663.52</v>
      </c>
      <c r="G16" s="15"/>
      <c r="H16" s="17">
        <f>SUM(H7:H13)</f>
        <v>-311160</v>
      </c>
      <c r="X16" s="15"/>
      <c r="Y16" s="21">
        <f>SUM(Y7:Y13)</f>
        <v>809590.8</v>
      </c>
      <c r="Z16" s="15"/>
      <c r="AA16" s="17">
        <f>SUM(AA7:AA13)</f>
        <v>-62393.333333333336</v>
      </c>
    </row>
    <row r="17" spans="5:27" ht="15.75" thickTop="1" x14ac:dyDescent="0.25">
      <c r="E17" s="13"/>
      <c r="F17" s="12"/>
      <c r="G17" s="12"/>
      <c r="H17" s="1">
        <f>H16+F16</f>
        <v>441503.52</v>
      </c>
      <c r="X17" s="13"/>
      <c r="Y17" s="12"/>
      <c r="Z17" s="12"/>
      <c r="AA17" s="1">
        <f>AA16+Y16</f>
        <v>747197.46666666667</v>
      </c>
    </row>
    <row r="18" spans="5:27" x14ac:dyDescent="0.25">
      <c r="E18" s="13"/>
      <c r="F18" s="12"/>
      <c r="G18" s="12"/>
      <c r="H18" t="s">
        <v>49</v>
      </c>
      <c r="X18" s="13"/>
      <c r="Y18" s="12"/>
      <c r="Z18" s="12"/>
      <c r="AA18" t="s">
        <v>49</v>
      </c>
    </row>
    <row r="19" spans="5:27" x14ac:dyDescent="0.25">
      <c r="E19" s="13"/>
      <c r="F19" s="12"/>
      <c r="G19" s="12"/>
      <c r="X19" s="13"/>
      <c r="Y19" s="12"/>
      <c r="Z19" s="12"/>
    </row>
    <row r="20" spans="5:27" x14ac:dyDescent="0.25">
      <c r="E20" s="13"/>
      <c r="F20" s="12"/>
      <c r="G20" s="12"/>
      <c r="X20" s="13"/>
      <c r="Y20" s="12"/>
      <c r="Z20" s="12"/>
    </row>
    <row r="21" spans="5:27" x14ac:dyDescent="0.25">
      <c r="E21" s="13"/>
      <c r="F21" s="12"/>
      <c r="G21" s="12"/>
      <c r="X21" s="13"/>
      <c r="Y21" s="12"/>
      <c r="Z21" s="12"/>
    </row>
    <row r="22" spans="5:27" x14ac:dyDescent="0.25">
      <c r="E22" s="13"/>
      <c r="F22" s="12"/>
      <c r="G22" s="12"/>
      <c r="X22" s="13"/>
      <c r="Y22" s="12"/>
      <c r="Z22" s="12"/>
    </row>
    <row r="23" spans="5:27" x14ac:dyDescent="0.25">
      <c r="F23" s="12"/>
      <c r="G23" s="12"/>
      <c r="Y23" s="12"/>
      <c r="Z23" s="12"/>
    </row>
  </sheetData>
  <mergeCells count="6">
    <mergeCell ref="F4:G4"/>
    <mergeCell ref="E5:F5"/>
    <mergeCell ref="G5:H5"/>
    <mergeCell ref="Y4:Z4"/>
    <mergeCell ref="X5:Y5"/>
    <mergeCell ref="Z5:AA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Ex. 1-3</vt:lpstr>
      <vt:lpstr>Ex. 4-5</vt:lpstr>
      <vt:lpstr>Sheet2</vt:lpstr>
      <vt:lpstr>Sheet3</vt:lpstr>
    </vt:vector>
  </TitlesOfParts>
  <Company>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lemeso01</dc:creator>
  <cp:lastModifiedBy>CIKT</cp:lastModifiedBy>
  <dcterms:created xsi:type="dcterms:W3CDTF">2019-04-25T10:07:38Z</dcterms:created>
  <dcterms:modified xsi:type="dcterms:W3CDTF">2019-05-07T17:58:45Z</dcterms:modified>
</cp:coreProperties>
</file>