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480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33" i="1" l="1"/>
  <c r="I33" i="1"/>
  <c r="J32" i="1"/>
  <c r="I32" i="1"/>
  <c r="B21" i="1"/>
  <c r="B99" i="1" l="1"/>
  <c r="B72" i="1"/>
  <c r="B39" i="1"/>
  <c r="B37" i="1"/>
  <c r="B35" i="1"/>
  <c r="K3" i="1" l="1"/>
  <c r="B103" i="1"/>
  <c r="B102" i="1"/>
  <c r="B100" i="1"/>
  <c r="F87" i="1"/>
  <c r="F88" i="1" s="1"/>
  <c r="E91" i="1" s="1"/>
  <c r="E77" i="1"/>
  <c r="F77" i="1" s="1"/>
  <c r="G77" i="1" s="1"/>
  <c r="E79" i="1" s="1"/>
  <c r="B68" i="1"/>
  <c r="B67" i="1"/>
  <c r="B66" i="1"/>
  <c r="C59" i="1"/>
  <c r="B59" i="1"/>
  <c r="B50" i="1"/>
  <c r="I44" i="1" s="1"/>
  <c r="J29" i="1"/>
  <c r="C39" i="1" s="1"/>
  <c r="I29" i="1"/>
  <c r="C37" i="1"/>
  <c r="C35" i="1"/>
  <c r="B23" i="1"/>
  <c r="B22" i="1"/>
  <c r="B24" i="1" s="1"/>
  <c r="B17" i="1"/>
  <c r="B16" i="1"/>
  <c r="B18" i="1" s="1"/>
  <c r="E11" i="1"/>
  <c r="F11" i="1" s="1"/>
  <c r="G11" i="1" s="1"/>
  <c r="H11" i="1" s="1"/>
  <c r="I11" i="1" s="1"/>
  <c r="J11" i="1" s="1"/>
  <c r="F4" i="1"/>
  <c r="G4" i="1" s="1"/>
  <c r="H4" i="1" s="1"/>
  <c r="E4" i="1"/>
  <c r="F6" i="1" l="1"/>
  <c r="B70" i="1"/>
  <c r="F91" i="1"/>
  <c r="G91" i="1" s="1"/>
  <c r="F13" i="1"/>
  <c r="J44" i="1"/>
  <c r="K44" i="1" s="1"/>
  <c r="L44" i="1" s="1"/>
  <c r="F93" i="1" l="1"/>
  <c r="J47" i="1"/>
</calcChain>
</file>

<file path=xl/sharedStrings.xml><?xml version="1.0" encoding="utf-8"?>
<sst xmlns="http://schemas.openxmlformats.org/spreadsheetml/2006/main" count="111" uniqueCount="70">
  <si>
    <t>D0</t>
  </si>
  <si>
    <t>g1</t>
  </si>
  <si>
    <t>3 years</t>
  </si>
  <si>
    <t>g2</t>
  </si>
  <si>
    <t>4-infinity</t>
  </si>
  <si>
    <t>k</t>
  </si>
  <si>
    <t>P</t>
  </si>
  <si>
    <t>11.</t>
  </si>
  <si>
    <t>13.</t>
  </si>
  <si>
    <t>5 years</t>
  </si>
  <si>
    <t>6- infinity</t>
  </si>
  <si>
    <t>a.</t>
  </si>
  <si>
    <t>b.</t>
  </si>
  <si>
    <t>P/E</t>
  </si>
  <si>
    <t>P/E SP</t>
  </si>
  <si>
    <t>c.</t>
  </si>
  <si>
    <t>FM BV per share</t>
  </si>
  <si>
    <t>P/BV</t>
  </si>
  <si>
    <t>P/BV SP</t>
  </si>
  <si>
    <t>P/BV relativ</t>
  </si>
  <si>
    <t>P/E relative</t>
  </si>
  <si>
    <t>15.</t>
  </si>
  <si>
    <t>P0</t>
  </si>
  <si>
    <t>D1</t>
  </si>
  <si>
    <t>Beta</t>
  </si>
  <si>
    <t>g</t>
  </si>
  <si>
    <t>CAPM</t>
  </si>
  <si>
    <t>rf</t>
  </si>
  <si>
    <t>gGDP</t>
  </si>
  <si>
    <t>rm</t>
  </si>
  <si>
    <t>rf T-bills</t>
  </si>
  <si>
    <t>rf bonds</t>
  </si>
  <si>
    <t>E1 per share</t>
  </si>
  <si>
    <t>BV per share</t>
  </si>
  <si>
    <t>Price</t>
  </si>
  <si>
    <t>beta</t>
  </si>
  <si>
    <t>Intrinstic Value</t>
  </si>
  <si>
    <t>r</t>
  </si>
  <si>
    <t>4 infinity</t>
  </si>
  <si>
    <t>A</t>
  </si>
  <si>
    <t>B</t>
  </si>
  <si>
    <t>est. R</t>
  </si>
  <si>
    <t>overvaluated</t>
  </si>
  <si>
    <t>under SML</t>
  </si>
  <si>
    <t>undervaluated</t>
  </si>
  <si>
    <t>above SML</t>
  </si>
  <si>
    <t>Total Assets/Equity</t>
  </si>
  <si>
    <t>Net Income/ Revenue</t>
  </si>
  <si>
    <t>Revenue/Total Assets</t>
  </si>
  <si>
    <t>ROE</t>
  </si>
  <si>
    <t>2 years</t>
  </si>
  <si>
    <t>3 infinity</t>
  </si>
  <si>
    <t>26.</t>
  </si>
  <si>
    <t>25.</t>
  </si>
  <si>
    <t>27.</t>
  </si>
  <si>
    <t>3 - infinity</t>
  </si>
  <si>
    <t>NI+depreciation-capital expenditure-chng.inWorking Capital</t>
  </si>
  <si>
    <t>WC</t>
  </si>
  <si>
    <t>current.assets-current.liabilities</t>
  </si>
  <si>
    <t>FCFEper share</t>
  </si>
  <si>
    <t>b</t>
  </si>
  <si>
    <t>p</t>
  </si>
  <si>
    <t>P/E1</t>
  </si>
  <si>
    <t>20.</t>
  </si>
  <si>
    <t>22.</t>
  </si>
  <si>
    <t>23.</t>
  </si>
  <si>
    <t>P market</t>
  </si>
  <si>
    <t>Undervaluated</t>
  </si>
  <si>
    <t>g=ROE*b</t>
  </si>
  <si>
    <t>P/E0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</si>
</sst>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1" fillId="0" borderId="0" xfId="0" applyFont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1" fillId="4" borderId="0" xfId="0" applyFont="1" applyFill="1"/>
    <xf numFmtId="0" fontId="0" fillId="4" borderId="0" xfId="0" applyFill="1"/>
    <xf numFmtId="0" fontId="0" fillId="0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Fill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1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91" workbookViewId="0">
      <selection activeCell="B102" sqref="B102:B103"/>
    </sheetView>
  </sheetViews>
  <sheetFormatPr defaultRowHeight="15" x14ac:dyDescent="0.25"/>
  <cols>
    <col min="1" max="1" width="17.85546875" customWidth="1"/>
    <col min="2" max="2" width="25" customWidth="1"/>
    <col min="3" max="3" width="13.140625" customWidth="1"/>
  </cols>
  <sheetData>
    <row r="1" spans="1:11" s="14" customFormat="1" x14ac:dyDescent="0.25"/>
    <row r="2" spans="1:11" ht="15.75" thickBot="1" x14ac:dyDescent="0.3">
      <c r="A2" s="13" t="s">
        <v>7</v>
      </c>
      <c r="J2" s="4" t="s">
        <v>11</v>
      </c>
    </row>
    <row r="3" spans="1:11" ht="15.75" thickBot="1" x14ac:dyDescent="0.3">
      <c r="A3" t="s">
        <v>0</v>
      </c>
      <c r="B3">
        <v>1.2</v>
      </c>
      <c r="D3" s="4" t="s">
        <v>12</v>
      </c>
      <c r="E3">
        <v>1</v>
      </c>
      <c r="F3">
        <v>2</v>
      </c>
      <c r="G3">
        <v>3</v>
      </c>
      <c r="H3" t="s">
        <v>4</v>
      </c>
      <c r="J3" s="16" t="s">
        <v>34</v>
      </c>
      <c r="K3" s="17">
        <f>B3*(1+B5)/(B6-B5)</f>
        <v>43.2</v>
      </c>
    </row>
    <row r="4" spans="1:11" x14ac:dyDescent="0.25">
      <c r="A4" t="s">
        <v>1</v>
      </c>
      <c r="B4">
        <v>0.12</v>
      </c>
      <c r="C4" t="s">
        <v>2</v>
      </c>
      <c r="E4">
        <f>B3*(1+B4)/(1+B6)</f>
        <v>1.2108108108108109</v>
      </c>
      <c r="F4">
        <f>E4*(1+$B$4)/(1+$B$6)</f>
        <v>1.2217190163136109</v>
      </c>
      <c r="G4">
        <f>F4*(1+$B$4)/(1+$B$6)</f>
        <v>1.2327254939380579</v>
      </c>
      <c r="H4">
        <f>G4*(1+B5)/(B6-B5)</f>
        <v>44.378117781770086</v>
      </c>
    </row>
    <row r="5" spans="1:11" ht="15.75" thickBot="1" x14ac:dyDescent="0.3">
      <c r="A5" t="s">
        <v>3</v>
      </c>
      <c r="B5">
        <v>0.08</v>
      </c>
    </row>
    <row r="6" spans="1:11" ht="15.75" thickBot="1" x14ac:dyDescent="0.3">
      <c r="A6" t="s">
        <v>5</v>
      </c>
      <c r="B6">
        <v>0.11</v>
      </c>
      <c r="E6" s="2" t="s">
        <v>6</v>
      </c>
      <c r="F6" s="3">
        <f>E4+F4+G4+H4</f>
        <v>48.043373102832568</v>
      </c>
      <c r="H6" s="19" t="s">
        <v>66</v>
      </c>
      <c r="I6" s="20">
        <v>28</v>
      </c>
      <c r="K6" s="21" t="s">
        <v>67</v>
      </c>
    </row>
    <row r="7" spans="1:11" s="14" customFormat="1" x14ac:dyDescent="0.25"/>
    <row r="8" spans="1:11" x14ac:dyDescent="0.25">
      <c r="A8" s="13" t="s">
        <v>8</v>
      </c>
    </row>
    <row r="9" spans="1:11" x14ac:dyDescent="0.25">
      <c r="A9" s="4" t="s">
        <v>11</v>
      </c>
    </row>
    <row r="10" spans="1:11" x14ac:dyDescent="0.25">
      <c r="A10" t="s">
        <v>1</v>
      </c>
      <c r="B10">
        <v>0.2</v>
      </c>
      <c r="C10" t="s">
        <v>9</v>
      </c>
      <c r="E10">
        <v>1</v>
      </c>
      <c r="F10">
        <v>2</v>
      </c>
      <c r="G10">
        <v>3</v>
      </c>
      <c r="H10">
        <v>4</v>
      </c>
      <c r="I10">
        <v>5</v>
      </c>
      <c r="J10" t="s">
        <v>10</v>
      </c>
    </row>
    <row r="11" spans="1:11" x14ac:dyDescent="0.25">
      <c r="A11" t="s">
        <v>3</v>
      </c>
      <c r="B11">
        <v>7.0000000000000007E-2</v>
      </c>
      <c r="E11">
        <f>B13*(1+B10)/(1+B12)</f>
        <v>2.0836363636363635</v>
      </c>
      <c r="F11">
        <f>E11*(1+$B$10)/(1+$B$12)</f>
        <v>2.2730578512396691</v>
      </c>
      <c r="G11">
        <f t="shared" ref="G11:I11" si="0">F11*(1+$B$10)/(1+$B$12)</f>
        <v>2.4796994740796388</v>
      </c>
      <c r="H11">
        <f t="shared" si="0"/>
        <v>2.705126698995969</v>
      </c>
      <c r="I11">
        <f t="shared" si="0"/>
        <v>2.9510473079956019</v>
      </c>
      <c r="J11">
        <f>I11*(1+B11)/(B12-B11)</f>
        <v>105.25402065184315</v>
      </c>
    </row>
    <row r="12" spans="1:11" x14ac:dyDescent="0.25">
      <c r="A12" t="s">
        <v>5</v>
      </c>
      <c r="B12">
        <v>0.1</v>
      </c>
    </row>
    <row r="13" spans="1:11" x14ac:dyDescent="0.25">
      <c r="A13" t="s">
        <v>0</v>
      </c>
      <c r="B13">
        <v>1.91</v>
      </c>
      <c r="E13" s="1" t="s">
        <v>6</v>
      </c>
      <c r="F13" s="1">
        <f>SUM(E11:J11)</f>
        <v>117.74658834779039</v>
      </c>
    </row>
    <row r="15" spans="1:11" x14ac:dyDescent="0.25">
      <c r="A15" s="4" t="s">
        <v>12</v>
      </c>
    </row>
    <row r="16" spans="1:11" x14ac:dyDescent="0.25">
      <c r="A16" s="1" t="s">
        <v>13</v>
      </c>
      <c r="B16" s="1">
        <f>80.25/4.24</f>
        <v>18.92688679245283</v>
      </c>
    </row>
    <row r="17" spans="1:10" x14ac:dyDescent="0.25">
      <c r="A17" s="1" t="s">
        <v>14</v>
      </c>
      <c r="B17" s="1">
        <f>417.09/16.29</f>
        <v>25.604051565377532</v>
      </c>
    </row>
    <row r="18" spans="1:10" x14ac:dyDescent="0.25">
      <c r="A18" s="1" t="s">
        <v>20</v>
      </c>
      <c r="B18" s="1">
        <f>B16/B17</f>
        <v>0.73921452408126931</v>
      </c>
    </row>
    <row r="20" spans="1:10" x14ac:dyDescent="0.25">
      <c r="A20" s="4" t="s">
        <v>15</v>
      </c>
    </row>
    <row r="21" spans="1:10" x14ac:dyDescent="0.25">
      <c r="A21" s="1" t="s">
        <v>16</v>
      </c>
      <c r="B21" s="1">
        <f>12512/920</f>
        <v>13.6</v>
      </c>
    </row>
    <row r="22" spans="1:10" x14ac:dyDescent="0.25">
      <c r="A22" s="1" t="s">
        <v>17</v>
      </c>
      <c r="B22" s="1">
        <f>80.25/B21</f>
        <v>5.9007352941176476</v>
      </c>
    </row>
    <row r="23" spans="1:10" x14ac:dyDescent="0.25">
      <c r="A23" s="1" t="s">
        <v>18</v>
      </c>
      <c r="B23" s="1">
        <f>417.09/161.08</f>
        <v>2.5893344921777994</v>
      </c>
    </row>
    <row r="24" spans="1:10" x14ac:dyDescent="0.25">
      <c r="A24" s="1" t="s">
        <v>19</v>
      </c>
      <c r="B24" s="1">
        <f>B22/B23</f>
        <v>2.2788617353004645</v>
      </c>
    </row>
    <row r="26" spans="1:10" s="14" customFormat="1" x14ac:dyDescent="0.25"/>
    <row r="27" spans="1:10" x14ac:dyDescent="0.25">
      <c r="A27" s="13" t="s">
        <v>21</v>
      </c>
    </row>
    <row r="28" spans="1:10" x14ac:dyDescent="0.25">
      <c r="A28" t="s">
        <v>22</v>
      </c>
      <c r="B28">
        <v>50</v>
      </c>
      <c r="C28">
        <v>30</v>
      </c>
      <c r="E28" t="s">
        <v>28</v>
      </c>
      <c r="F28">
        <v>0.05</v>
      </c>
      <c r="H28" t="s">
        <v>32</v>
      </c>
      <c r="I28">
        <v>4</v>
      </c>
      <c r="J28">
        <v>3.2</v>
      </c>
    </row>
    <row r="29" spans="1:10" x14ac:dyDescent="0.25">
      <c r="A29" t="s">
        <v>23</v>
      </c>
      <c r="B29">
        <v>0.9</v>
      </c>
      <c r="C29">
        <v>1.6</v>
      </c>
      <c r="E29" t="s">
        <v>29</v>
      </c>
      <c r="F29">
        <v>0.2</v>
      </c>
      <c r="H29" t="s">
        <v>33</v>
      </c>
      <c r="I29">
        <f>300/10</f>
        <v>30</v>
      </c>
      <c r="J29">
        <f>320/20</f>
        <v>16</v>
      </c>
    </row>
    <row r="30" spans="1:10" x14ac:dyDescent="0.25">
      <c r="A30" t="s">
        <v>24</v>
      </c>
      <c r="B30">
        <v>1.2</v>
      </c>
      <c r="C30">
        <v>1.4</v>
      </c>
      <c r="E30" t="s">
        <v>30</v>
      </c>
      <c r="F30">
        <v>0.05</v>
      </c>
    </row>
    <row r="31" spans="1:10" x14ac:dyDescent="0.25">
      <c r="A31" t="s">
        <v>5</v>
      </c>
      <c r="B31">
        <v>0.1</v>
      </c>
      <c r="C31">
        <v>0.11</v>
      </c>
      <c r="E31" t="s">
        <v>31</v>
      </c>
      <c r="F31">
        <v>0.08</v>
      </c>
    </row>
    <row r="32" spans="1:10" x14ac:dyDescent="0.25">
      <c r="A32" t="s">
        <v>25</v>
      </c>
      <c r="B32">
        <v>0.08</v>
      </c>
      <c r="C32">
        <v>7.0000000000000007E-2</v>
      </c>
      <c r="H32" s="22" t="s">
        <v>49</v>
      </c>
      <c r="I32" s="23">
        <f>I28/I29</f>
        <v>0.13333333333333333</v>
      </c>
      <c r="J32" s="24">
        <f>J28/J29</f>
        <v>0.2</v>
      </c>
    </row>
    <row r="33" spans="1:12" x14ac:dyDescent="0.25">
      <c r="H33" s="25" t="s">
        <v>60</v>
      </c>
      <c r="I33" s="26">
        <f>(1-(B29/I28))</f>
        <v>0.77500000000000002</v>
      </c>
      <c r="J33" s="27">
        <f>(1-(C29/J28))</f>
        <v>0.5</v>
      </c>
    </row>
    <row r="35" spans="1:12" x14ac:dyDescent="0.25">
      <c r="A35" s="1" t="s">
        <v>34</v>
      </c>
      <c r="B35" s="1">
        <f>B29/(B31-B32)</f>
        <v>44.999999999999993</v>
      </c>
      <c r="C35" s="1">
        <f>C29/(C31-C32)</f>
        <v>40.000000000000007</v>
      </c>
    </row>
    <row r="37" spans="1:12" x14ac:dyDescent="0.25">
      <c r="A37" s="1" t="s">
        <v>26</v>
      </c>
      <c r="B37" s="1">
        <f>$F$30+B30*($F$29-$F$30)</f>
        <v>0.23000000000000004</v>
      </c>
      <c r="C37" s="1">
        <f>$F$30+C30*($F$29-$F$30)</f>
        <v>0.26</v>
      </c>
    </row>
    <row r="39" spans="1:12" x14ac:dyDescent="0.25">
      <c r="A39" s="1" t="s">
        <v>68</v>
      </c>
      <c r="B39" s="1">
        <f>I28/I29*((I28-B29)/I28)</f>
        <v>0.10333333333333333</v>
      </c>
      <c r="C39" s="1">
        <f>J28/J29*((J28-C29)/J28)</f>
        <v>0.1</v>
      </c>
    </row>
    <row r="40" spans="1:12" x14ac:dyDescent="0.25">
      <c r="A40" s="18"/>
      <c r="B40" s="18"/>
      <c r="C40" s="18"/>
    </row>
    <row r="41" spans="1:12" s="14" customFormat="1" x14ac:dyDescent="0.25"/>
    <row r="42" spans="1:12" x14ac:dyDescent="0.25">
      <c r="A42" s="13" t="s">
        <v>63</v>
      </c>
    </row>
    <row r="43" spans="1:12" x14ac:dyDescent="0.25">
      <c r="A43" t="s">
        <v>35</v>
      </c>
      <c r="B43">
        <v>1.35</v>
      </c>
      <c r="C43">
        <v>1.1499999999999999</v>
      </c>
      <c r="E43" t="s">
        <v>1</v>
      </c>
      <c r="F43">
        <v>0.12</v>
      </c>
      <c r="G43" t="s">
        <v>2</v>
      </c>
      <c r="I43">
        <v>1</v>
      </c>
      <c r="J43">
        <v>2</v>
      </c>
      <c r="K43">
        <v>3</v>
      </c>
      <c r="L43" t="s">
        <v>38</v>
      </c>
    </row>
    <row r="44" spans="1:12" x14ac:dyDescent="0.25">
      <c r="A44" t="s">
        <v>6</v>
      </c>
      <c r="B44">
        <v>45</v>
      </c>
      <c r="C44">
        <v>30</v>
      </c>
      <c r="E44" t="s">
        <v>3</v>
      </c>
      <c r="F44">
        <v>0.09</v>
      </c>
      <c r="I44">
        <f>F45*(1+F43)/(1+B50)</f>
        <v>1.660689655172414</v>
      </c>
      <c r="J44">
        <f>I44*(1+$F$43)/(1+$B$50)</f>
        <v>1.6034244946492275</v>
      </c>
      <c r="K44">
        <f>J44*(1+$F$43)/(1+$B$50)</f>
        <v>1.5481339948337371</v>
      </c>
      <c r="L44">
        <f>K44*(1+F44)/(B50-F44)</f>
        <v>24.106657919553918</v>
      </c>
    </row>
    <row r="45" spans="1:12" x14ac:dyDescent="0.25">
      <c r="A45" t="s">
        <v>36</v>
      </c>
      <c r="B45">
        <v>63</v>
      </c>
      <c r="E45" t="s">
        <v>0</v>
      </c>
      <c r="F45">
        <v>1.72</v>
      </c>
    </row>
    <row r="46" spans="1:12" ht="15.75" thickBot="1" x14ac:dyDescent="0.3">
      <c r="A46" t="s">
        <v>27</v>
      </c>
      <c r="B46">
        <v>4.4999999999999998E-2</v>
      </c>
    </row>
    <row r="47" spans="1:12" ht="15.75" thickBot="1" x14ac:dyDescent="0.3">
      <c r="A47" t="s">
        <v>29</v>
      </c>
      <c r="B47">
        <v>0.14499999999999999</v>
      </c>
      <c r="I47" s="2" t="s">
        <v>34</v>
      </c>
      <c r="J47" s="3">
        <f>SUM(I44:L44)</f>
        <v>28.918906064209295</v>
      </c>
    </row>
    <row r="49" spans="1:6" ht="15.75" thickBot="1" x14ac:dyDescent="0.3">
      <c r="A49" t="s">
        <v>11</v>
      </c>
    </row>
    <row r="50" spans="1:6" ht="15.75" thickBot="1" x14ac:dyDescent="0.3">
      <c r="A50" s="2" t="s">
        <v>37</v>
      </c>
      <c r="B50" s="3">
        <f>B46+C43*(B47-B46)</f>
        <v>0.15999999999999998</v>
      </c>
    </row>
    <row r="52" spans="1:6" s="14" customFormat="1" x14ac:dyDescent="0.25"/>
    <row r="53" spans="1:6" x14ac:dyDescent="0.25">
      <c r="A53" s="13" t="s">
        <v>64</v>
      </c>
    </row>
    <row r="54" spans="1:6" x14ac:dyDescent="0.25">
      <c r="A54" t="s">
        <v>27</v>
      </c>
      <c r="B54">
        <v>4.4999999999999998E-2</v>
      </c>
      <c r="E54" t="s">
        <v>39</v>
      </c>
      <c r="F54" t="s">
        <v>40</v>
      </c>
    </row>
    <row r="55" spans="1:6" x14ac:dyDescent="0.25">
      <c r="A55" t="s">
        <v>29</v>
      </c>
      <c r="B55">
        <v>0.14499999999999999</v>
      </c>
      <c r="D55" t="s">
        <v>35</v>
      </c>
      <c r="E55">
        <v>1.2</v>
      </c>
      <c r="F55">
        <v>0.8</v>
      </c>
    </row>
    <row r="56" spans="1:6" x14ac:dyDescent="0.25">
      <c r="D56" t="s">
        <v>41</v>
      </c>
      <c r="E56">
        <v>16</v>
      </c>
      <c r="F56">
        <v>14</v>
      </c>
    </row>
    <row r="58" spans="1:6" x14ac:dyDescent="0.25">
      <c r="A58" t="s">
        <v>26</v>
      </c>
    </row>
    <row r="59" spans="1:6" x14ac:dyDescent="0.25">
      <c r="A59" s="1" t="s">
        <v>37</v>
      </c>
      <c r="B59" s="1">
        <f>B54+E55*(B55-B54)</f>
        <v>0.16499999999999998</v>
      </c>
      <c r="C59" s="1">
        <f>B54+F55*(B55-B54)</f>
        <v>0.125</v>
      </c>
    </row>
    <row r="61" spans="1:6" x14ac:dyDescent="0.25">
      <c r="A61" s="1" t="s">
        <v>39</v>
      </c>
      <c r="B61" s="1" t="s">
        <v>42</v>
      </c>
      <c r="C61" s="1" t="s">
        <v>43</v>
      </c>
    </row>
    <row r="62" spans="1:6" x14ac:dyDescent="0.25">
      <c r="A62" s="1" t="s">
        <v>40</v>
      </c>
      <c r="B62" s="1" t="s">
        <v>44</v>
      </c>
      <c r="C62" s="1" t="s">
        <v>45</v>
      </c>
    </row>
    <row r="63" spans="1:6" x14ac:dyDescent="0.25">
      <c r="A63" s="1"/>
      <c r="B63" s="1"/>
      <c r="C63" s="1"/>
    </row>
    <row r="64" spans="1:6" s="14" customFormat="1" x14ac:dyDescent="0.25"/>
    <row r="65" spans="1:7" ht="15.75" thickBot="1" x14ac:dyDescent="0.3">
      <c r="A65" s="4" t="s">
        <v>65</v>
      </c>
    </row>
    <row r="66" spans="1:7" x14ac:dyDescent="0.25">
      <c r="A66" s="5" t="s">
        <v>47</v>
      </c>
      <c r="B66" s="6">
        <f>510/5140</f>
        <v>9.9221789883268477E-2</v>
      </c>
    </row>
    <row r="67" spans="1:7" x14ac:dyDescent="0.25">
      <c r="A67" s="7" t="s">
        <v>48</v>
      </c>
      <c r="B67" s="8">
        <f>5140/3100</f>
        <v>1.6580645161290322</v>
      </c>
    </row>
    <row r="68" spans="1:7" ht="15.75" thickBot="1" x14ac:dyDescent="0.3">
      <c r="A68" s="9" t="s">
        <v>46</v>
      </c>
      <c r="B68" s="10">
        <f>3100/2200</f>
        <v>1.4090909090909092</v>
      </c>
    </row>
    <row r="69" spans="1:7" ht="15.75" thickBot="1" x14ac:dyDescent="0.3"/>
    <row r="70" spans="1:7" ht="15.75" thickBot="1" x14ac:dyDescent="0.3">
      <c r="A70" s="2" t="s">
        <v>49</v>
      </c>
      <c r="B70" s="3">
        <f>B66*B67*B68</f>
        <v>0.23181818181818178</v>
      </c>
    </row>
    <row r="71" spans="1:7" ht="15.75" thickBot="1" x14ac:dyDescent="0.3"/>
    <row r="72" spans="1:7" ht="15.75" thickBot="1" x14ac:dyDescent="0.3">
      <c r="A72" s="2" t="s">
        <v>25</v>
      </c>
      <c r="B72" s="3">
        <f>(1-(0.55/1.79))*B70</f>
        <v>0.16058913153885218</v>
      </c>
    </row>
    <row r="74" spans="1:7" s="14" customFormat="1" x14ac:dyDescent="0.25"/>
    <row r="75" spans="1:7" x14ac:dyDescent="0.25">
      <c r="A75" s="13" t="s">
        <v>53</v>
      </c>
    </row>
    <row r="76" spans="1:7" x14ac:dyDescent="0.25">
      <c r="A76" t="s">
        <v>1</v>
      </c>
      <c r="B76">
        <v>0.32</v>
      </c>
      <c r="C76" t="s">
        <v>50</v>
      </c>
      <c r="E76">
        <v>1</v>
      </c>
      <c r="F76">
        <v>2</v>
      </c>
      <c r="G76" t="s">
        <v>51</v>
      </c>
    </row>
    <row r="77" spans="1:7" x14ac:dyDescent="0.25">
      <c r="A77" t="s">
        <v>3</v>
      </c>
      <c r="B77">
        <v>0.13</v>
      </c>
      <c r="E77">
        <f>B83*(1+B76)/(1+B79)</f>
        <v>0.33115789473684204</v>
      </c>
      <c r="F77">
        <f>E77*(1+B76)/(1+B79)</f>
        <v>0.38344598337950125</v>
      </c>
      <c r="G77">
        <f>F77*(1+B77)/(B79-B77)</f>
        <v>43.329396121883605</v>
      </c>
    </row>
    <row r="78" spans="1:7" ht="15.75" thickBot="1" x14ac:dyDescent="0.3"/>
    <row r="79" spans="1:7" ht="15.75" thickBot="1" x14ac:dyDescent="0.3">
      <c r="A79" t="s">
        <v>5</v>
      </c>
      <c r="B79">
        <v>0.14000000000000001</v>
      </c>
      <c r="D79" s="2" t="s">
        <v>34</v>
      </c>
      <c r="E79" s="3">
        <f>E77+G77+F77</f>
        <v>44.043999999999947</v>
      </c>
    </row>
    <row r="80" spans="1:7" x14ac:dyDescent="0.25">
      <c r="A80" t="s">
        <v>25</v>
      </c>
      <c r="B80">
        <v>0.13</v>
      </c>
    </row>
    <row r="81" spans="1:14" x14ac:dyDescent="0.25">
      <c r="A81" t="s">
        <v>13</v>
      </c>
      <c r="B81">
        <v>26</v>
      </c>
    </row>
    <row r="83" spans="1:14" x14ac:dyDescent="0.25">
      <c r="A83" t="s">
        <v>0</v>
      </c>
      <c r="B83">
        <v>0.28599999999999998</v>
      </c>
    </row>
    <row r="85" spans="1:14" s="14" customFormat="1" x14ac:dyDescent="0.25"/>
    <row r="86" spans="1:14" ht="15.75" thickBot="1" x14ac:dyDescent="0.3">
      <c r="A86" s="4" t="s">
        <v>52</v>
      </c>
      <c r="F86" t="s">
        <v>56</v>
      </c>
      <c r="M86" t="s">
        <v>57</v>
      </c>
      <c r="N86" t="s">
        <v>58</v>
      </c>
    </row>
    <row r="87" spans="1:14" ht="15.75" thickBot="1" x14ac:dyDescent="0.3">
      <c r="E87" s="2" t="s">
        <v>59</v>
      </c>
      <c r="F87" s="3">
        <f>80+23-38-41</f>
        <v>24</v>
      </c>
    </row>
    <row r="88" spans="1:14" x14ac:dyDescent="0.25">
      <c r="A88" t="s">
        <v>1</v>
      </c>
      <c r="B88">
        <v>0.27</v>
      </c>
      <c r="C88" t="s">
        <v>50</v>
      </c>
      <c r="E88" t="s">
        <v>59</v>
      </c>
      <c r="F88">
        <f>F87/84</f>
        <v>0.2857142857142857</v>
      </c>
    </row>
    <row r="89" spans="1:14" x14ac:dyDescent="0.25">
      <c r="A89" t="s">
        <v>3</v>
      </c>
      <c r="B89">
        <v>0.13</v>
      </c>
      <c r="C89" t="s">
        <v>55</v>
      </c>
    </row>
    <row r="90" spans="1:14" x14ac:dyDescent="0.25">
      <c r="E90">
        <v>1</v>
      </c>
      <c r="F90">
        <v>2</v>
      </c>
      <c r="G90" t="s">
        <v>51</v>
      </c>
    </row>
    <row r="91" spans="1:14" x14ac:dyDescent="0.25">
      <c r="E91">
        <f>F88*(1+B88)/(1+B79)</f>
        <v>0.31829573934837085</v>
      </c>
      <c r="F91">
        <f>E91*(1+B88)/(1+B79)</f>
        <v>0.35459262190564117</v>
      </c>
      <c r="G91">
        <f>F91*(1+B89)/(B79-B89)</f>
        <v>40.068966275337409</v>
      </c>
    </row>
    <row r="92" spans="1:14" ht="15.75" thickBot="1" x14ac:dyDescent="0.3"/>
    <row r="93" spans="1:14" ht="15.75" thickBot="1" x14ac:dyDescent="0.3">
      <c r="E93" s="2" t="s">
        <v>34</v>
      </c>
      <c r="F93" s="3">
        <f>E91+F91+G91</f>
        <v>40.74185463659142</v>
      </c>
    </row>
    <row r="94" spans="1:14" x14ac:dyDescent="0.25">
      <c r="E94" s="15"/>
      <c r="F94" s="15"/>
    </row>
    <row r="95" spans="1:14" s="14" customFormat="1" x14ac:dyDescent="0.25"/>
    <row r="96" spans="1:14" x14ac:dyDescent="0.25">
      <c r="A96" s="13" t="s">
        <v>54</v>
      </c>
    </row>
    <row r="97" spans="1:3" x14ac:dyDescent="0.25">
      <c r="A97" t="s">
        <v>25</v>
      </c>
      <c r="B97">
        <v>0.13</v>
      </c>
    </row>
    <row r="98" spans="1:3" ht="15.75" thickBot="1" x14ac:dyDescent="0.3"/>
    <row r="99" spans="1:3" x14ac:dyDescent="0.25">
      <c r="A99" t="s">
        <v>60</v>
      </c>
      <c r="B99">
        <f>1-(0.286)/0.952</f>
        <v>0.69957983193277307</v>
      </c>
      <c r="C99" s="11">
        <v>0.7</v>
      </c>
    </row>
    <row r="100" spans="1:3" ht="15.75" thickBot="1" x14ac:dyDescent="0.3">
      <c r="A100" t="s">
        <v>61</v>
      </c>
      <c r="B100">
        <f>1-B99</f>
        <v>0.30042016806722693</v>
      </c>
      <c r="C100" s="12">
        <v>0.3</v>
      </c>
    </row>
    <row r="101" spans="1:3" ht="15.75" thickBot="1" x14ac:dyDescent="0.3"/>
    <row r="102" spans="1:3" x14ac:dyDescent="0.25">
      <c r="A102" s="5" t="s">
        <v>62</v>
      </c>
      <c r="B102" s="6">
        <f>C100/(0.14-0.13)</f>
        <v>29.999999999999972</v>
      </c>
    </row>
    <row r="103" spans="1:3" ht="15.75" thickBot="1" x14ac:dyDescent="0.3">
      <c r="A103" s="9" t="s">
        <v>69</v>
      </c>
      <c r="B103" s="10">
        <f>(C100*(1+0.13))/0.01</f>
        <v>33.9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Linnertova Dagmar</dc:creator>
  <cp:lastModifiedBy>Linnertova Dagmar</cp:lastModifiedBy>
  <dcterms:created xsi:type="dcterms:W3CDTF">2014-11-06T08:40:51Z</dcterms:created>
  <dcterms:modified xsi:type="dcterms:W3CDTF">2015-11-09T09:53:49Z</dcterms:modified>
</cp:coreProperties>
</file>