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88EB4410-8AC7-4536-9AFD-0E8AE9351247}" xr6:coauthVersionLast="47" xr6:coauthVersionMax="47" xr10:uidLastSave="{00000000-0000-0000-0000-000000000000}"/>
  <bookViews>
    <workbookView xWindow="-120" yWindow="-120" windowWidth="29040" windowHeight="15720" activeTab="2" xr2:uid="{2209479B-C9D3-4B3A-BA44-167052BA07C4}"/>
  </bookViews>
  <sheets>
    <sheet name="List1" sheetId="1" r:id="rId1"/>
    <sheet name="Regrese" sheetId="2" r:id="rId2"/>
    <sheet name="Regrese (2)" sheetId="3" r:id="rId3"/>
  </sheets>
  <definedNames>
    <definedName name="solver_adj" localSheetId="2" hidden="1">'Regrese (2)'!$O$4:$O$6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'Regrese (2)'!$O$8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" i="3"/>
  <c r="K2" i="3" s="1"/>
  <c r="B28" i="3"/>
  <c r="J27" i="3"/>
  <c r="M27" i="3" s="1"/>
  <c r="O27" i="3" s="1"/>
  <c r="B27" i="3"/>
  <c r="J26" i="3"/>
  <c r="M26" i="3" s="1"/>
  <c r="O26" i="3" s="1"/>
  <c r="J25" i="3"/>
  <c r="K25" i="3" s="1"/>
  <c r="C23" i="3"/>
  <c r="G11" i="3" s="1"/>
  <c r="B23" i="3"/>
  <c r="E13" i="3" s="1"/>
  <c r="K29" i="2"/>
  <c r="I29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" i="2"/>
  <c r="O4" i="2"/>
  <c r="O5" i="2" s="1"/>
  <c r="B28" i="2"/>
  <c r="B27" i="2"/>
  <c r="J27" i="2"/>
  <c r="M27" i="2" s="1"/>
  <c r="O27" i="2" s="1"/>
  <c r="J26" i="2"/>
  <c r="K26" i="2" s="1"/>
  <c r="J25" i="2"/>
  <c r="K25" i="2" s="1"/>
  <c r="C23" i="2"/>
  <c r="G12" i="2" s="1"/>
  <c r="B23" i="2"/>
  <c r="E17" i="2" s="1"/>
  <c r="R31" i="1"/>
  <c r="S31" i="1"/>
  <c r="T31" i="1"/>
  <c r="U31" i="1"/>
  <c r="R32" i="1"/>
  <c r="S32" i="1"/>
  <c r="T32" i="1"/>
  <c r="U32" i="1"/>
  <c r="R33" i="1"/>
  <c r="S33" i="1"/>
  <c r="T33" i="1"/>
  <c r="U33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U37" i="1"/>
  <c r="R38" i="1"/>
  <c r="S38" i="1"/>
  <c r="T38" i="1"/>
  <c r="U38" i="1"/>
  <c r="R39" i="1"/>
  <c r="S39" i="1"/>
  <c r="T39" i="1"/>
  <c r="U39" i="1"/>
  <c r="R40" i="1"/>
  <c r="S40" i="1"/>
  <c r="T40" i="1"/>
  <c r="U40" i="1"/>
  <c r="R41" i="1"/>
  <c r="S41" i="1"/>
  <c r="T41" i="1"/>
  <c r="U41" i="1"/>
  <c r="Q32" i="1"/>
  <c r="Q33" i="1"/>
  <c r="Q34" i="1"/>
  <c r="Q35" i="1"/>
  <c r="Q36" i="1"/>
  <c r="Q37" i="1"/>
  <c r="Q38" i="1"/>
  <c r="Q39" i="1"/>
  <c r="Q40" i="1"/>
  <c r="Q41" i="1"/>
  <c r="Q31" i="1"/>
  <c r="M23" i="1"/>
  <c r="O25" i="1"/>
  <c r="O24" i="1"/>
  <c r="M25" i="1"/>
  <c r="M24" i="1"/>
  <c r="L23" i="1"/>
  <c r="K25" i="1"/>
  <c r="K24" i="1"/>
  <c r="J25" i="1"/>
  <c r="J24" i="1"/>
  <c r="K26" i="3" l="1"/>
  <c r="G3" i="3"/>
  <c r="G13" i="3"/>
  <c r="E15" i="3"/>
  <c r="O8" i="3"/>
  <c r="O10" i="3"/>
  <c r="O11" i="3" s="1"/>
  <c r="G8" i="3"/>
  <c r="G4" i="3"/>
  <c r="G6" i="3"/>
  <c r="E8" i="3"/>
  <c r="G18" i="3"/>
  <c r="E20" i="3"/>
  <c r="E17" i="3"/>
  <c r="E2" i="3"/>
  <c r="G5" i="3"/>
  <c r="G10" i="3"/>
  <c r="E12" i="3"/>
  <c r="E10" i="3"/>
  <c r="G20" i="3"/>
  <c r="G15" i="3"/>
  <c r="E7" i="3"/>
  <c r="G17" i="3"/>
  <c r="E19" i="3"/>
  <c r="G2" i="3"/>
  <c r="E4" i="3"/>
  <c r="G12" i="3"/>
  <c r="E14" i="3"/>
  <c r="K27" i="3"/>
  <c r="G7" i="3"/>
  <c r="E9" i="3"/>
  <c r="G19" i="3"/>
  <c r="E21" i="3"/>
  <c r="E5" i="3"/>
  <c r="E6" i="3"/>
  <c r="G16" i="3"/>
  <c r="E18" i="3"/>
  <c r="G14" i="3"/>
  <c r="E16" i="3"/>
  <c r="G9" i="3"/>
  <c r="E11" i="3"/>
  <c r="G21" i="3"/>
  <c r="E3" i="3"/>
  <c r="J8" i="2"/>
  <c r="J15" i="2"/>
  <c r="J3" i="2"/>
  <c r="J16" i="2"/>
  <c r="J17" i="2"/>
  <c r="J4" i="2"/>
  <c r="J5" i="2"/>
  <c r="J18" i="2"/>
  <c r="J14" i="2"/>
  <c r="J6" i="2"/>
  <c r="J19" i="2"/>
  <c r="J2" i="2"/>
  <c r="J12" i="2"/>
  <c r="J7" i="2"/>
  <c r="J20" i="2"/>
  <c r="J9" i="2"/>
  <c r="J21" i="2"/>
  <c r="J10" i="2"/>
  <c r="J13" i="2"/>
  <c r="J11" i="2"/>
  <c r="K27" i="2"/>
  <c r="E8" i="2"/>
  <c r="G10" i="2"/>
  <c r="E20" i="2"/>
  <c r="G3" i="2"/>
  <c r="E13" i="2"/>
  <c r="G15" i="2"/>
  <c r="E6" i="2"/>
  <c r="G8" i="2"/>
  <c r="E18" i="2"/>
  <c r="G20" i="2"/>
  <c r="E11" i="2"/>
  <c r="G13" i="2"/>
  <c r="E10" i="2"/>
  <c r="M26" i="2"/>
  <c r="O26" i="2" s="1"/>
  <c r="E3" i="2"/>
  <c r="G5" i="2"/>
  <c r="E15" i="2"/>
  <c r="G17" i="2"/>
  <c r="E4" i="2"/>
  <c r="G6" i="2"/>
  <c r="E16" i="2"/>
  <c r="G18" i="2"/>
  <c r="E9" i="2"/>
  <c r="G11" i="2"/>
  <c r="E21" i="2"/>
  <c r="E2" i="2"/>
  <c r="G4" i="2"/>
  <c r="E14" i="2"/>
  <c r="G16" i="2"/>
  <c r="E7" i="2"/>
  <c r="G9" i="2"/>
  <c r="E19" i="2"/>
  <c r="G21" i="2"/>
  <c r="G2" i="2"/>
  <c r="E12" i="2"/>
  <c r="G14" i="2"/>
  <c r="E5" i="2"/>
  <c r="G7" i="2"/>
  <c r="G19" i="2"/>
  <c r="J23" i="1"/>
  <c r="K23" i="1" s="1"/>
  <c r="C23" i="1"/>
  <c r="G8" i="1" s="1"/>
  <c r="B27" i="1"/>
  <c r="B28" i="1"/>
  <c r="E3" i="1"/>
  <c r="E7" i="1"/>
  <c r="B23" i="1"/>
  <c r="E9" i="1" s="1"/>
  <c r="B24" i="3" l="1"/>
  <c r="F4" i="3"/>
  <c r="F17" i="3"/>
  <c r="F20" i="3"/>
  <c r="F19" i="3"/>
  <c r="F16" i="3"/>
  <c r="C24" i="3"/>
  <c r="F8" i="3"/>
  <c r="F5" i="3"/>
  <c r="F7" i="3"/>
  <c r="F21" i="3"/>
  <c r="F18" i="3"/>
  <c r="F3" i="3"/>
  <c r="F9" i="3"/>
  <c r="F10" i="3"/>
  <c r="F11" i="3"/>
  <c r="F12" i="3"/>
  <c r="F14" i="3"/>
  <c r="H3" i="2"/>
  <c r="H21" i="2"/>
  <c r="H15" i="2"/>
  <c r="H10" i="2"/>
  <c r="H9" i="2"/>
  <c r="H14" i="2"/>
  <c r="H11" i="2"/>
  <c r="H13" i="2"/>
  <c r="H16" i="2"/>
  <c r="H4" i="2"/>
  <c r="B24" i="2"/>
  <c r="F9" i="2" s="1"/>
  <c r="I9" i="2" s="1"/>
  <c r="C24" i="2"/>
  <c r="H12" i="2" s="1"/>
  <c r="G7" i="1"/>
  <c r="G5" i="1"/>
  <c r="G3" i="1"/>
  <c r="G2" i="1"/>
  <c r="G21" i="1"/>
  <c r="G19" i="1"/>
  <c r="G17" i="1"/>
  <c r="G15" i="1"/>
  <c r="G14" i="1"/>
  <c r="G10" i="1"/>
  <c r="G9" i="1"/>
  <c r="E2" i="1"/>
  <c r="E20" i="1"/>
  <c r="E15" i="1"/>
  <c r="E14" i="1"/>
  <c r="E13" i="1"/>
  <c r="E10" i="1"/>
  <c r="E19" i="1"/>
  <c r="E8" i="1"/>
  <c r="E18" i="1"/>
  <c r="E6" i="1"/>
  <c r="E17" i="1"/>
  <c r="E5" i="1"/>
  <c r="E16" i="1"/>
  <c r="E4" i="1"/>
  <c r="E12" i="1"/>
  <c r="E11" i="1"/>
  <c r="E21" i="1"/>
  <c r="G18" i="1"/>
  <c r="G6" i="1"/>
  <c r="G16" i="1"/>
  <c r="G4" i="1"/>
  <c r="G13" i="1"/>
  <c r="G12" i="1"/>
  <c r="G11" i="1"/>
  <c r="G20" i="1"/>
  <c r="H13" i="3" l="1"/>
  <c r="H11" i="3"/>
  <c r="I11" i="3" s="1"/>
  <c r="H3" i="3"/>
  <c r="I3" i="3" s="1"/>
  <c r="H10" i="3"/>
  <c r="I10" i="3" s="1"/>
  <c r="H2" i="3"/>
  <c r="H19" i="3"/>
  <c r="I19" i="3" s="1"/>
  <c r="H17" i="3"/>
  <c r="I17" i="3" s="1"/>
  <c r="H18" i="3"/>
  <c r="I18" i="3" s="1"/>
  <c r="H16" i="3"/>
  <c r="I16" i="3"/>
  <c r="H4" i="3"/>
  <c r="I4" i="3" s="1"/>
  <c r="H15" i="3"/>
  <c r="H6" i="3"/>
  <c r="H9" i="3"/>
  <c r="I9" i="3" s="1"/>
  <c r="H21" i="3"/>
  <c r="I21" i="3" s="1"/>
  <c r="H12" i="3"/>
  <c r="I12" i="3" s="1"/>
  <c r="H14" i="3"/>
  <c r="I14" i="3" s="1"/>
  <c r="H8" i="3"/>
  <c r="I8" i="3"/>
  <c r="F15" i="3"/>
  <c r="F13" i="3"/>
  <c r="I13" i="3" s="1"/>
  <c r="H7" i="3"/>
  <c r="I7" i="3"/>
  <c r="H5" i="3"/>
  <c r="I5" i="3" s="1"/>
  <c r="H20" i="3"/>
  <c r="I20" i="3" s="1"/>
  <c r="F6" i="3"/>
  <c r="F2" i="3"/>
  <c r="I2" i="3" s="1"/>
  <c r="F10" i="2"/>
  <c r="I10" i="2" s="1"/>
  <c r="F19" i="2"/>
  <c r="F13" i="2"/>
  <c r="I13" i="2" s="1"/>
  <c r="F2" i="2"/>
  <c r="I2" i="2" s="1"/>
  <c r="F3" i="2"/>
  <c r="I3" i="2" s="1"/>
  <c r="H17" i="2"/>
  <c r="F17" i="2"/>
  <c r="I17" i="2" s="1"/>
  <c r="F8" i="2"/>
  <c r="I8" i="2" s="1"/>
  <c r="H20" i="2"/>
  <c r="F11" i="2"/>
  <c r="I11" i="2" s="1"/>
  <c r="F21" i="2"/>
  <c r="I21" i="2" s="1"/>
  <c r="H18" i="2"/>
  <c r="F12" i="2"/>
  <c r="I12" i="2" s="1"/>
  <c r="H19" i="2"/>
  <c r="F15" i="2"/>
  <c r="I15" i="2" s="1"/>
  <c r="F20" i="2"/>
  <c r="F5" i="2"/>
  <c r="H5" i="2"/>
  <c r="H8" i="2"/>
  <c r="F14" i="2"/>
  <c r="I14" i="2" s="1"/>
  <c r="F4" i="2"/>
  <c r="I4" i="2" s="1"/>
  <c r="F6" i="2"/>
  <c r="I6" i="2" s="1"/>
  <c r="F18" i="2"/>
  <c r="I18" i="2" s="1"/>
  <c r="H6" i="2"/>
  <c r="H2" i="2"/>
  <c r="H7" i="2"/>
  <c r="F7" i="2"/>
  <c r="I7" i="2" s="1"/>
  <c r="F16" i="2"/>
  <c r="I16" i="2" s="1"/>
  <c r="C24" i="1"/>
  <c r="H10" i="1" s="1"/>
  <c r="H13" i="1"/>
  <c r="B24" i="1"/>
  <c r="F21" i="1" s="1"/>
  <c r="H4" i="1"/>
  <c r="H19" i="1"/>
  <c r="H20" i="1"/>
  <c r="H9" i="1"/>
  <c r="H5" i="1"/>
  <c r="I15" i="3" l="1"/>
  <c r="I6" i="3"/>
  <c r="I5" i="2"/>
  <c r="I20" i="2"/>
  <c r="I19" i="2"/>
  <c r="I25" i="2"/>
  <c r="H8" i="1"/>
  <c r="H18" i="1"/>
  <c r="H17" i="1"/>
  <c r="H12" i="1"/>
  <c r="H16" i="1"/>
  <c r="H11" i="1"/>
  <c r="I11" i="1" s="1"/>
  <c r="H2" i="1"/>
  <c r="H15" i="1"/>
  <c r="I15" i="1" s="1"/>
  <c r="H14" i="1"/>
  <c r="H21" i="1"/>
  <c r="I21" i="1" s="1"/>
  <c r="H7" i="1"/>
  <c r="H6" i="1"/>
  <c r="H3" i="1"/>
  <c r="F11" i="1"/>
  <c r="F17" i="1"/>
  <c r="F4" i="1"/>
  <c r="F12" i="1"/>
  <c r="I12" i="1" s="1"/>
  <c r="F13" i="1"/>
  <c r="I13" i="1" s="1"/>
  <c r="F7" i="1"/>
  <c r="F19" i="1"/>
  <c r="I19" i="1" s="1"/>
  <c r="F14" i="1"/>
  <c r="F2" i="1"/>
  <c r="I2" i="1" s="1"/>
  <c r="F9" i="1"/>
  <c r="I9" i="1" s="1"/>
  <c r="F3" i="1"/>
  <c r="I3" i="1" s="1"/>
  <c r="F15" i="1"/>
  <c r="F20" i="1"/>
  <c r="F8" i="1"/>
  <c r="F10" i="1"/>
  <c r="I10" i="1" s="1"/>
  <c r="I8" i="1"/>
  <c r="F5" i="1"/>
  <c r="I5" i="1" s="1"/>
  <c r="I17" i="1"/>
  <c r="I20" i="1"/>
  <c r="I4" i="1"/>
  <c r="F6" i="1"/>
  <c r="F18" i="1"/>
  <c r="F16" i="1"/>
  <c r="I25" i="3" l="1"/>
  <c r="L25" i="3" s="1"/>
  <c r="M25" i="3"/>
  <c r="O25" i="3" s="1"/>
  <c r="M25" i="2"/>
  <c r="O25" i="2" s="1"/>
  <c r="L25" i="2"/>
  <c r="I7" i="1"/>
  <c r="I16" i="1"/>
  <c r="I6" i="1"/>
  <c r="I14" i="1"/>
  <c r="I18" i="1"/>
  <c r="I23" i="1"/>
  <c r="O23" i="1" s="1"/>
  <c r="I29" i="3" l="1"/>
  <c r="K29" i="3" s="1"/>
</calcChain>
</file>

<file path=xl/sharedStrings.xml><?xml version="1.0" encoding="utf-8"?>
<sst xmlns="http://schemas.openxmlformats.org/spreadsheetml/2006/main" count="146" uniqueCount="65">
  <si>
    <t>i</t>
  </si>
  <si>
    <t>V(ýška)</t>
  </si>
  <si>
    <t>H(motnost)</t>
  </si>
  <si>
    <t>P(ohlaví)</t>
  </si>
  <si>
    <t>m</t>
  </si>
  <si>
    <t>s</t>
  </si>
  <si>
    <t>Vi-mV</t>
  </si>
  <si>
    <t>kontrola</t>
  </si>
  <si>
    <t>zVi</t>
  </si>
  <si>
    <t>Hi-mH</t>
  </si>
  <si>
    <t>zHi</t>
  </si>
  <si>
    <t>zVi x zHi</t>
  </si>
  <si>
    <t>rVH</t>
  </si>
  <si>
    <t>r2</t>
  </si>
  <si>
    <t>kovariance</t>
  </si>
  <si>
    <t>t</t>
  </si>
  <si>
    <t>df</t>
  </si>
  <si>
    <t>p</t>
  </si>
  <si>
    <t>rVP</t>
  </si>
  <si>
    <t>rHP</t>
  </si>
  <si>
    <t>různé</t>
  </si>
  <si>
    <t>hodnoty</t>
  </si>
  <si>
    <t>r</t>
  </si>
  <si>
    <t>N</t>
  </si>
  <si>
    <t>Poznámka</t>
  </si>
  <si>
    <t>cVH = sV * rVH * sH</t>
  </si>
  <si>
    <t>rVH = cVH/(sV*sH)</t>
  </si>
  <si>
    <t>b</t>
  </si>
  <si>
    <t>a</t>
  </si>
  <si>
    <t>Hi.stř</t>
  </si>
  <si>
    <t>ei</t>
  </si>
  <si>
    <t>R</t>
  </si>
  <si>
    <t>pro vztah H = a+bV+e</t>
  </si>
  <si>
    <t>b1</t>
  </si>
  <si>
    <t>b2</t>
  </si>
  <si>
    <t>SS</t>
  </si>
  <si>
    <t>R2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</si>
  <si>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</si>
  <si>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</si>
  <si>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</si>
  <si>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</si>
  <si>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</si>
  <si>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</si>
  <si>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</si>
  <si>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</si>
  <si>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</si>
  <si>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</si>
  <si>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</si>
  <si>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Hranice</t>
  </si>
  <si>
    <t>Rozdíl</t>
  </si>
  <si>
    <t>MS</t>
  </si>
  <si>
    <t>F</t>
  </si>
  <si>
    <t>Významnost F</t>
  </si>
  <si>
    <t>Koeficienty</t>
  </si>
  <si>
    <t>t Stat</t>
  </si>
  <si>
    <t>Hodnota P</t>
  </si>
  <si>
    <t>Dolní 95%</t>
  </si>
  <si>
    <t>Horní 95%</t>
  </si>
  <si>
    <t>Dolní 95,0%</t>
  </si>
  <si>
    <t>Horní 95,0%</t>
  </si>
  <si>
    <t>REZIDUA</t>
  </si>
  <si>
    <t>Normovaná rezidua</t>
  </si>
  <si>
    <t>PRAVDĚPODOBNOST</t>
  </si>
  <si>
    <t>Percentil</t>
  </si>
  <si>
    <t>Očekávané H(motnost)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</si>
</sst>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Regrese!$C$1</c:f>
              <c:strCache>
                <c:ptCount val="1"/>
                <c:pt idx="0">
                  <c:v>H(motnost)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Regrese!$B$2:$B$21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Regrese!$C$2:$C$21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05-4336-960A-9451F7A34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30784"/>
        <c:axId val="608831200"/>
      </c:scatterChart>
      <c:valAx>
        <c:axId val="608830784"/>
        <c:scaling>
          <c:orientation val="minMax"/>
          <c:min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8831200"/>
        <c:crosses val="autoZero"/>
        <c:crossBetween val="midCat"/>
      </c:valAx>
      <c:valAx>
        <c:axId val="6088312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8830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V(ýška)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'Regrese (2)'!$B$41:$B$60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'Regrese (2)'!$U$27:$U$46</c:f>
              <c:numCache>
                <c:formatCode>General</c:formatCode>
                <c:ptCount val="20"/>
                <c:pt idx="0">
                  <c:v>11.566860273972608</c:v>
                </c:pt>
                <c:pt idx="1">
                  <c:v>-15.756350684931505</c:v>
                </c:pt>
                <c:pt idx="2">
                  <c:v>25.51444383561644</c:v>
                </c:pt>
                <c:pt idx="3">
                  <c:v>2.8486136986301318</c:v>
                </c:pt>
                <c:pt idx="4">
                  <c:v>3.732558904109581</c:v>
                </c:pt>
                <c:pt idx="5">
                  <c:v>-12.31985753424658</c:v>
                </c:pt>
                <c:pt idx="6">
                  <c:v>-7.2287561643835687</c:v>
                </c:pt>
                <c:pt idx="7">
                  <c:v>10.334750684931507</c:v>
                </c:pt>
                <c:pt idx="8">
                  <c:v>-8.8833643835616485</c:v>
                </c:pt>
                <c:pt idx="9">
                  <c:v>-7.0353315068493174</c:v>
                </c:pt>
                <c:pt idx="10">
                  <c:v>-4.8614465753424554</c:v>
                </c:pt>
                <c:pt idx="11">
                  <c:v>-9.8805917808219093</c:v>
                </c:pt>
                <c:pt idx="12">
                  <c:v>5.2077369863013558</c:v>
                </c:pt>
                <c:pt idx="13">
                  <c:v>25.050224657534244</c:v>
                </c:pt>
                <c:pt idx="14">
                  <c:v>-1.3944547945205414</c:v>
                </c:pt>
                <c:pt idx="15">
                  <c:v>-11.795035616438355</c:v>
                </c:pt>
                <c:pt idx="16">
                  <c:v>-13.668021917808204</c:v>
                </c:pt>
                <c:pt idx="17">
                  <c:v>-3.8833643835616485</c:v>
                </c:pt>
                <c:pt idx="18">
                  <c:v>-8.1513863013698682</c:v>
                </c:pt>
                <c:pt idx="19">
                  <c:v>20.602772602739719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9-4DBD-9C2A-88F85E55A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52671"/>
        <c:axId val="1991951839"/>
      </c:scatterChart>
      <c:valAx>
        <c:axId val="1991952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V(ýška)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1839"/>
        <c:crosses val="autoZero"/>
        <c:crossBetween val="midCat"/>
      </c:valAx>
      <c:valAx>
        <c:axId val="19919518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267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P(ohlaví)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'Regrese (2)'!$C$41:$C$60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'Regrese (2)'!$U$27:$U$46</c:f>
              <c:numCache>
                <c:formatCode>General</c:formatCode>
                <c:ptCount val="20"/>
                <c:pt idx="0">
                  <c:v>11.566860273972608</c:v>
                </c:pt>
                <c:pt idx="1">
                  <c:v>-15.756350684931505</c:v>
                </c:pt>
                <c:pt idx="2">
                  <c:v>25.51444383561644</c:v>
                </c:pt>
                <c:pt idx="3">
                  <c:v>2.8486136986301318</c:v>
                </c:pt>
                <c:pt idx="4">
                  <c:v>3.732558904109581</c:v>
                </c:pt>
                <c:pt idx="5">
                  <c:v>-12.31985753424658</c:v>
                </c:pt>
                <c:pt idx="6">
                  <c:v>-7.2287561643835687</c:v>
                </c:pt>
                <c:pt idx="7">
                  <c:v>10.334750684931507</c:v>
                </c:pt>
                <c:pt idx="8">
                  <c:v>-8.8833643835616485</c:v>
                </c:pt>
                <c:pt idx="9">
                  <c:v>-7.0353315068493174</c:v>
                </c:pt>
                <c:pt idx="10">
                  <c:v>-4.8614465753424554</c:v>
                </c:pt>
                <c:pt idx="11">
                  <c:v>-9.8805917808219093</c:v>
                </c:pt>
                <c:pt idx="12">
                  <c:v>5.2077369863013558</c:v>
                </c:pt>
                <c:pt idx="13">
                  <c:v>25.050224657534244</c:v>
                </c:pt>
                <c:pt idx="14">
                  <c:v>-1.3944547945205414</c:v>
                </c:pt>
                <c:pt idx="15">
                  <c:v>-11.795035616438355</c:v>
                </c:pt>
                <c:pt idx="16">
                  <c:v>-13.668021917808204</c:v>
                </c:pt>
                <c:pt idx="17">
                  <c:v>-3.8833643835616485</c:v>
                </c:pt>
                <c:pt idx="18">
                  <c:v>-8.1513863013698682</c:v>
                </c:pt>
                <c:pt idx="19">
                  <c:v>20.602772602739719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21-403F-84DC-27C865A6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65151"/>
        <c:axId val="1991949759"/>
      </c:scatterChart>
      <c:valAx>
        <c:axId val="1991965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P(ohlaví)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49759"/>
        <c:crosses val="autoZero"/>
        <c:crossBetween val="midCat"/>
      </c:valAx>
      <c:valAx>
        <c:axId val="19919497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6515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V(ýška)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H(motnost)</c:v>
          </c:tx>
          <c:spPr>
            <a:ln w="19050">
              <a:noFill/>
            </a:ln>
          </c:spPr>
          <c:xVal>
            <c:numRef>
              <c:f>'Regrese (2)'!$B$41:$B$60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'Regrese (2)'!$D$41:$D$60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29-498F-B960-10E93843F982}"/>
            </c:ext>
          </c:extLst>
        </c:ser>
        <c:ser>
          <c:idx val="1"/>
          <c:order val="1"/>
          <c:tx>
            <c:v>Očekávané H(motnost)</c:v>
          </c:tx>
          <c:spPr>
            <a:ln w="19050">
              <a:noFill/>
            </a:ln>
          </c:spPr>
          <c:xVal>
            <c:numRef>
              <c:f>'Regrese (2)'!$B$41:$B$60</c:f>
              <c:numCache>
                <c:formatCode>General</c:formatCode>
                <c:ptCount val="20"/>
                <c:pt idx="0">
                  <c:v>172</c:v>
                </c:pt>
                <c:pt idx="1">
                  <c:v>170</c:v>
                </c:pt>
                <c:pt idx="2">
                  <c:v>149</c:v>
                </c:pt>
                <c:pt idx="3">
                  <c:v>176</c:v>
                </c:pt>
                <c:pt idx="4">
                  <c:v>185</c:v>
                </c:pt>
                <c:pt idx="5">
                  <c:v>162</c:v>
                </c:pt>
                <c:pt idx="6">
                  <c:v>182</c:v>
                </c:pt>
                <c:pt idx="7">
                  <c:v>190</c:v>
                </c:pt>
                <c:pt idx="8">
                  <c:v>154</c:v>
                </c:pt>
                <c:pt idx="9">
                  <c:v>167</c:v>
                </c:pt>
                <c:pt idx="10">
                  <c:v>204</c:v>
                </c:pt>
                <c:pt idx="11">
                  <c:v>155</c:v>
                </c:pt>
                <c:pt idx="12">
                  <c:v>174</c:v>
                </c:pt>
                <c:pt idx="13">
                  <c:v>185</c:v>
                </c:pt>
                <c:pt idx="14">
                  <c:v>169</c:v>
                </c:pt>
                <c:pt idx="15">
                  <c:v>173</c:v>
                </c:pt>
                <c:pt idx="16">
                  <c:v>189</c:v>
                </c:pt>
                <c:pt idx="17">
                  <c:v>154</c:v>
                </c:pt>
                <c:pt idx="18">
                  <c:v>176</c:v>
                </c:pt>
                <c:pt idx="19">
                  <c:v>168</c:v>
                </c:pt>
              </c:numCache>
            </c:numRef>
          </c:xVal>
          <c:yVal>
            <c:numRef>
              <c:f>'Regrese (2)'!$T$27:$T$46</c:f>
              <c:numCache>
                <c:formatCode>General</c:formatCode>
                <c:ptCount val="20"/>
                <c:pt idx="0">
                  <c:v>73.433139726027392</c:v>
                </c:pt>
                <c:pt idx="1">
                  <c:v>74.756350684931505</c:v>
                </c:pt>
                <c:pt idx="2">
                  <c:v>60.48555616438356</c:v>
                </c:pt>
                <c:pt idx="3">
                  <c:v>76.151386301369868</c:v>
                </c:pt>
                <c:pt idx="4">
                  <c:v>82.267441095890419</c:v>
                </c:pt>
                <c:pt idx="5">
                  <c:v>69.31985753424658</c:v>
                </c:pt>
                <c:pt idx="6">
                  <c:v>80.228756164383569</c:v>
                </c:pt>
                <c:pt idx="7">
                  <c:v>85.665249315068493</c:v>
                </c:pt>
                <c:pt idx="8">
                  <c:v>63.883364383561648</c:v>
                </c:pt>
                <c:pt idx="9">
                  <c:v>70.035331506849317</c:v>
                </c:pt>
                <c:pt idx="10">
                  <c:v>97.861446575342455</c:v>
                </c:pt>
                <c:pt idx="11">
                  <c:v>61.880591780821909</c:v>
                </c:pt>
                <c:pt idx="12">
                  <c:v>74.792263013698644</c:v>
                </c:pt>
                <c:pt idx="13">
                  <c:v>84.949775342465756</c:v>
                </c:pt>
                <c:pt idx="14">
                  <c:v>71.394454794520541</c:v>
                </c:pt>
                <c:pt idx="15">
                  <c:v>76.795035616438355</c:v>
                </c:pt>
                <c:pt idx="16">
                  <c:v>87.668021917808204</c:v>
                </c:pt>
                <c:pt idx="17">
                  <c:v>63.883364383561648</c:v>
                </c:pt>
                <c:pt idx="18">
                  <c:v>76.151386301369868</c:v>
                </c:pt>
                <c:pt idx="19">
                  <c:v>73.397227397260281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29-498F-B960-10E93843F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59327"/>
        <c:axId val="1991965983"/>
      </c:scatterChart>
      <c:valAx>
        <c:axId val="19919593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V(ýška)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65983"/>
        <c:crosses val="autoZero"/>
        <c:crossBetween val="midCat"/>
      </c:valAx>
      <c:valAx>
        <c:axId val="19919659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9327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P(ohlaví)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H(motnost)</c:v>
          </c:tx>
          <c:spPr>
            <a:ln w="19050">
              <a:noFill/>
            </a:ln>
          </c:spPr>
          <c:xVal>
            <c:numRef>
              <c:f>'Regrese (2)'!$C$41:$C$60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'Regrese (2)'!$D$41:$D$60</c:f>
              <c:numCache>
                <c:formatCode>General</c:formatCode>
                <c:ptCount val="20"/>
                <c:pt idx="0">
                  <c:v>85</c:v>
                </c:pt>
                <c:pt idx="1">
                  <c:v>59</c:v>
                </c:pt>
                <c:pt idx="2">
                  <c:v>86</c:v>
                </c:pt>
                <c:pt idx="3">
                  <c:v>79</c:v>
                </c:pt>
                <c:pt idx="4">
                  <c:v>86</c:v>
                </c:pt>
                <c:pt idx="5">
                  <c:v>57</c:v>
                </c:pt>
                <c:pt idx="6">
                  <c:v>73</c:v>
                </c:pt>
                <c:pt idx="7">
                  <c:v>96</c:v>
                </c:pt>
                <c:pt idx="8">
                  <c:v>55</c:v>
                </c:pt>
                <c:pt idx="9">
                  <c:v>63</c:v>
                </c:pt>
                <c:pt idx="10">
                  <c:v>93</c:v>
                </c:pt>
                <c:pt idx="11">
                  <c:v>52</c:v>
                </c:pt>
                <c:pt idx="12">
                  <c:v>80</c:v>
                </c:pt>
                <c:pt idx="13">
                  <c:v>110</c:v>
                </c:pt>
                <c:pt idx="14">
                  <c:v>70</c:v>
                </c:pt>
                <c:pt idx="15">
                  <c:v>65</c:v>
                </c:pt>
                <c:pt idx="16">
                  <c:v>74</c:v>
                </c:pt>
                <c:pt idx="17">
                  <c:v>60</c:v>
                </c:pt>
                <c:pt idx="18">
                  <c:v>68</c:v>
                </c:pt>
                <c:pt idx="19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5A-4561-BB82-F999554A711E}"/>
            </c:ext>
          </c:extLst>
        </c:ser>
        <c:ser>
          <c:idx val="1"/>
          <c:order val="1"/>
          <c:tx>
            <c:v>Očekávané H(motnost)</c:v>
          </c:tx>
          <c:spPr>
            <a:ln w="19050">
              <a:noFill/>
            </a:ln>
          </c:spPr>
          <c:xVal>
            <c:numRef>
              <c:f>'Regrese (2)'!$C$41:$C$60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xVal>
          <c:yVal>
            <c:numRef>
              <c:f>'Regrese (2)'!$T$27:$T$46</c:f>
              <c:numCache>
                <c:formatCode>General</c:formatCode>
                <c:ptCount val="20"/>
                <c:pt idx="0">
                  <c:v>73.433139726027392</c:v>
                </c:pt>
                <c:pt idx="1">
                  <c:v>74.756350684931505</c:v>
                </c:pt>
                <c:pt idx="2">
                  <c:v>60.48555616438356</c:v>
                </c:pt>
                <c:pt idx="3">
                  <c:v>76.151386301369868</c:v>
                </c:pt>
                <c:pt idx="4">
                  <c:v>82.267441095890419</c:v>
                </c:pt>
                <c:pt idx="5">
                  <c:v>69.31985753424658</c:v>
                </c:pt>
                <c:pt idx="6">
                  <c:v>80.228756164383569</c:v>
                </c:pt>
                <c:pt idx="7">
                  <c:v>85.665249315068493</c:v>
                </c:pt>
                <c:pt idx="8">
                  <c:v>63.883364383561648</c:v>
                </c:pt>
                <c:pt idx="9">
                  <c:v>70.035331506849317</c:v>
                </c:pt>
                <c:pt idx="10">
                  <c:v>97.861446575342455</c:v>
                </c:pt>
                <c:pt idx="11">
                  <c:v>61.880591780821909</c:v>
                </c:pt>
                <c:pt idx="12">
                  <c:v>74.792263013698644</c:v>
                </c:pt>
                <c:pt idx="13">
                  <c:v>84.949775342465756</c:v>
                </c:pt>
                <c:pt idx="14">
                  <c:v>71.394454794520541</c:v>
                </c:pt>
                <c:pt idx="15">
                  <c:v>76.795035616438355</c:v>
                </c:pt>
                <c:pt idx="16">
                  <c:v>87.668021917808204</c:v>
                </c:pt>
                <c:pt idx="17">
                  <c:v>63.883364383561648</c:v>
                </c:pt>
                <c:pt idx="18">
                  <c:v>76.151386301369868</c:v>
                </c:pt>
                <c:pt idx="19">
                  <c:v>73.397227397260281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5A-4561-BB82-F999554A7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52255"/>
        <c:axId val="1991947679"/>
      </c:scatterChart>
      <c:valAx>
        <c:axId val="1991952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P(ohlaví)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47679"/>
        <c:crosses val="autoZero"/>
        <c:crossBetween val="midCat"/>
      </c:valAx>
      <c:valAx>
        <c:axId val="19919476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225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Graf s rozdělením pravděpodobnosti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'Regrese (2)'!$X$27:$X$46</c:f>
              <c:numCache>
                <c:formatCode>General</c:formatCode>
                <c:ptCount val="20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  <c:pt idx="4">
                  <c:v>22.5</c:v>
                </c:pt>
                <c:pt idx="5">
                  <c:v>27.5</c:v>
                </c:pt>
                <c:pt idx="6">
                  <c:v>32.5</c:v>
                </c:pt>
                <c:pt idx="7">
                  <c:v>37.5</c:v>
                </c:pt>
                <c:pt idx="8">
                  <c:v>42.5</c:v>
                </c:pt>
                <c:pt idx="9">
                  <c:v>47.5</c:v>
                </c:pt>
                <c:pt idx="10">
                  <c:v>52.5</c:v>
                </c:pt>
                <c:pt idx="11">
                  <c:v>57.5</c:v>
                </c:pt>
                <c:pt idx="12">
                  <c:v>62.5</c:v>
                </c:pt>
                <c:pt idx="13">
                  <c:v>67.5</c:v>
                </c:pt>
                <c:pt idx="14">
                  <c:v>72.5</c:v>
                </c:pt>
                <c:pt idx="15">
                  <c:v>77.5</c:v>
                </c:pt>
                <c:pt idx="16">
                  <c:v>82.5</c:v>
                </c:pt>
                <c:pt idx="17">
                  <c:v>87.5</c:v>
                </c:pt>
                <c:pt idx="18">
                  <c:v>92.5</c:v>
                </c:pt>
                <c:pt idx="19">
                  <c:v>97.5</c:v>
                </c:pt>
              </c:numCache>
            </c:numRef>
          </c:xVal>
          <c:yVal>
            <c:numRef>
              <c:f>'Regrese (2)'!$Y$27:$Y$46</c:f>
              <c:numCache>
                <c:formatCode>General</c:formatCode>
                <c:ptCount val="20"/>
                <c:pt idx="0">
                  <c:v>52</c:v>
                </c:pt>
                <c:pt idx="1">
                  <c:v>55</c:v>
                </c:pt>
                <c:pt idx="2">
                  <c:v>57</c:v>
                </c:pt>
                <c:pt idx="3">
                  <c:v>59</c:v>
                </c:pt>
                <c:pt idx="4">
                  <c:v>60</c:v>
                </c:pt>
                <c:pt idx="5">
                  <c:v>63</c:v>
                </c:pt>
                <c:pt idx="6">
                  <c:v>65</c:v>
                </c:pt>
                <c:pt idx="7">
                  <c:v>68</c:v>
                </c:pt>
                <c:pt idx="8">
                  <c:v>70</c:v>
                </c:pt>
                <c:pt idx="9">
                  <c:v>73</c:v>
                </c:pt>
                <c:pt idx="10">
                  <c:v>74</c:v>
                </c:pt>
                <c:pt idx="11">
                  <c:v>79</c:v>
                </c:pt>
                <c:pt idx="12">
                  <c:v>80</c:v>
                </c:pt>
                <c:pt idx="13">
                  <c:v>85</c:v>
                </c:pt>
                <c:pt idx="14">
                  <c:v>86</c:v>
                </c:pt>
                <c:pt idx="15">
                  <c:v>86</c:v>
                </c:pt>
                <c:pt idx="16">
                  <c:v>93</c:v>
                </c:pt>
                <c:pt idx="17">
                  <c:v>94</c:v>
                </c:pt>
                <c:pt idx="18">
                  <c:v>96</c:v>
                </c:pt>
                <c:pt idx="19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FE-4B6E-BC8A-834A456AA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953919"/>
        <c:axId val="1991965151"/>
      </c:scatterChart>
      <c:valAx>
        <c:axId val="1991953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Percentil výběru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65151"/>
        <c:crosses val="autoZero"/>
        <c:crossBetween val="midCat"/>
      </c:valAx>
      <c:valAx>
        <c:axId val="19919651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H(motnost)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1953919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16</xdr:row>
      <xdr:rowOff>0</xdr:rowOff>
    </xdr:from>
    <xdr:to>
      <xdr:col>35</xdr:col>
      <xdr:colOff>70689</xdr:colOff>
      <xdr:row>26</xdr:row>
      <xdr:rowOff>95529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106150B-6562-4D7D-9139-F268BCF3E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9276" y="3061138"/>
          <a:ext cx="12288965" cy="2000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275896</xdr:colOff>
      <xdr:row>5</xdr:row>
      <xdr:rowOff>85400</xdr:rowOff>
    </xdr:from>
    <xdr:to>
      <xdr:col>18</xdr:col>
      <xdr:colOff>571500</xdr:colOff>
      <xdr:row>19</xdr:row>
      <xdr:rowOff>161600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9708C18-EA52-43CE-9485-35E424F66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277867</xdr:colOff>
      <xdr:row>1</xdr:row>
      <xdr:rowOff>76200</xdr:rowOff>
    </xdr:from>
    <xdr:to>
      <xdr:col>39</xdr:col>
      <xdr:colOff>277867</xdr:colOff>
      <xdr:row>11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5E07CFFC-2D97-410C-A410-91AF278B90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277867</xdr:colOff>
      <xdr:row>3</xdr:row>
      <xdr:rowOff>76200</xdr:rowOff>
    </xdr:from>
    <xdr:to>
      <xdr:col>40</xdr:col>
      <xdr:colOff>277867</xdr:colOff>
      <xdr:row>13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FA2D2131-E8FC-49EC-9A64-69AC7DDFA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277867</xdr:colOff>
      <xdr:row>5</xdr:row>
      <xdr:rowOff>76200</xdr:rowOff>
    </xdr:from>
    <xdr:to>
      <xdr:col>41</xdr:col>
      <xdr:colOff>277868</xdr:colOff>
      <xdr:row>15</xdr:row>
      <xdr:rowOff>73244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B36EE356-A66F-41A6-AAFF-A3541E7B0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277867</xdr:colOff>
      <xdr:row>7</xdr:row>
      <xdr:rowOff>76200</xdr:rowOff>
    </xdr:from>
    <xdr:to>
      <xdr:col>42</xdr:col>
      <xdr:colOff>277868</xdr:colOff>
      <xdr:row>17</xdr:row>
      <xdr:rowOff>76200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DC5AF01E-FF14-4F7A-B233-D938D4BD6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335018</xdr:colOff>
      <xdr:row>8</xdr:row>
      <xdr:rowOff>158969</xdr:rowOff>
    </xdr:from>
    <xdr:to>
      <xdr:col>43</xdr:col>
      <xdr:colOff>335017</xdr:colOff>
      <xdr:row>18</xdr:row>
      <xdr:rowOff>149444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84D2C1F3-96EF-4A4B-9825-34A697E56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41EC-47C4-40F9-9D1F-5A33BECD1CE4}">
  <dimension ref="A1:U41"/>
  <sheetViews>
    <sheetView zoomScale="145" zoomScaleNormal="145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J37" sqref="J37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</row>
    <row r="2" spans="1:14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</row>
    <row r="3" spans="1:14" ht="15.75" thickBot="1" x14ac:dyDescent="0.3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</row>
    <row r="4" spans="1:14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L4" s="3"/>
      <c r="M4" s="3" t="s">
        <v>1</v>
      </c>
      <c r="N4" s="3" t="s">
        <v>2</v>
      </c>
    </row>
    <row r="5" spans="1:14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L5" s="1" t="s">
        <v>1</v>
      </c>
      <c r="M5" s="1">
        <v>1</v>
      </c>
      <c r="N5" s="1"/>
    </row>
    <row r="6" spans="1:14" ht="15.75" thickBot="1" x14ac:dyDescent="0.3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L6" s="2" t="s">
        <v>2</v>
      </c>
      <c r="M6" s="2">
        <v>0.5869926290706583</v>
      </c>
      <c r="N6" s="2">
        <v>1</v>
      </c>
    </row>
    <row r="7" spans="1:14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</row>
    <row r="8" spans="1:14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</row>
    <row r="9" spans="1:14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</row>
    <row r="10" spans="1:14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</row>
    <row r="11" spans="1:14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</row>
    <row r="12" spans="1:14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</row>
    <row r="13" spans="1:14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</row>
    <row r="14" spans="1:14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</row>
    <row r="15" spans="1:14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</row>
    <row r="16" spans="1:14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</row>
    <row r="17" spans="1:21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</row>
    <row r="18" spans="1:21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</row>
    <row r="19" spans="1:21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</row>
    <row r="20" spans="1:21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</row>
    <row r="21" spans="1:21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</row>
    <row r="22" spans="1:21" x14ac:dyDescent="0.25">
      <c r="J22" t="s">
        <v>7</v>
      </c>
      <c r="K22" t="s">
        <v>13</v>
      </c>
      <c r="L22" t="s">
        <v>14</v>
      </c>
      <c r="M22" t="s">
        <v>15</v>
      </c>
      <c r="N22" t="s">
        <v>16</v>
      </c>
      <c r="O22" t="s">
        <v>17</v>
      </c>
    </row>
    <row r="23" spans="1:21" x14ac:dyDescent="0.25">
      <c r="A23" t="s">
        <v>4</v>
      </c>
      <c r="B23">
        <f>SUM(B2:B21)/COUNT(B2:B21)</f>
        <v>172.7</v>
      </c>
      <c r="C23">
        <f>SUM(C2:C21)/COUNT(C2:C21)</f>
        <v>75.25</v>
      </c>
      <c r="H23" t="s">
        <v>12</v>
      </c>
      <c r="I23">
        <f>SUM(I2:I21)/19</f>
        <v>0.58699262907065886</v>
      </c>
      <c r="J23">
        <f>PEARSON(B2:B21,C2:C21)</f>
        <v>0.5869926290706583</v>
      </c>
      <c r="K23">
        <f>J23*J23</f>
        <v>0.34456034658328344</v>
      </c>
      <c r="L23">
        <f>B24*C24*I23</f>
        <v>130.44736842105266</v>
      </c>
      <c r="M23">
        <f>I23*SQRT(18)/SQRT(1-I23*I23)</f>
        <v>3.0761148356415169</v>
      </c>
      <c r="N23">
        <v>18</v>
      </c>
      <c r="O23">
        <f>_xlfn.T.DIST(M23,N23,FALSE)</f>
        <v>7.1111862817779242E-3</v>
      </c>
    </row>
    <row r="24" spans="1:21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H24" t="s">
        <v>18</v>
      </c>
      <c r="J24">
        <f>PEARSON(B2:B21,D2:D21)</f>
        <v>0.13927358230884518</v>
      </c>
      <c r="K24">
        <f>J24*J24</f>
        <v>1.9397130729138672E-2</v>
      </c>
      <c r="M24">
        <f>J24*SQRT(18)/SQRT(1-J24*J24)</f>
        <v>0.59670327175284343</v>
      </c>
      <c r="N24">
        <v>18</v>
      </c>
      <c r="O24">
        <f>_xlfn.T.DIST(M24,N24,FALSE)</f>
        <v>0.32663769807263493</v>
      </c>
    </row>
    <row r="25" spans="1:21" x14ac:dyDescent="0.25">
      <c r="H25" t="s">
        <v>19</v>
      </c>
      <c r="J25">
        <f>PEARSON(C2:C21,D2:D21)</f>
        <v>-3.2309376645135762E-3</v>
      </c>
      <c r="K25">
        <f>J25*J25</f>
        <v>1.0438958191972443E-5</v>
      </c>
      <c r="M25">
        <f>J25*SQRT(18)/SQRT(1-J25*J25)</f>
        <v>-1.3707779140664855E-2</v>
      </c>
      <c r="N25">
        <v>18</v>
      </c>
      <c r="O25">
        <f>_xlfn.T.DIST(M25,N25,FALSE)</f>
        <v>0.39340350071929653</v>
      </c>
    </row>
    <row r="26" spans="1:21" x14ac:dyDescent="0.25">
      <c r="B26" t="s">
        <v>7</v>
      </c>
    </row>
    <row r="27" spans="1:21" x14ac:dyDescent="0.25">
      <c r="A27" t="s">
        <v>4</v>
      </c>
      <c r="B27">
        <f>AVERAGE(B2:B21)</f>
        <v>172.7</v>
      </c>
    </row>
    <row r="28" spans="1:21" x14ac:dyDescent="0.25">
      <c r="A28" t="s">
        <v>5</v>
      </c>
      <c r="B28">
        <f>STDEV(B2:B21)</f>
        <v>13.996616132404816</v>
      </c>
    </row>
    <row r="29" spans="1:21" x14ac:dyDescent="0.25">
      <c r="Q29" t="s">
        <v>23</v>
      </c>
    </row>
    <row r="30" spans="1:21" x14ac:dyDescent="0.25">
      <c r="P30" t="s">
        <v>15</v>
      </c>
      <c r="Q30">
        <v>20</v>
      </c>
      <c r="R30">
        <v>50</v>
      </c>
      <c r="S30">
        <v>100</v>
      </c>
      <c r="T30">
        <v>200</v>
      </c>
      <c r="U30">
        <v>1000</v>
      </c>
    </row>
    <row r="31" spans="1:21" x14ac:dyDescent="0.25">
      <c r="H31" t="s">
        <v>24</v>
      </c>
      <c r="J31" t="s">
        <v>14</v>
      </c>
      <c r="O31" t="s">
        <v>20</v>
      </c>
      <c r="P31">
        <v>0</v>
      </c>
      <c r="Q31">
        <f>$P31*SQRT(Q$30-2)/SQRT(1-$P31*$P31)</f>
        <v>0</v>
      </c>
      <c r="R31">
        <f t="shared" ref="R31:U31" si="5">$P31*SQRT(R$30-2)/SQRT(1-$P31*$P31)</f>
        <v>0</v>
      </c>
      <c r="S31">
        <f t="shared" si="5"/>
        <v>0</v>
      </c>
      <c r="T31">
        <f t="shared" si="5"/>
        <v>0</v>
      </c>
      <c r="U31">
        <f t="shared" si="5"/>
        <v>0</v>
      </c>
    </row>
    <row r="32" spans="1:21" x14ac:dyDescent="0.25">
      <c r="O32" t="s">
        <v>21</v>
      </c>
      <c r="P32">
        <v>0.1</v>
      </c>
      <c r="Q32">
        <f t="shared" ref="Q32:U41" si="6">$P32*SQRT(Q$30-2)/SQRT(1-$P32*$P32)</f>
        <v>0.42640143271122088</v>
      </c>
      <c r="R32">
        <f t="shared" si="6"/>
        <v>0.6963106238227913</v>
      </c>
      <c r="S32">
        <f t="shared" si="6"/>
        <v>0.9949366763261821</v>
      </c>
      <c r="T32">
        <f t="shared" si="6"/>
        <v>1.4142135623730951</v>
      </c>
      <c r="U32">
        <f t="shared" si="6"/>
        <v>3.1750288314924138</v>
      </c>
    </row>
    <row r="33" spans="10:21" x14ac:dyDescent="0.25">
      <c r="J33" t="s">
        <v>25</v>
      </c>
      <c r="O33" t="s">
        <v>22</v>
      </c>
      <c r="P33">
        <v>0.2</v>
      </c>
      <c r="Q33">
        <f t="shared" si="6"/>
        <v>0.86602540378443871</v>
      </c>
      <c r="R33">
        <f t="shared" si="6"/>
        <v>1.4142135623730951</v>
      </c>
      <c r="S33">
        <f t="shared" si="6"/>
        <v>2.0207259421636903</v>
      </c>
      <c r="T33">
        <f t="shared" si="6"/>
        <v>2.8722813232690148</v>
      </c>
      <c r="U33">
        <f t="shared" si="6"/>
        <v>6.4485140407177015</v>
      </c>
    </row>
    <row r="34" spans="10:21" x14ac:dyDescent="0.25">
      <c r="P34">
        <v>0.3</v>
      </c>
      <c r="Q34">
        <f t="shared" si="6"/>
        <v>1.3342487699899821</v>
      </c>
      <c r="R34">
        <f t="shared" si="6"/>
        <v>2.1788191176076883</v>
      </c>
      <c r="S34">
        <f t="shared" si="6"/>
        <v>3.1132471299766249</v>
      </c>
      <c r="T34">
        <f t="shared" si="6"/>
        <v>4.4252025470499738</v>
      </c>
      <c r="U34">
        <f t="shared" si="6"/>
        <v>9.9349532813847041</v>
      </c>
    </row>
    <row r="35" spans="10:21" x14ac:dyDescent="0.25">
      <c r="J35" t="s">
        <v>26</v>
      </c>
      <c r="P35">
        <v>0.4</v>
      </c>
      <c r="Q35">
        <f t="shared" si="6"/>
        <v>1.8516401995451028</v>
      </c>
      <c r="R35">
        <f t="shared" si="6"/>
        <v>3.023715784073818</v>
      </c>
      <c r="S35">
        <f t="shared" si="6"/>
        <v>4.3204937989385739</v>
      </c>
      <c r="T35">
        <f t="shared" si="6"/>
        <v>6.1411957886299078</v>
      </c>
      <c r="U35">
        <f t="shared" si="6"/>
        <v>13.787502968095351</v>
      </c>
    </row>
    <row r="36" spans="10:21" x14ac:dyDescent="0.25">
      <c r="P36">
        <v>0.5</v>
      </c>
      <c r="Q36">
        <f t="shared" si="6"/>
        <v>2.4494897427831779</v>
      </c>
      <c r="R36">
        <f t="shared" si="6"/>
        <v>4</v>
      </c>
      <c r="S36">
        <f t="shared" si="6"/>
        <v>5.7154760664940829</v>
      </c>
      <c r="T36">
        <f t="shared" si="6"/>
        <v>8.1240384046359608</v>
      </c>
      <c r="U36">
        <f t="shared" si="6"/>
        <v>18.239152027072603</v>
      </c>
    </row>
    <row r="37" spans="10:21" x14ac:dyDescent="0.25">
      <c r="P37">
        <v>0.6</v>
      </c>
      <c r="Q37">
        <f t="shared" si="6"/>
        <v>3.1819805153394634</v>
      </c>
      <c r="R37">
        <f t="shared" si="6"/>
        <v>5.1961524227066311</v>
      </c>
      <c r="S37">
        <f t="shared" si="6"/>
        <v>7.4246212024587486</v>
      </c>
      <c r="T37">
        <f t="shared" si="6"/>
        <v>10.553435459602715</v>
      </c>
      <c r="U37">
        <f t="shared" si="6"/>
        <v>23.69335349839697</v>
      </c>
    </row>
    <row r="38" spans="10:21" x14ac:dyDescent="0.25">
      <c r="P38">
        <v>0.7</v>
      </c>
      <c r="Q38">
        <f t="shared" si="6"/>
        <v>4.1586196805020315</v>
      </c>
      <c r="R38">
        <f t="shared" si="6"/>
        <v>6.7909975010173227</v>
      </c>
      <c r="S38">
        <f t="shared" si="6"/>
        <v>9.7034459211714079</v>
      </c>
      <c r="T38">
        <f t="shared" si="6"/>
        <v>13.792581126012891</v>
      </c>
      <c r="U38">
        <f t="shared" si="6"/>
        <v>30.965508959131274</v>
      </c>
    </row>
    <row r="39" spans="10:21" x14ac:dyDescent="0.25">
      <c r="P39">
        <v>0.8</v>
      </c>
      <c r="Q39">
        <f t="shared" si="6"/>
        <v>5.6568542494923815</v>
      </c>
      <c r="R39">
        <f t="shared" si="6"/>
        <v>9.2376043070340135</v>
      </c>
      <c r="S39">
        <f t="shared" si="6"/>
        <v>13.19932658214889</v>
      </c>
      <c r="T39">
        <f t="shared" si="6"/>
        <v>18.761663039293722</v>
      </c>
      <c r="U39">
        <f t="shared" si="6"/>
        <v>42.121517330483513</v>
      </c>
    </row>
    <row r="40" spans="10:21" x14ac:dyDescent="0.25">
      <c r="P40">
        <v>0.9</v>
      </c>
      <c r="Q40">
        <f t="shared" si="6"/>
        <v>8.7599567410611776</v>
      </c>
      <c r="R40">
        <f t="shared" si="6"/>
        <v>14.304949456302475</v>
      </c>
      <c r="S40">
        <f t="shared" si="6"/>
        <v>20.439899062476083</v>
      </c>
      <c r="T40">
        <f t="shared" si="6"/>
        <v>29.053489689844405</v>
      </c>
      <c r="U40">
        <f t="shared" si="6"/>
        <v>65.227536968272616</v>
      </c>
    </row>
    <row r="41" spans="10:21" x14ac:dyDescent="0.25">
      <c r="P41">
        <v>0.99</v>
      </c>
      <c r="Q41">
        <f t="shared" si="6"/>
        <v>29.77452960275486</v>
      </c>
      <c r="R41">
        <f t="shared" si="6"/>
        <v>48.621603238761409</v>
      </c>
      <c r="S41">
        <f t="shared" si="6"/>
        <v>69.473902406427996</v>
      </c>
      <c r="T41">
        <f t="shared" si="6"/>
        <v>98.75094300166748</v>
      </c>
      <c r="U41">
        <f t="shared" si="6"/>
        <v>221.70420331794378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7A60-E7DC-4301-8197-989F73CC8145}">
  <dimension ref="A1:O38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4" sqref="O4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  <c r="J1" t="s">
        <v>29</v>
      </c>
      <c r="K1" t="s">
        <v>30</v>
      </c>
    </row>
    <row r="2" spans="1:15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  <c r="J2">
        <f>$O$5+$O$4*B2</f>
        <v>74.783891247111939</v>
      </c>
      <c r="K2">
        <f>C2-J2</f>
        <v>10.216108752888061</v>
      </c>
    </row>
    <row r="3" spans="1:15" x14ac:dyDescent="0.25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  <c r="J3">
        <f t="shared" ref="J3:J21" si="5">$O$5+$O$4*B3</f>
        <v>73.452151953146</v>
      </c>
      <c r="K3">
        <f t="shared" ref="K3:K21" si="6">C3-J3</f>
        <v>-14.452151953146</v>
      </c>
    </row>
    <row r="4" spans="1:15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J4">
        <f t="shared" si="5"/>
        <v>59.468889366503689</v>
      </c>
      <c r="K4">
        <f t="shared" si="6"/>
        <v>26.531110633496311</v>
      </c>
      <c r="N4" t="s">
        <v>27</v>
      </c>
      <c r="O4">
        <f>I25*C24/B24</f>
        <v>0.66586964698296724</v>
      </c>
    </row>
    <row r="5" spans="1:15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J5">
        <f t="shared" si="5"/>
        <v>77.447369835043801</v>
      </c>
      <c r="K5">
        <f t="shared" si="6"/>
        <v>1.5526301649561987</v>
      </c>
      <c r="N5" t="s">
        <v>28</v>
      </c>
      <c r="O5">
        <f>C23-O4*B23</f>
        <v>-39.74568803395843</v>
      </c>
    </row>
    <row r="6" spans="1:15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J6">
        <f t="shared" si="5"/>
        <v>83.44019665789051</v>
      </c>
      <c r="K6">
        <f t="shared" si="6"/>
        <v>2.5598033421094897</v>
      </c>
    </row>
    <row r="7" spans="1:15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  <c r="J7">
        <f t="shared" si="5"/>
        <v>68.12519477728226</v>
      </c>
      <c r="K7">
        <f t="shared" si="6"/>
        <v>-11.12519477728226</v>
      </c>
    </row>
    <row r="8" spans="1:15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  <c r="J8">
        <f>$O$5+$O$4*B8</f>
        <v>81.442587716941603</v>
      </c>
      <c r="K8">
        <f t="shared" si="6"/>
        <v>-8.4425877169416026</v>
      </c>
    </row>
    <row r="9" spans="1:15" x14ac:dyDescent="0.25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  <c r="J9">
        <f t="shared" si="5"/>
        <v>86.769544892805342</v>
      </c>
      <c r="K9">
        <f t="shared" si="6"/>
        <v>9.2304551071946577</v>
      </c>
    </row>
    <row r="10" spans="1:15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  <c r="J10">
        <f t="shared" si="5"/>
        <v>62.798237601418521</v>
      </c>
      <c r="K10">
        <f t="shared" si="6"/>
        <v>-7.7982376014185206</v>
      </c>
    </row>
    <row r="11" spans="1:15" x14ac:dyDescent="0.25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  <c r="J11">
        <f t="shared" si="5"/>
        <v>71.454543012197107</v>
      </c>
      <c r="K11">
        <f t="shared" si="6"/>
        <v>-8.4545430121971066</v>
      </c>
    </row>
    <row r="12" spans="1:15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  <c r="J12">
        <f t="shared" si="5"/>
        <v>96.091719950566898</v>
      </c>
      <c r="K12">
        <f t="shared" si="6"/>
        <v>-3.0917199505668975</v>
      </c>
    </row>
    <row r="13" spans="1:15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  <c r="J13">
        <f t="shared" si="5"/>
        <v>63.46410724840149</v>
      </c>
      <c r="K13">
        <f t="shared" si="6"/>
        <v>-11.46410724840149</v>
      </c>
    </row>
    <row r="14" spans="1:15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  <c r="J14">
        <f t="shared" si="5"/>
        <v>76.115630541077877</v>
      </c>
      <c r="K14">
        <f t="shared" si="6"/>
        <v>3.8843694589221229</v>
      </c>
    </row>
    <row r="15" spans="1:15" x14ac:dyDescent="0.25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  <c r="J15">
        <f t="shared" si="5"/>
        <v>83.44019665789051</v>
      </c>
      <c r="K15">
        <f t="shared" si="6"/>
        <v>26.55980334210949</v>
      </c>
    </row>
    <row r="16" spans="1:15" x14ac:dyDescent="0.25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  <c r="J16">
        <f t="shared" si="5"/>
        <v>72.786282306163031</v>
      </c>
      <c r="K16">
        <f t="shared" si="6"/>
        <v>-2.7862823061630309</v>
      </c>
    </row>
    <row r="17" spans="1:15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  <c r="J17">
        <f t="shared" si="5"/>
        <v>75.449760894094908</v>
      </c>
      <c r="K17">
        <f t="shared" si="6"/>
        <v>-10.449760894094908</v>
      </c>
    </row>
    <row r="18" spans="1:15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  <c r="J18">
        <f t="shared" si="5"/>
        <v>86.103675245822373</v>
      </c>
      <c r="K18">
        <f t="shared" si="6"/>
        <v>-12.103675245822373</v>
      </c>
    </row>
    <row r="19" spans="1:15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  <c r="J19">
        <f t="shared" si="5"/>
        <v>62.798237601418521</v>
      </c>
      <c r="K19">
        <f t="shared" si="6"/>
        <v>-2.7982376014185206</v>
      </c>
    </row>
    <row r="20" spans="1:15" x14ac:dyDescent="0.25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  <c r="J20">
        <f t="shared" si="5"/>
        <v>77.447369835043801</v>
      </c>
      <c r="K20">
        <f t="shared" si="6"/>
        <v>-9.4473698350438013</v>
      </c>
    </row>
    <row r="21" spans="1:15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  <c r="J21">
        <f t="shared" si="5"/>
        <v>72.120412659180062</v>
      </c>
      <c r="K21">
        <f t="shared" si="6"/>
        <v>21.879587340819938</v>
      </c>
    </row>
    <row r="23" spans="1:15" x14ac:dyDescent="0.25">
      <c r="A23" t="s">
        <v>4</v>
      </c>
      <c r="B23">
        <f>SUM(B2:B21)/COUNT(B2:B21)</f>
        <v>172.7</v>
      </c>
      <c r="C23">
        <f>SUM(C2:C21)/COUNT(C2:C21)</f>
        <v>75.25</v>
      </c>
    </row>
    <row r="24" spans="1:15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J24" t="s">
        <v>7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</row>
    <row r="25" spans="1:15" x14ac:dyDescent="0.25">
      <c r="H25" t="s">
        <v>12</v>
      </c>
      <c r="I25">
        <f>SUM(I2:I21)/19</f>
        <v>0.58699262907065886</v>
      </c>
      <c r="J25">
        <f>PEARSON(B2:B21,C2:C21)</f>
        <v>0.5869926290706583</v>
      </c>
      <c r="K25">
        <f>J25*J25</f>
        <v>0.34456034658328344</v>
      </c>
      <c r="L25">
        <f>B24*C24*I25</f>
        <v>130.44736842105266</v>
      </c>
      <c r="M25">
        <f>I25*SQRT(18)/SQRT(1-I25*I25)</f>
        <v>3.0761148356415169</v>
      </c>
      <c r="N25">
        <v>18</v>
      </c>
      <c r="O25">
        <f>_xlfn.T.DIST(M25,N25,FALSE)</f>
        <v>7.1111862817779242E-3</v>
      </c>
    </row>
    <row r="26" spans="1:15" x14ac:dyDescent="0.25">
      <c r="B26" t="s">
        <v>7</v>
      </c>
      <c r="H26" t="s">
        <v>18</v>
      </c>
      <c r="J26">
        <f>PEARSON(B2:B21,D2:D21)</f>
        <v>0.13927358230884518</v>
      </c>
      <c r="K26">
        <f>J26*J26</f>
        <v>1.9397130729138672E-2</v>
      </c>
      <c r="M26">
        <f>J26*SQRT(18)/SQRT(1-J26*J26)</f>
        <v>0.59670327175284343</v>
      </c>
      <c r="N26">
        <v>18</v>
      </c>
      <c r="O26">
        <f>_xlfn.T.DIST(M26,N26,FALSE)</f>
        <v>0.32663769807263493</v>
      </c>
    </row>
    <row r="27" spans="1:15" x14ac:dyDescent="0.25">
      <c r="A27" t="s">
        <v>4</v>
      </c>
      <c r="B27">
        <f>AVERAGE(B2:B21)</f>
        <v>172.7</v>
      </c>
      <c r="H27" t="s">
        <v>19</v>
      </c>
      <c r="J27">
        <f>PEARSON(C2:C21,D2:D21)</f>
        <v>-3.2309376645135762E-3</v>
      </c>
      <c r="K27">
        <f>J27*J27</f>
        <v>1.0438958191972443E-5</v>
      </c>
      <c r="M27">
        <f>J27*SQRT(18)/SQRT(1-J27*J27)</f>
        <v>-1.3707779140664855E-2</v>
      </c>
      <c r="N27">
        <v>18</v>
      </c>
      <c r="O27">
        <f>_xlfn.T.DIST(M27,N27,FALSE)</f>
        <v>0.39340350071929653</v>
      </c>
    </row>
    <row r="28" spans="1:15" x14ac:dyDescent="0.25">
      <c r="A28" t="s">
        <v>5</v>
      </c>
      <c r="B28">
        <f>STDEV(B2:B21)</f>
        <v>13.996616132404816</v>
      </c>
    </row>
    <row r="29" spans="1:15" x14ac:dyDescent="0.25">
      <c r="H29" t="s">
        <v>31</v>
      </c>
      <c r="I29">
        <f>PEARSON(C2:C21,J2:J21)</f>
        <v>0.58699262907065874</v>
      </c>
      <c r="K29">
        <f>I29*I29</f>
        <v>0.34456034658328394</v>
      </c>
    </row>
    <row r="30" spans="1:15" x14ac:dyDescent="0.25">
      <c r="H30" t="s">
        <v>32</v>
      </c>
    </row>
    <row r="34" spans="8:10" x14ac:dyDescent="0.25">
      <c r="H34" t="s">
        <v>24</v>
      </c>
      <c r="J34" t="s">
        <v>14</v>
      </c>
    </row>
    <row r="36" spans="8:10" x14ac:dyDescent="0.25">
      <c r="J36" t="s">
        <v>25</v>
      </c>
    </row>
    <row r="38" spans="8:10" x14ac:dyDescent="0.25">
      <c r="J38" t="s">
        <v>26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801B-66A0-435E-B37C-F907F8506540}">
  <dimension ref="A1:AA60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19" sqref="W19"/>
    </sheetView>
  </sheetViews>
  <sheetFormatPr defaultRowHeight="15" x14ac:dyDescent="0.25"/>
  <cols>
    <col min="1" max="1" width="3.140625" bestFit="1" customWidth="1"/>
    <col min="2" max="2" width="7.5703125" bestFit="1" customWidth="1"/>
    <col min="3" max="3" width="11.140625" bestFit="1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8</v>
      </c>
      <c r="G1" t="s">
        <v>9</v>
      </c>
      <c r="H1" t="s">
        <v>10</v>
      </c>
      <c r="I1" t="s">
        <v>11</v>
      </c>
      <c r="J1" t="s">
        <v>29</v>
      </c>
      <c r="K1" t="s">
        <v>30</v>
      </c>
      <c r="Q1" t="s">
        <v>30</v>
      </c>
    </row>
    <row r="2" spans="1:24" x14ac:dyDescent="0.25">
      <c r="A2">
        <v>1</v>
      </c>
      <c r="B2">
        <v>172</v>
      </c>
      <c r="C2">
        <v>85</v>
      </c>
      <c r="D2">
        <v>1</v>
      </c>
      <c r="E2">
        <f>B2-B$23</f>
        <v>-0.69999999999998863</v>
      </c>
      <c r="F2">
        <f>E2/$B$24</f>
        <v>-5.0012088163177967E-2</v>
      </c>
      <c r="G2">
        <f>C2-C$23</f>
        <v>9.75</v>
      </c>
      <c r="H2">
        <f>G2/$C$24</f>
        <v>0.6140800566597685</v>
      </c>
      <c r="I2">
        <f>F2*H2</f>
        <v>-3.0711425932917664E-2</v>
      </c>
      <c r="J2">
        <f>$O$4+$O$5*B2+$O$6*D2</f>
        <v>73.432786269825925</v>
      </c>
      <c r="K2">
        <f>C2-J2</f>
        <v>11.567213730174075</v>
      </c>
      <c r="Q2">
        <v>10.216108752888061</v>
      </c>
      <c r="S2" t="s">
        <v>37</v>
      </c>
    </row>
    <row r="3" spans="1:24" ht="15.75" thickBot="1" x14ac:dyDescent="0.3">
      <c r="A3">
        <v>2</v>
      </c>
      <c r="B3">
        <v>170</v>
      </c>
      <c r="C3">
        <v>59</v>
      </c>
      <c r="D3">
        <v>0</v>
      </c>
      <c r="E3">
        <f t="shared" ref="E3:E21" si="0">B3-B$23</f>
        <v>-2.6999999999999886</v>
      </c>
      <c r="F3">
        <f t="shared" ref="F3:F21" si="1">E3/$B$24</f>
        <v>-0.19290376862940303</v>
      </c>
      <c r="G3">
        <f t="shared" ref="G3:G21" si="2">C3-C$23</f>
        <v>-16.25</v>
      </c>
      <c r="H3">
        <f t="shared" ref="H3:H21" si="3">G3/$C$24</f>
        <v>-1.0234667610996142</v>
      </c>
      <c r="I3">
        <f t="shared" ref="I3:I21" si="4">F3*H3</f>
        <v>0.19743059528304449</v>
      </c>
      <c r="J3">
        <f t="shared" ref="J3:J21" si="5">$O$4+$O$5*B3+$O$6*D3</f>
        <v>74.756844341233773</v>
      </c>
      <c r="K3">
        <f t="shared" ref="K3:K21" si="6">C3-J3</f>
        <v>-15.756844341233773</v>
      </c>
      <c r="Q3">
        <v>-14.452151953146</v>
      </c>
    </row>
    <row r="4" spans="1:24" x14ac:dyDescent="0.25">
      <c r="A4">
        <v>3</v>
      </c>
      <c r="B4">
        <v>149</v>
      </c>
      <c r="C4">
        <v>86</v>
      </c>
      <c r="D4">
        <v>0</v>
      </c>
      <c r="E4">
        <f t="shared" si="0"/>
        <v>-23.699999999999989</v>
      </c>
      <c r="F4">
        <f t="shared" si="1"/>
        <v>-1.6932664135247664</v>
      </c>
      <c r="G4">
        <f t="shared" si="2"/>
        <v>10.75</v>
      </c>
      <c r="H4">
        <f t="shared" si="3"/>
        <v>0.67706262657359095</v>
      </c>
      <c r="I4">
        <f t="shared" si="4"/>
        <v>-1.1464474054299225</v>
      </c>
      <c r="J4">
        <f t="shared" si="5"/>
        <v>60.487022429019937</v>
      </c>
      <c r="K4">
        <f t="shared" si="6"/>
        <v>25.512977570980063</v>
      </c>
      <c r="N4" t="s">
        <v>28</v>
      </c>
      <c r="O4">
        <v>-40.760761614783014</v>
      </c>
      <c r="Q4">
        <v>26.531110633496311</v>
      </c>
      <c r="S4" s="4" t="s">
        <v>38</v>
      </c>
      <c r="T4" s="4"/>
    </row>
    <row r="5" spans="1:24" x14ac:dyDescent="0.25">
      <c r="A5">
        <v>4</v>
      </c>
      <c r="B5">
        <v>176</v>
      </c>
      <c r="C5">
        <v>79</v>
      </c>
      <c r="D5">
        <v>1</v>
      </c>
      <c r="E5">
        <f t="shared" si="0"/>
        <v>3.3000000000000114</v>
      </c>
      <c r="F5">
        <f t="shared" si="1"/>
        <v>0.23577127276927221</v>
      </c>
      <c r="G5">
        <f t="shared" si="2"/>
        <v>3.75</v>
      </c>
      <c r="H5">
        <f t="shared" si="3"/>
        <v>0.23618463717683405</v>
      </c>
      <c r="I5">
        <f t="shared" si="4"/>
        <v>5.5685552515730929E-2</v>
      </c>
      <c r="J5">
        <f t="shared" si="5"/>
        <v>76.15084758643809</v>
      </c>
      <c r="K5">
        <f t="shared" si="6"/>
        <v>2.8491524135619102</v>
      </c>
      <c r="N5" t="s">
        <v>33</v>
      </c>
      <c r="O5">
        <v>0.67951532915303992</v>
      </c>
      <c r="Q5">
        <v>1.5526301649561987</v>
      </c>
      <c r="S5" s="1" t="s">
        <v>39</v>
      </c>
      <c r="T5" s="1">
        <v>0.59323300944128088</v>
      </c>
    </row>
    <row r="6" spans="1:24" x14ac:dyDescent="0.25">
      <c r="A6">
        <v>5</v>
      </c>
      <c r="B6">
        <v>185</v>
      </c>
      <c r="C6">
        <v>86</v>
      </c>
      <c r="D6">
        <v>1</v>
      </c>
      <c r="E6">
        <f t="shared" si="0"/>
        <v>12.300000000000011</v>
      </c>
      <c r="F6">
        <f t="shared" si="1"/>
        <v>0.87878383486728506</v>
      </c>
      <c r="G6">
        <f t="shared" si="2"/>
        <v>10.75</v>
      </c>
      <c r="H6">
        <f t="shared" si="3"/>
        <v>0.67706262657359095</v>
      </c>
      <c r="I6">
        <f t="shared" si="4"/>
        <v>0.59499169142565689</v>
      </c>
      <c r="J6">
        <f t="shared" si="5"/>
        <v>82.266485548815467</v>
      </c>
      <c r="K6">
        <f t="shared" si="6"/>
        <v>3.7335144511845328</v>
      </c>
      <c r="N6" t="s">
        <v>34</v>
      </c>
      <c r="O6">
        <v>-2.6830887297139197</v>
      </c>
      <c r="Q6">
        <v>2.5598033421094897</v>
      </c>
      <c r="S6" s="1" t="s">
        <v>40</v>
      </c>
      <c r="T6" s="1">
        <v>0.3519254034907589</v>
      </c>
    </row>
    <row r="7" spans="1:24" x14ac:dyDescent="0.25">
      <c r="A7">
        <v>6</v>
      </c>
      <c r="B7">
        <v>162</v>
      </c>
      <c r="C7">
        <v>57</v>
      </c>
      <c r="D7">
        <v>0</v>
      </c>
      <c r="E7">
        <f t="shared" si="0"/>
        <v>-10.699999999999989</v>
      </c>
      <c r="F7">
        <f t="shared" si="1"/>
        <v>-0.76447049049430338</v>
      </c>
      <c r="G7">
        <f t="shared" si="2"/>
        <v>-18.25</v>
      </c>
      <c r="H7">
        <f t="shared" si="3"/>
        <v>-1.1494319009272591</v>
      </c>
      <c r="I7">
        <f t="shared" si="4"/>
        <v>0.87870676909166134</v>
      </c>
      <c r="J7">
        <f t="shared" si="5"/>
        <v>69.320721708009444</v>
      </c>
      <c r="K7">
        <f t="shared" si="6"/>
        <v>-12.320721708009444</v>
      </c>
      <c r="Q7">
        <v>-11.12519477728226</v>
      </c>
      <c r="S7" s="1" t="s">
        <v>41</v>
      </c>
      <c r="T7" s="1">
        <v>0.2756813333132011</v>
      </c>
    </row>
    <row r="8" spans="1:24" x14ac:dyDescent="0.25">
      <c r="A8">
        <v>7</v>
      </c>
      <c r="B8">
        <v>182</v>
      </c>
      <c r="C8">
        <v>73</v>
      </c>
      <c r="D8">
        <v>1</v>
      </c>
      <c r="E8">
        <f t="shared" si="0"/>
        <v>9.3000000000000114</v>
      </c>
      <c r="F8">
        <f t="shared" si="1"/>
        <v>0.66444631416794742</v>
      </c>
      <c r="G8">
        <f t="shared" si="2"/>
        <v>-2.25</v>
      </c>
      <c r="H8">
        <f t="shared" si="3"/>
        <v>-0.14171078230610043</v>
      </c>
      <c r="I8">
        <f t="shared" si="4"/>
        <v>-9.4159206981144813E-2</v>
      </c>
      <c r="J8">
        <f t="shared" si="5"/>
        <v>80.227939561356322</v>
      </c>
      <c r="K8">
        <f t="shared" si="6"/>
        <v>-7.2279395613563224</v>
      </c>
      <c r="N8" t="s">
        <v>35</v>
      </c>
      <c r="O8">
        <f>SUMSQ(K2:K21)</f>
        <v>3104.1153107900145</v>
      </c>
      <c r="Q8">
        <v>-8.4425877169416026</v>
      </c>
      <c r="S8" s="1" t="s">
        <v>42</v>
      </c>
      <c r="T8" s="1">
        <v>13.5127723863935</v>
      </c>
    </row>
    <row r="9" spans="1:24" ht="15.75" thickBot="1" x14ac:dyDescent="0.3">
      <c r="A9">
        <v>8</v>
      </c>
      <c r="B9">
        <v>190</v>
      </c>
      <c r="C9">
        <v>96</v>
      </c>
      <c r="D9">
        <v>1</v>
      </c>
      <c r="E9">
        <f t="shared" si="0"/>
        <v>17.300000000000011</v>
      </c>
      <c r="F9">
        <f t="shared" si="1"/>
        <v>1.2360130360328478</v>
      </c>
      <c r="G9">
        <f t="shared" si="2"/>
        <v>20.75</v>
      </c>
      <c r="H9">
        <f t="shared" si="3"/>
        <v>1.3068883257118151</v>
      </c>
      <c r="I9">
        <f t="shared" si="4"/>
        <v>1.615331007218946</v>
      </c>
      <c r="J9">
        <f t="shared" si="5"/>
        <v>85.664062194580652</v>
      </c>
      <c r="K9">
        <f t="shared" si="6"/>
        <v>10.335937805419348</v>
      </c>
      <c r="Q9">
        <v>9.2304551071946577</v>
      </c>
      <c r="S9" s="2" t="s">
        <v>43</v>
      </c>
      <c r="T9" s="2">
        <v>20</v>
      </c>
    </row>
    <row r="10" spans="1:24" x14ac:dyDescent="0.25">
      <c r="A10">
        <v>9</v>
      </c>
      <c r="B10">
        <v>154</v>
      </c>
      <c r="C10">
        <v>55</v>
      </c>
      <c r="D10">
        <v>0</v>
      </c>
      <c r="E10">
        <f t="shared" si="0"/>
        <v>-18.699999999999989</v>
      </c>
      <c r="F10">
        <f t="shared" si="1"/>
        <v>-1.3360372123592037</v>
      </c>
      <c r="G10">
        <f t="shared" si="2"/>
        <v>-20.25</v>
      </c>
      <c r="H10">
        <f t="shared" si="3"/>
        <v>-1.2753970407549038</v>
      </c>
      <c r="I10">
        <f t="shared" si="4"/>
        <v>1.7039779069813594</v>
      </c>
      <c r="J10">
        <f t="shared" si="5"/>
        <v>63.884599074785136</v>
      </c>
      <c r="K10">
        <f t="shared" si="6"/>
        <v>-8.884599074785136</v>
      </c>
      <c r="N10" t="s">
        <v>31</v>
      </c>
      <c r="O10">
        <f>PEARSON(C2:C21,J2:J21)</f>
        <v>0.59323300866824502</v>
      </c>
      <c r="Q10">
        <v>-7.7982376014185206</v>
      </c>
    </row>
    <row r="11" spans="1:24" ht="15.75" thickBot="1" x14ac:dyDescent="0.3">
      <c r="A11">
        <v>10</v>
      </c>
      <c r="B11">
        <v>167</v>
      </c>
      <c r="C11">
        <v>63</v>
      </c>
      <c r="D11">
        <v>1</v>
      </c>
      <c r="E11">
        <f t="shared" si="0"/>
        <v>-5.6999999999999886</v>
      </c>
      <c r="F11">
        <f t="shared" si="1"/>
        <v>-0.40724128932874065</v>
      </c>
      <c r="G11">
        <f t="shared" si="2"/>
        <v>-12.25</v>
      </c>
      <c r="H11">
        <f t="shared" si="3"/>
        <v>-0.77153648144432452</v>
      </c>
      <c r="I11">
        <f t="shared" si="4"/>
        <v>0.31420151146754671</v>
      </c>
      <c r="J11">
        <f t="shared" si="5"/>
        <v>70.035209624060741</v>
      </c>
      <c r="K11">
        <f t="shared" si="6"/>
        <v>-7.0352096240607409</v>
      </c>
      <c r="N11" t="s">
        <v>36</v>
      </c>
      <c r="O11">
        <f>O10*O10</f>
        <v>0.35192540257357807</v>
      </c>
      <c r="Q11">
        <v>-8.4545430121971066</v>
      </c>
      <c r="S11" t="s">
        <v>44</v>
      </c>
    </row>
    <row r="12" spans="1:24" x14ac:dyDescent="0.25">
      <c r="A12">
        <v>11</v>
      </c>
      <c r="B12">
        <v>204</v>
      </c>
      <c r="C12">
        <v>93</v>
      </c>
      <c r="D12">
        <v>0</v>
      </c>
      <c r="E12">
        <f t="shared" si="0"/>
        <v>31.300000000000011</v>
      </c>
      <c r="F12">
        <f t="shared" si="1"/>
        <v>2.2362547992964235</v>
      </c>
      <c r="G12">
        <f t="shared" si="2"/>
        <v>17.75</v>
      </c>
      <c r="H12">
        <f t="shared" si="3"/>
        <v>1.1179406159703478</v>
      </c>
      <c r="I12">
        <f t="shared" si="4"/>
        <v>2.5000000677920902</v>
      </c>
      <c r="J12">
        <f t="shared" si="5"/>
        <v>97.860365532437129</v>
      </c>
      <c r="K12">
        <f t="shared" si="6"/>
        <v>-4.8603655324371289</v>
      </c>
      <c r="Q12">
        <v>-3.0917199505668975</v>
      </c>
      <c r="S12" s="3"/>
      <c r="T12" s="3" t="s">
        <v>49</v>
      </c>
      <c r="U12" s="3" t="s">
        <v>35</v>
      </c>
      <c r="V12" s="3" t="s">
        <v>50</v>
      </c>
      <c r="W12" s="3" t="s">
        <v>51</v>
      </c>
      <c r="X12" s="3" t="s">
        <v>52</v>
      </c>
    </row>
    <row r="13" spans="1:24" x14ac:dyDescent="0.25">
      <c r="A13">
        <v>12</v>
      </c>
      <c r="B13">
        <v>155</v>
      </c>
      <c r="C13">
        <v>52</v>
      </c>
      <c r="D13">
        <v>1</v>
      </c>
      <c r="E13">
        <f t="shared" si="0"/>
        <v>-17.699999999999989</v>
      </c>
      <c r="F13">
        <f t="shared" si="1"/>
        <v>-1.2645913721260911</v>
      </c>
      <c r="G13">
        <f t="shared" si="2"/>
        <v>-23.25</v>
      </c>
      <c r="H13">
        <f t="shared" si="3"/>
        <v>-1.4643447504963711</v>
      </c>
      <c r="I13">
        <f t="shared" si="4"/>
        <v>1.8517977372958445</v>
      </c>
      <c r="J13">
        <f t="shared" si="5"/>
        <v>61.88102567422424</v>
      </c>
      <c r="K13">
        <f t="shared" si="6"/>
        <v>-9.8810256742242402</v>
      </c>
      <c r="Q13">
        <v>-11.46410724840149</v>
      </c>
      <c r="S13" s="1" t="s">
        <v>45</v>
      </c>
      <c r="T13" s="1">
        <v>2</v>
      </c>
      <c r="U13" s="1">
        <v>1685.6347013698623</v>
      </c>
      <c r="V13" s="1">
        <v>842.81735068493117</v>
      </c>
      <c r="W13" s="1">
        <v>4.6157740880201219</v>
      </c>
      <c r="X13" s="1">
        <v>2.5050274208156267E-2</v>
      </c>
    </row>
    <row r="14" spans="1:24" x14ac:dyDescent="0.25">
      <c r="A14">
        <v>13</v>
      </c>
      <c r="B14">
        <v>174</v>
      </c>
      <c r="C14">
        <v>80</v>
      </c>
      <c r="D14">
        <v>1</v>
      </c>
      <c r="E14">
        <f t="shared" si="0"/>
        <v>1.3000000000000114</v>
      </c>
      <c r="F14">
        <f t="shared" si="1"/>
        <v>9.2879592303047112E-2</v>
      </c>
      <c r="G14">
        <f t="shared" si="2"/>
        <v>4.75</v>
      </c>
      <c r="H14">
        <f t="shared" si="3"/>
        <v>0.29916720709065647</v>
      </c>
      <c r="I14">
        <f t="shared" si="4"/>
        <v>2.7786528225021437E-2</v>
      </c>
      <c r="J14">
        <f t="shared" si="5"/>
        <v>74.791816928132022</v>
      </c>
      <c r="K14">
        <f t="shared" si="6"/>
        <v>5.2081830718679782</v>
      </c>
      <c r="Q14">
        <v>3.8843694589221229</v>
      </c>
      <c r="S14" s="1" t="s">
        <v>46</v>
      </c>
      <c r="T14" s="1">
        <v>17</v>
      </c>
      <c r="U14" s="1">
        <v>3104.1152986301377</v>
      </c>
      <c r="V14" s="1">
        <v>182.59501756647867</v>
      </c>
      <c r="W14" s="1"/>
      <c r="X14" s="1"/>
    </row>
    <row r="15" spans="1:24" ht="15.75" thickBot="1" x14ac:dyDescent="0.3">
      <c r="A15">
        <v>14</v>
      </c>
      <c r="B15">
        <v>185</v>
      </c>
      <c r="C15">
        <v>110</v>
      </c>
      <c r="D15">
        <v>0</v>
      </c>
      <c r="E15">
        <f t="shared" si="0"/>
        <v>12.300000000000011</v>
      </c>
      <c r="F15">
        <f t="shared" si="1"/>
        <v>0.87878383486728506</v>
      </c>
      <c r="G15">
        <f t="shared" si="2"/>
        <v>34.75</v>
      </c>
      <c r="H15">
        <f t="shared" si="3"/>
        <v>2.188644304505329</v>
      </c>
      <c r="I15">
        <f t="shared" si="4"/>
        <v>1.9233452350736351</v>
      </c>
      <c r="J15">
        <f t="shared" si="5"/>
        <v>84.949574278529383</v>
      </c>
      <c r="K15">
        <f t="shared" si="6"/>
        <v>25.050425721470617</v>
      </c>
      <c r="Q15">
        <v>26.55980334210949</v>
      </c>
      <c r="S15" s="2" t="s">
        <v>47</v>
      </c>
      <c r="T15" s="2">
        <v>19</v>
      </c>
      <c r="U15" s="2">
        <v>4789.75</v>
      </c>
      <c r="V15" s="2"/>
      <c r="W15" s="2"/>
      <c r="X15" s="2"/>
    </row>
    <row r="16" spans="1:24" ht="15.75" thickBot="1" x14ac:dyDescent="0.3">
      <c r="A16">
        <v>15</v>
      </c>
      <c r="B16">
        <v>169</v>
      </c>
      <c r="C16">
        <v>70</v>
      </c>
      <c r="D16">
        <v>1</v>
      </c>
      <c r="E16">
        <f t="shared" si="0"/>
        <v>-3.6999999999999886</v>
      </c>
      <c r="F16">
        <f t="shared" si="1"/>
        <v>-0.26434960886251557</v>
      </c>
      <c r="G16">
        <f t="shared" si="2"/>
        <v>-5.25</v>
      </c>
      <c r="H16">
        <f t="shared" si="3"/>
        <v>-0.33065849204756764</v>
      </c>
      <c r="I16">
        <f t="shared" si="4"/>
        <v>8.7409443039843729E-2</v>
      </c>
      <c r="J16">
        <f t="shared" si="5"/>
        <v>71.394240282366809</v>
      </c>
      <c r="K16">
        <f t="shared" si="6"/>
        <v>-1.394240282366809</v>
      </c>
      <c r="Q16">
        <v>-2.7862823061630309</v>
      </c>
    </row>
    <row r="17" spans="1:27" x14ac:dyDescent="0.25">
      <c r="A17">
        <v>16</v>
      </c>
      <c r="B17">
        <v>173</v>
      </c>
      <c r="C17">
        <v>65</v>
      </c>
      <c r="D17">
        <v>0</v>
      </c>
      <c r="E17">
        <f t="shared" si="0"/>
        <v>0.30000000000001137</v>
      </c>
      <c r="F17">
        <f t="shared" si="1"/>
        <v>2.1433752069934576E-2</v>
      </c>
      <c r="G17">
        <f t="shared" si="2"/>
        <v>-10.25</v>
      </c>
      <c r="H17">
        <f t="shared" si="3"/>
        <v>-0.64557134161667973</v>
      </c>
      <c r="I17">
        <f t="shared" si="4"/>
        <v>-1.3837016079666951E-2</v>
      </c>
      <c r="J17">
        <f t="shared" si="5"/>
        <v>76.795390328692889</v>
      </c>
      <c r="K17">
        <f t="shared" si="6"/>
        <v>-11.795390328692889</v>
      </c>
      <c r="Q17">
        <v>-10.449760894094908</v>
      </c>
      <c r="S17" s="3"/>
      <c r="T17" s="3" t="s">
        <v>53</v>
      </c>
      <c r="U17" s="3" t="s">
        <v>42</v>
      </c>
      <c r="V17" s="3" t="s">
        <v>54</v>
      </c>
      <c r="W17" s="3" t="s">
        <v>55</v>
      </c>
      <c r="X17" s="3" t="s">
        <v>56</v>
      </c>
      <c r="Y17" s="3" t="s">
        <v>57</v>
      </c>
      <c r="Z17" s="3" t="s">
        <v>58</v>
      </c>
      <c r="AA17" s="3" t="s">
        <v>59</v>
      </c>
    </row>
    <row r="18" spans="1:27" x14ac:dyDescent="0.25">
      <c r="A18">
        <v>17</v>
      </c>
      <c r="B18">
        <v>189</v>
      </c>
      <c r="C18">
        <v>74</v>
      </c>
      <c r="D18">
        <v>0</v>
      </c>
      <c r="E18">
        <f t="shared" si="0"/>
        <v>16.300000000000011</v>
      </c>
      <c r="F18">
        <f t="shared" si="1"/>
        <v>1.1645671957997352</v>
      </c>
      <c r="G18">
        <f t="shared" si="2"/>
        <v>-1.25</v>
      </c>
      <c r="H18">
        <f t="shared" si="3"/>
        <v>-7.8728212392278007E-2</v>
      </c>
      <c r="I18">
        <f t="shared" si="4"/>
        <v>-9.168429353600116E-2</v>
      </c>
      <c r="J18">
        <f t="shared" si="5"/>
        <v>87.667635595141547</v>
      </c>
      <c r="K18">
        <f t="shared" si="6"/>
        <v>-13.667635595141547</v>
      </c>
      <c r="Q18">
        <v>-12.103675245822373</v>
      </c>
      <c r="S18" s="1" t="s">
        <v>48</v>
      </c>
      <c r="T18" s="1">
        <v>-40.76912876712327</v>
      </c>
      <c r="U18" s="1">
        <v>38.440225416186259</v>
      </c>
      <c r="V18" s="1">
        <v>-1.0605850596796023</v>
      </c>
      <c r="W18" s="1">
        <v>0.30371493163823771</v>
      </c>
      <c r="X18" s="1">
        <v>-121.87091516561725</v>
      </c>
      <c r="Y18" s="1">
        <v>40.332657631370701</v>
      </c>
      <c r="Z18" s="1">
        <v>-121.87091516561725</v>
      </c>
      <c r="AA18" s="1">
        <v>40.332657631370701</v>
      </c>
    </row>
    <row r="19" spans="1:27" x14ac:dyDescent="0.25">
      <c r="A19">
        <v>18</v>
      </c>
      <c r="B19">
        <v>154</v>
      </c>
      <c r="C19">
        <v>60</v>
      </c>
      <c r="D19">
        <v>0</v>
      </c>
      <c r="E19">
        <f t="shared" si="0"/>
        <v>-18.699999999999989</v>
      </c>
      <c r="F19">
        <f t="shared" si="1"/>
        <v>-1.3360372123592037</v>
      </c>
      <c r="G19">
        <f t="shared" si="2"/>
        <v>-15.25</v>
      </c>
      <c r="H19">
        <f t="shared" si="3"/>
        <v>-0.96048419118579176</v>
      </c>
      <c r="I19">
        <f t="shared" si="4"/>
        <v>1.2832426213069497</v>
      </c>
      <c r="J19">
        <f t="shared" si="5"/>
        <v>63.884599074785136</v>
      </c>
      <c r="K19">
        <f t="shared" si="6"/>
        <v>-3.884599074785136</v>
      </c>
      <c r="Q19">
        <v>-2.7982376014185206</v>
      </c>
      <c r="S19" s="1" t="s">
        <v>1</v>
      </c>
      <c r="T19" s="1">
        <v>0.67956164383561635</v>
      </c>
      <c r="U19" s="1">
        <v>0.22366499996645467</v>
      </c>
      <c r="V19" s="1">
        <v>3.0383012270026026</v>
      </c>
      <c r="W19" s="1">
        <v>7.4224761247987216E-3</v>
      </c>
      <c r="X19" s="1">
        <v>0.20766974269030197</v>
      </c>
      <c r="Y19" s="1">
        <v>1.1514535449809307</v>
      </c>
      <c r="Z19" s="1">
        <v>0.20766974269030197</v>
      </c>
      <c r="AA19" s="1">
        <v>1.1514535449809307</v>
      </c>
    </row>
    <row r="20" spans="1:27" ht="15.75" thickBot="1" x14ac:dyDescent="0.3">
      <c r="A20">
        <v>19</v>
      </c>
      <c r="B20">
        <v>176</v>
      </c>
      <c r="C20">
        <v>68</v>
      </c>
      <c r="D20">
        <v>1</v>
      </c>
      <c r="E20">
        <f t="shared" si="0"/>
        <v>3.3000000000000114</v>
      </c>
      <c r="F20">
        <f t="shared" si="1"/>
        <v>0.23577127276927221</v>
      </c>
      <c r="G20">
        <f t="shared" si="2"/>
        <v>-7.25</v>
      </c>
      <c r="H20">
        <f t="shared" si="3"/>
        <v>-0.45662363187521249</v>
      </c>
      <c r="I20">
        <f t="shared" si="4"/>
        <v>-0.10765873486374646</v>
      </c>
      <c r="J20">
        <f t="shared" si="5"/>
        <v>76.15084758643809</v>
      </c>
      <c r="K20">
        <f t="shared" si="6"/>
        <v>-8.1508475864380898</v>
      </c>
      <c r="Q20">
        <v>-9.4473698350438013</v>
      </c>
      <c r="S20" s="2" t="s">
        <v>3</v>
      </c>
      <c r="T20" s="2">
        <v>-2.682334246575341</v>
      </c>
      <c r="U20" s="2">
        <v>6.1025715414412014</v>
      </c>
      <c r="V20" s="2">
        <v>-0.43954163066507418</v>
      </c>
      <c r="W20" s="2">
        <v>0.66580549657130328</v>
      </c>
      <c r="X20" s="2">
        <v>-15.557634749550266</v>
      </c>
      <c r="Y20" s="2">
        <v>10.192966256399584</v>
      </c>
      <c r="Z20" s="2">
        <v>-15.557634749550266</v>
      </c>
      <c r="AA20" s="2">
        <v>10.192966256399584</v>
      </c>
    </row>
    <row r="21" spans="1:27" x14ac:dyDescent="0.25">
      <c r="A21">
        <v>20</v>
      </c>
      <c r="B21">
        <v>168</v>
      </c>
      <c r="C21">
        <v>94</v>
      </c>
      <c r="D21">
        <v>0</v>
      </c>
      <c r="E21">
        <f t="shared" si="0"/>
        <v>-4.6999999999999886</v>
      </c>
      <c r="F21">
        <f t="shared" si="1"/>
        <v>-0.33579544909562814</v>
      </c>
      <c r="G21">
        <f t="shared" si="2"/>
        <v>18.75</v>
      </c>
      <c r="H21">
        <f t="shared" si="3"/>
        <v>1.1809231858841702</v>
      </c>
      <c r="I21">
        <f t="shared" si="4"/>
        <v>-0.3965486315514149</v>
      </c>
      <c r="J21">
        <f t="shared" si="5"/>
        <v>73.397813682927705</v>
      </c>
      <c r="K21">
        <f t="shared" si="6"/>
        <v>20.602186317072295</v>
      </c>
      <c r="Q21">
        <v>21.879587340819938</v>
      </c>
    </row>
    <row r="23" spans="1:27" x14ac:dyDescent="0.25">
      <c r="A23" t="s">
        <v>4</v>
      </c>
      <c r="B23">
        <f>SUM(B2:B21)/COUNT(B2:B21)</f>
        <v>172.7</v>
      </c>
      <c r="C23">
        <f>SUM(C2:C21)/COUNT(C2:C21)</f>
        <v>75.25</v>
      </c>
    </row>
    <row r="24" spans="1:27" x14ac:dyDescent="0.25">
      <c r="A24" t="s">
        <v>5</v>
      </c>
      <c r="B24">
        <f>SQRT(SUMSQ(E2:E21)/(COUNT(E2:E21)-1))</f>
        <v>13.996616132404816</v>
      </c>
      <c r="C24">
        <f>SQRT(SUMSQ(G2:G21)/(COUNT(G2:G21)-1))</f>
        <v>15.877408644459519</v>
      </c>
      <c r="J24" t="s">
        <v>7</v>
      </c>
      <c r="K24" t="s">
        <v>13</v>
      </c>
      <c r="L24" t="s">
        <v>14</v>
      </c>
      <c r="M24" t="s">
        <v>15</v>
      </c>
      <c r="N24" t="s">
        <v>16</v>
      </c>
      <c r="O24" t="s">
        <v>17</v>
      </c>
      <c r="S24" t="s">
        <v>60</v>
      </c>
      <c r="X24" t="s">
        <v>62</v>
      </c>
    </row>
    <row r="25" spans="1:27" ht="15.75" thickBot="1" x14ac:dyDescent="0.3">
      <c r="H25" t="s">
        <v>12</v>
      </c>
      <c r="I25">
        <f>SUM(I2:I21)/19</f>
        <v>0.58699262907065886</v>
      </c>
      <c r="J25">
        <f>PEARSON(B2:B21,C2:C21)</f>
        <v>0.5869926290706583</v>
      </c>
      <c r="K25">
        <f>J25*J25</f>
        <v>0.34456034658328344</v>
      </c>
      <c r="L25">
        <f>B24*C24*I25</f>
        <v>130.44736842105266</v>
      </c>
      <c r="M25">
        <f>I25*SQRT(18)/SQRT(1-I25*I25)</f>
        <v>3.0761148356415169</v>
      </c>
      <c r="N25">
        <v>18</v>
      </c>
      <c r="O25">
        <f>_xlfn.T.DIST(M25,N25,FALSE)</f>
        <v>7.1111862817779242E-3</v>
      </c>
    </row>
    <row r="26" spans="1:27" x14ac:dyDescent="0.25">
      <c r="B26" t="s">
        <v>7</v>
      </c>
      <c r="H26" t="s">
        <v>18</v>
      </c>
      <c r="J26">
        <f>PEARSON(B2:B21,D2:D21)</f>
        <v>0.13927358230884518</v>
      </c>
      <c r="K26">
        <f>J26*J26</f>
        <v>1.9397130729138672E-2</v>
      </c>
      <c r="M26">
        <f>J26*SQRT(18)/SQRT(1-J26*J26)</f>
        <v>0.59670327175284343</v>
      </c>
      <c r="N26">
        <v>18</v>
      </c>
      <c r="O26">
        <f>_xlfn.T.DIST(M26,N26,FALSE)</f>
        <v>0.32663769807263493</v>
      </c>
      <c r="S26" s="3" t="s">
        <v>43</v>
      </c>
      <c r="T26" s="3" t="s">
        <v>64</v>
      </c>
      <c r="U26" s="3" t="s">
        <v>46</v>
      </c>
      <c r="V26" s="3" t="s">
        <v>61</v>
      </c>
      <c r="X26" s="3" t="s">
        <v>63</v>
      </c>
      <c r="Y26" s="3" t="s">
        <v>2</v>
      </c>
    </row>
    <row r="27" spans="1:27" x14ac:dyDescent="0.25">
      <c r="A27" t="s">
        <v>4</v>
      </c>
      <c r="B27">
        <f>AVERAGE(B2:B21)</f>
        <v>172.7</v>
      </c>
      <c r="H27" t="s">
        <v>19</v>
      </c>
      <c r="J27">
        <f>PEARSON(C2:C21,D2:D21)</f>
        <v>-3.2309376645135762E-3</v>
      </c>
      <c r="K27">
        <f>J27*J27</f>
        <v>1.0438958191972443E-5</v>
      </c>
      <c r="M27">
        <f>J27*SQRT(18)/SQRT(1-J27*J27)</f>
        <v>-1.3707779140664855E-2</v>
      </c>
      <c r="N27">
        <v>18</v>
      </c>
      <c r="O27">
        <f>_xlfn.T.DIST(M27,N27,FALSE)</f>
        <v>0.39340350071929653</v>
      </c>
      <c r="S27" s="1">
        <v>1</v>
      </c>
      <c r="T27" s="1">
        <v>73.433139726027392</v>
      </c>
      <c r="U27" s="1">
        <v>11.566860273972608</v>
      </c>
      <c r="V27" s="1">
        <v>0.90494746491612654</v>
      </c>
      <c r="X27" s="1">
        <v>2.5</v>
      </c>
      <c r="Y27" s="1">
        <v>52</v>
      </c>
    </row>
    <row r="28" spans="1:27" x14ac:dyDescent="0.25">
      <c r="A28" t="s">
        <v>5</v>
      </c>
      <c r="B28">
        <f>STDEV(B2:B21)</f>
        <v>13.996616132404816</v>
      </c>
      <c r="S28" s="1">
        <v>2</v>
      </c>
      <c r="T28" s="1">
        <v>74.756350684931505</v>
      </c>
      <c r="U28" s="1">
        <v>-15.756350684931505</v>
      </c>
      <c r="V28" s="1">
        <v>-1.2327173728157379</v>
      </c>
      <c r="X28" s="1">
        <v>7.5</v>
      </c>
      <c r="Y28" s="1">
        <v>55</v>
      </c>
    </row>
    <row r="29" spans="1:27" x14ac:dyDescent="0.25">
      <c r="H29" t="s">
        <v>31</v>
      </c>
      <c r="I29">
        <f>PEARSON(C2:C21,J2:J21)</f>
        <v>0.59323300866824502</v>
      </c>
      <c r="K29">
        <f>I29*I29</f>
        <v>0.35192540257357807</v>
      </c>
      <c r="S29" s="1">
        <v>3</v>
      </c>
      <c r="T29" s="1">
        <v>60.48555616438356</v>
      </c>
      <c r="U29" s="1">
        <v>25.51444383561644</v>
      </c>
      <c r="V29" s="1">
        <v>1.9961537289199096</v>
      </c>
      <c r="X29" s="1">
        <v>12.5</v>
      </c>
      <c r="Y29" s="1">
        <v>57</v>
      </c>
    </row>
    <row r="30" spans="1:27" x14ac:dyDescent="0.25">
      <c r="H30" t="s">
        <v>32</v>
      </c>
      <c r="S30" s="1">
        <v>4</v>
      </c>
      <c r="T30" s="1">
        <v>76.151386301369868</v>
      </c>
      <c r="U30" s="1">
        <v>2.8486136986301318</v>
      </c>
      <c r="V30" s="1">
        <v>0.22286477782577502</v>
      </c>
      <c r="X30" s="1">
        <v>17.5</v>
      </c>
      <c r="Y30" s="1">
        <v>59</v>
      </c>
    </row>
    <row r="31" spans="1:27" x14ac:dyDescent="0.25">
      <c r="S31" s="1">
        <v>5</v>
      </c>
      <c r="T31" s="1">
        <v>82.267441095890419</v>
      </c>
      <c r="U31" s="1">
        <v>3.732558904109581</v>
      </c>
      <c r="V31" s="1">
        <v>0.29202131243208962</v>
      </c>
      <c r="X31" s="1">
        <v>22.5</v>
      </c>
      <c r="Y31" s="1">
        <v>60</v>
      </c>
    </row>
    <row r="32" spans="1:27" x14ac:dyDescent="0.25">
      <c r="S32" s="1">
        <v>6</v>
      </c>
      <c r="T32" s="1">
        <v>69.31985753424658</v>
      </c>
      <c r="U32" s="1">
        <v>-12.31985753424658</v>
      </c>
      <c r="V32" s="1">
        <v>-0.96385912682208352</v>
      </c>
      <c r="X32" s="1">
        <v>27.5</v>
      </c>
      <c r="Y32" s="1">
        <v>63</v>
      </c>
    </row>
    <row r="33" spans="1:25" x14ac:dyDescent="0.25">
      <c r="S33" s="1">
        <v>7</v>
      </c>
      <c r="T33" s="1">
        <v>80.228756164383569</v>
      </c>
      <c r="U33" s="1">
        <v>-7.2287561643835687</v>
      </c>
      <c r="V33" s="1">
        <v>-0.5655505824839554</v>
      </c>
      <c r="X33" s="1">
        <v>32.5</v>
      </c>
      <c r="Y33" s="1">
        <v>65</v>
      </c>
    </row>
    <row r="34" spans="1:25" x14ac:dyDescent="0.25">
      <c r="H34" t="s">
        <v>24</v>
      </c>
      <c r="J34" t="s">
        <v>14</v>
      </c>
      <c r="S34" s="1">
        <v>8</v>
      </c>
      <c r="T34" s="1">
        <v>85.665249315068493</v>
      </c>
      <c r="U34" s="1">
        <v>10.334750684931507</v>
      </c>
      <c r="V34" s="1">
        <v>0.80855186380296007</v>
      </c>
      <c r="X34" s="1">
        <v>37.5</v>
      </c>
      <c r="Y34" s="1">
        <v>68</v>
      </c>
    </row>
    <row r="35" spans="1:25" x14ac:dyDescent="0.25">
      <c r="S35" s="1">
        <v>9</v>
      </c>
      <c r="T35" s="1">
        <v>63.883364383561648</v>
      </c>
      <c r="U35" s="1">
        <v>-8.8833643835616485</v>
      </c>
      <c r="V35" s="1">
        <v>-0.6950008808284287</v>
      </c>
      <c r="X35" s="1">
        <v>42.5</v>
      </c>
      <c r="Y35" s="1">
        <v>70</v>
      </c>
    </row>
    <row r="36" spans="1:25" x14ac:dyDescent="0.25">
      <c r="J36" t="s">
        <v>25</v>
      </c>
      <c r="S36" s="1">
        <v>10</v>
      </c>
      <c r="T36" s="1">
        <v>70.035331506849317</v>
      </c>
      <c r="U36" s="1">
        <v>-7.0353315068493174</v>
      </c>
      <c r="V36" s="1">
        <v>-0.55041776775792661</v>
      </c>
      <c r="X36" s="1">
        <v>47.5</v>
      </c>
      <c r="Y36" s="1">
        <v>73</v>
      </c>
    </row>
    <row r="37" spans="1:25" x14ac:dyDescent="0.25">
      <c r="S37" s="1">
        <v>11</v>
      </c>
      <c r="T37" s="1">
        <v>97.861446575342455</v>
      </c>
      <c r="U37" s="1">
        <v>-4.8614465753424554</v>
      </c>
      <c r="V37" s="1">
        <v>-0.38034122051950692</v>
      </c>
      <c r="X37" s="1">
        <v>52.5</v>
      </c>
      <c r="Y37" s="1">
        <v>74</v>
      </c>
    </row>
    <row r="38" spans="1:25" x14ac:dyDescent="0.25">
      <c r="J38" t="s">
        <v>26</v>
      </c>
      <c r="S38" s="1">
        <v>12</v>
      </c>
      <c r="T38" s="1">
        <v>61.880591780821909</v>
      </c>
      <c r="U38" s="1">
        <v>-9.8805917808219093</v>
      </c>
      <c r="V38" s="1">
        <v>-0.77302018630289859</v>
      </c>
      <c r="X38" s="1">
        <v>57.5</v>
      </c>
      <c r="Y38" s="1">
        <v>79</v>
      </c>
    </row>
    <row r="39" spans="1:25" x14ac:dyDescent="0.25">
      <c r="S39" s="1">
        <v>13</v>
      </c>
      <c r="T39" s="1">
        <v>74.792263013698644</v>
      </c>
      <c r="U39" s="1">
        <v>5.2077369863013558</v>
      </c>
      <c r="V39" s="1">
        <v>0.4074336744870859</v>
      </c>
      <c r="X39" s="1">
        <v>62.5</v>
      </c>
      <c r="Y39" s="1">
        <v>80</v>
      </c>
    </row>
    <row r="40" spans="1:25" x14ac:dyDescent="0.25">
      <c r="A40" t="s">
        <v>0</v>
      </c>
      <c r="B40" t="s">
        <v>1</v>
      </c>
      <c r="C40" t="s">
        <v>3</v>
      </c>
      <c r="D40" t="s">
        <v>2</v>
      </c>
      <c r="S40" s="1">
        <v>14</v>
      </c>
      <c r="T40" s="1">
        <v>84.949775342465756</v>
      </c>
      <c r="U40" s="1">
        <v>25.050224657534244</v>
      </c>
      <c r="V40" s="1">
        <v>1.959834973577441</v>
      </c>
      <c r="X40" s="1">
        <v>67.5</v>
      </c>
      <c r="Y40" s="1">
        <v>85</v>
      </c>
    </row>
    <row r="41" spans="1:25" x14ac:dyDescent="0.25">
      <c r="A41">
        <v>1</v>
      </c>
      <c r="B41">
        <v>172</v>
      </c>
      <c r="C41">
        <v>1</v>
      </c>
      <c r="D41">
        <v>85</v>
      </c>
      <c r="S41" s="1">
        <v>15</v>
      </c>
      <c r="T41" s="1">
        <v>71.394454794520541</v>
      </c>
      <c r="U41" s="1">
        <v>-1.3944547945205414</v>
      </c>
      <c r="V41" s="1">
        <v>-0.10909687688378231</v>
      </c>
      <c r="X41" s="1">
        <v>72.5</v>
      </c>
      <c r="Y41" s="1">
        <v>86</v>
      </c>
    </row>
    <row r="42" spans="1:25" x14ac:dyDescent="0.25">
      <c r="A42">
        <v>2</v>
      </c>
      <c r="B42">
        <v>170</v>
      </c>
      <c r="C42">
        <v>0</v>
      </c>
      <c r="D42">
        <v>59</v>
      </c>
      <c r="S42" s="1">
        <v>16</v>
      </c>
      <c r="T42" s="1">
        <v>76.795035616438355</v>
      </c>
      <c r="U42" s="1">
        <v>-11.795035616438355</v>
      </c>
      <c r="V42" s="1">
        <v>-0.92279904199321605</v>
      </c>
      <c r="X42" s="1">
        <v>77.5</v>
      </c>
      <c r="Y42" s="1">
        <v>86</v>
      </c>
    </row>
    <row r="43" spans="1:25" x14ac:dyDescent="0.25">
      <c r="A43">
        <v>3</v>
      </c>
      <c r="B43">
        <v>149</v>
      </c>
      <c r="C43">
        <v>0</v>
      </c>
      <c r="D43">
        <v>86</v>
      </c>
      <c r="S43" s="1">
        <v>17</v>
      </c>
      <c r="T43" s="1">
        <v>87.668021917808204</v>
      </c>
      <c r="U43" s="1">
        <v>-13.668021917808204</v>
      </c>
      <c r="V43" s="1">
        <v>-1.0693344167708652</v>
      </c>
      <c r="X43" s="1">
        <v>82.5</v>
      </c>
      <c r="Y43" s="1">
        <v>93</v>
      </c>
    </row>
    <row r="44" spans="1:25" x14ac:dyDescent="0.25">
      <c r="A44">
        <v>4</v>
      </c>
      <c r="B44">
        <v>176</v>
      </c>
      <c r="C44">
        <v>1</v>
      </c>
      <c r="D44">
        <v>79</v>
      </c>
      <c r="S44" s="1">
        <v>18</v>
      </c>
      <c r="T44" s="1">
        <v>63.883364383561648</v>
      </c>
      <c r="U44" s="1">
        <v>-3.8833643835616485</v>
      </c>
      <c r="V44" s="1">
        <v>-0.30381976361876922</v>
      </c>
      <c r="X44" s="1">
        <v>87.5</v>
      </c>
      <c r="Y44" s="1">
        <v>94</v>
      </c>
    </row>
    <row r="45" spans="1:25" x14ac:dyDescent="0.25">
      <c r="A45">
        <v>5</v>
      </c>
      <c r="B45">
        <v>185</v>
      </c>
      <c r="C45">
        <v>1</v>
      </c>
      <c r="D45">
        <v>86</v>
      </c>
      <c r="S45" s="1">
        <v>19</v>
      </c>
      <c r="T45" s="1">
        <v>76.151386301369868</v>
      </c>
      <c r="U45" s="1">
        <v>-8.1513863013698682</v>
      </c>
      <c r="V45" s="1">
        <v>-0.63773368003547581</v>
      </c>
      <c r="X45" s="1">
        <v>92.5</v>
      </c>
      <c r="Y45" s="1">
        <v>96</v>
      </c>
    </row>
    <row r="46" spans="1:25" ht="15.75" thickBot="1" x14ac:dyDescent="0.3">
      <c r="A46">
        <v>6</v>
      </c>
      <c r="B46">
        <v>162</v>
      </c>
      <c r="C46">
        <v>0</v>
      </c>
      <c r="D46">
        <v>57</v>
      </c>
      <c r="S46" s="2">
        <v>20</v>
      </c>
      <c r="T46" s="2">
        <v>73.397227397260281</v>
      </c>
      <c r="U46" s="2">
        <v>20.602772602739719</v>
      </c>
      <c r="V46" s="2">
        <v>1.6118831208712574</v>
      </c>
      <c r="X46" s="2">
        <v>97.5</v>
      </c>
      <c r="Y46" s="2">
        <v>110</v>
      </c>
    </row>
    <row r="47" spans="1:25" x14ac:dyDescent="0.25">
      <c r="A47">
        <v>7</v>
      </c>
      <c r="B47">
        <v>182</v>
      </c>
      <c r="C47">
        <v>1</v>
      </c>
      <c r="D47">
        <v>73</v>
      </c>
    </row>
    <row r="48" spans="1:25" x14ac:dyDescent="0.25">
      <c r="A48">
        <v>8</v>
      </c>
      <c r="B48">
        <v>190</v>
      </c>
      <c r="C48">
        <v>1</v>
      </c>
      <c r="D48">
        <v>96</v>
      </c>
    </row>
    <row r="49" spans="1:4" x14ac:dyDescent="0.25">
      <c r="A49">
        <v>9</v>
      </c>
      <c r="B49">
        <v>154</v>
      </c>
      <c r="C49">
        <v>0</v>
      </c>
      <c r="D49">
        <v>55</v>
      </c>
    </row>
    <row r="50" spans="1:4" x14ac:dyDescent="0.25">
      <c r="A50">
        <v>10</v>
      </c>
      <c r="B50">
        <v>167</v>
      </c>
      <c r="C50">
        <v>1</v>
      </c>
      <c r="D50">
        <v>63</v>
      </c>
    </row>
    <row r="51" spans="1:4" x14ac:dyDescent="0.25">
      <c r="A51">
        <v>11</v>
      </c>
      <c r="B51">
        <v>204</v>
      </c>
      <c r="C51">
        <v>0</v>
      </c>
      <c r="D51">
        <v>93</v>
      </c>
    </row>
    <row r="52" spans="1:4" x14ac:dyDescent="0.25">
      <c r="A52">
        <v>12</v>
      </c>
      <c r="B52">
        <v>155</v>
      </c>
      <c r="C52">
        <v>1</v>
      </c>
      <c r="D52">
        <v>52</v>
      </c>
    </row>
    <row r="53" spans="1:4" x14ac:dyDescent="0.25">
      <c r="A53">
        <v>13</v>
      </c>
      <c r="B53">
        <v>174</v>
      </c>
      <c r="C53">
        <v>1</v>
      </c>
      <c r="D53">
        <v>80</v>
      </c>
    </row>
    <row r="54" spans="1:4" x14ac:dyDescent="0.25">
      <c r="A54">
        <v>14</v>
      </c>
      <c r="B54">
        <v>185</v>
      </c>
      <c r="C54">
        <v>0</v>
      </c>
      <c r="D54">
        <v>110</v>
      </c>
    </row>
    <row r="55" spans="1:4" x14ac:dyDescent="0.25">
      <c r="A55">
        <v>15</v>
      </c>
      <c r="B55">
        <v>169</v>
      </c>
      <c r="C55">
        <v>1</v>
      </c>
      <c r="D55">
        <v>70</v>
      </c>
    </row>
    <row r="56" spans="1:4" x14ac:dyDescent="0.25">
      <c r="A56">
        <v>16</v>
      </c>
      <c r="B56">
        <v>173</v>
      </c>
      <c r="C56">
        <v>0</v>
      </c>
      <c r="D56">
        <v>65</v>
      </c>
    </row>
    <row r="57" spans="1:4" x14ac:dyDescent="0.25">
      <c r="A57">
        <v>17</v>
      </c>
      <c r="B57">
        <v>189</v>
      </c>
      <c r="C57">
        <v>0</v>
      </c>
      <c r="D57">
        <v>74</v>
      </c>
    </row>
    <row r="58" spans="1:4" x14ac:dyDescent="0.25">
      <c r="A58">
        <v>18</v>
      </c>
      <c r="B58">
        <v>154</v>
      </c>
      <c r="C58">
        <v>0</v>
      </c>
      <c r="D58">
        <v>60</v>
      </c>
    </row>
    <row r="59" spans="1:4" x14ac:dyDescent="0.25">
      <c r="A59">
        <v>19</v>
      </c>
      <c r="B59">
        <v>176</v>
      </c>
      <c r="C59">
        <v>1</v>
      </c>
      <c r="D59">
        <v>68</v>
      </c>
    </row>
    <row r="60" spans="1:4" x14ac:dyDescent="0.25">
      <c r="A60">
        <v>20</v>
      </c>
      <c r="B60">
        <v>168</v>
      </c>
      <c r="C60">
        <v>0</v>
      </c>
      <c r="D60">
        <v>94</v>
      </c>
    </row>
  </sheetData>
  <sortState xmlns:xlrd2="http://schemas.microsoft.com/office/spreadsheetml/2017/richdata2" ref="Y27:Y46">
    <sortCondition ref="Y27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Regrese</vt:lpstr>
      <vt:lpstr>Regrese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2023-02-13T15:44:15Z</dcterms:created>
  <dcterms:modified xsi:type="dcterms:W3CDTF">2023-03-06T16:21:34Z</dcterms:modified>
</cp:coreProperties>
</file>